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7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omments1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yaleedu.sharepoint.com/sites/BudgetLab/Shared Documents/Projects/Tariffs/Update 2025-11-17/calculations/"/>
    </mc:Choice>
  </mc:AlternateContent>
  <xr:revisionPtr revIDLastSave="0" documentId="8_{57664BE4-BE8F-4AA2-8E79-63651B3E0DB3}" xr6:coauthVersionLast="47" xr6:coauthVersionMax="47" xr10:uidLastSave="{00000000-0000-0000-0000-000000000000}"/>
  <bookViews>
    <workbookView xWindow="-120" yWindow="-16320" windowWidth="29040" windowHeight="15840" tabRatio="897" firstSheet="10" activeTab="10" xr2:uid="{C5D39561-3E4C-488F-BF0E-55C7C53F67F1}"/>
  </bookViews>
  <sheets>
    <sheet name="Key Results" sheetId="185" r:id="rId1"/>
    <sheet name="MAIN&gt;&gt;&gt;" sheetId="169" r:id="rId2"/>
    <sheet name="T1" sheetId="154" r:id="rId3"/>
    <sheet name="F1 Historical" sheetId="79" r:id="rId4"/>
    <sheet name="F2 Daily" sheetId="182" r:id="rId5"/>
    <sheet name="FOR AP" sheetId="194" r:id="rId6"/>
    <sheet name="F3 GDP" sheetId="133" r:id="rId7"/>
    <sheet name="F4 US Sector Output" sheetId="151" r:id="rId8"/>
    <sheet name="F5 Foreign GDP" sheetId="152" r:id="rId9"/>
    <sheet name="T3 Fiscal" sheetId="183" r:id="rId10"/>
    <sheet name="F6 Distribution (C)" sheetId="179" r:id="rId11"/>
    <sheet name="F7 Products" sheetId="155" r:id="rId12"/>
    <sheet name="KEY INPUTS&gt;&gt;&gt;" sheetId="187" r:id="rId13"/>
    <sheet name=" LR Products" sheetId="135" r:id="rId14"/>
    <sheet name="VIX" sheetId="160" r:id="rId15"/>
    <sheet name="ricco_price_effects_and_etr" sheetId="193" r:id="rId16"/>
    <sheet name="Fiscal Summary" sheetId="116" r:id="rId17"/>
    <sheet name="mtax" sheetId="117" r:id="rId18"/>
    <sheet name="GTAP Imports" sheetId="118" r:id="rId19"/>
    <sheet name="Weighted US Tariff" sheetId="140" r:id="rId20"/>
    <sheet name="APRIL 2 WORKSHEET" sheetId="144" r:id="rId21"/>
    <sheet name="IGNORE&gt;&gt;&gt;" sheetId="153" r:id="rId22"/>
    <sheet name="F4 GDP (Crowd-In)" sheetId="175" r:id="rId23"/>
    <sheet name="Crowd In Multipliers" sheetId="174" r:id="rId24"/>
    <sheet name="C Shares" sheetId="188" r:id="rId25"/>
    <sheet name="Retaliation" sheetId="189" r:id="rId26"/>
    <sheet name="Numeraire" sheetId="190" r:id="rId27"/>
    <sheet name="232 Shares John" sheetId="192" r:id="rId28"/>
    <sheet name="232 Shares Ernie" sheetId="191" r:id="rId29"/>
    <sheet name="Semiconductor Worksheet" sheetId="159" r:id="rId30"/>
    <sheet name="FD2023" sheetId="164" r:id="rId31"/>
    <sheet name="Full Imports" sheetId="177" r:id="rId32"/>
    <sheet name="USMCA Imports" sheetId="176" r:id="rId33"/>
    <sheet name="Imports 2023" sheetId="121" r:id="rId34"/>
  </sheets>
  <externalReferences>
    <externalReference r:id="rId35"/>
    <externalReference r:id="rId36"/>
    <externalReference r:id="rId37"/>
    <externalReference r:id="rId38"/>
  </externalReferences>
  <definedNames>
    <definedName name="__123Graph_A">#N/A</definedName>
    <definedName name="__123Graph_AGRAPH1">#N/A</definedName>
    <definedName name="_1__123Graph_AAGI_TPY">#N/A</definedName>
    <definedName name="_10__123Graph_ACHART_9">#N/A</definedName>
    <definedName name="_11__123Graph_ATINC_AGI">#N/A</definedName>
    <definedName name="_12__123Graph_BAGI_TPY">#N/A</definedName>
    <definedName name="_13__123Graph_BCHART_10">#N/A</definedName>
    <definedName name="_14__123Graph_BCHART_11">#N/A</definedName>
    <definedName name="_15__123Graph_BCHART_6">#N/A</definedName>
    <definedName name="_16__123Graph_BCHART_7">#N/A</definedName>
    <definedName name="_17__123Graph_BCHART_8">#N/A</definedName>
    <definedName name="_18__123Graph_CCHART_7">#N/A</definedName>
    <definedName name="_19__123Graph_DCHART_7">#N/A</definedName>
    <definedName name="_1INT_DEBT">#REF!</definedName>
    <definedName name="_2__123Graph_ACHART_10">#N/A</definedName>
    <definedName name="_20__123Graph_ECHART_3">#N/A</definedName>
    <definedName name="_2003">#N/A</definedName>
    <definedName name="_21__123Graph_ECHART_7">#N/A</definedName>
    <definedName name="_22__123Graph_FCHART_3">#N/A</definedName>
    <definedName name="_23__123Graph_FCHART_7">#N/A</definedName>
    <definedName name="_24__123Graph_XAGI_TPY">#N/A</definedName>
    <definedName name="_25__123Graph_XCHART_10">#N/A</definedName>
    <definedName name="_26__123Graph_XCHART_11">#N/A</definedName>
    <definedName name="_27__123Graph_XCHART_12">#N/A</definedName>
    <definedName name="_28__123Graph_XCHART_13">#N/A</definedName>
    <definedName name="_29__123Graph_XCHART_3">#N/A</definedName>
    <definedName name="_3__123Graph_ACHART_11">#N/A</definedName>
    <definedName name="_30__123Graph_XCHART_5">#N/A</definedName>
    <definedName name="_31__123Graph_XCHART_6">#N/A</definedName>
    <definedName name="_32__123Graph_XCHART_7">#N/A</definedName>
    <definedName name="_33__123Graph_XCHART_8">#N/A</definedName>
    <definedName name="_34__123Graph_XCHART_9">#N/A</definedName>
    <definedName name="_35__123Graph_XTINC_AGI">#N/A</definedName>
    <definedName name="_4__123Graph_ACHART_12">#N/A</definedName>
    <definedName name="_5__123Graph_ACHART_13">#N/A</definedName>
    <definedName name="_6__123Graph_ACHART_5">#N/A</definedName>
    <definedName name="_7__123Graph_ACHART_6">#N/A</definedName>
    <definedName name="_8__123Graph_ACHART_7">#N/A</definedName>
    <definedName name="_9__123Graph_ACHART_8">#N/A</definedName>
    <definedName name="_DLX1" localSheetId="27">'232 Shares John'!$D$3:$E$98</definedName>
    <definedName name="_DLX1" localSheetId="24">'C Shares'!$BL$1:$KP$6</definedName>
    <definedName name="_DLX1" localSheetId="10">'F6 Distribution (C)'!$BJ$1:$KD$6</definedName>
    <definedName name="_DLX1">#REF!</definedName>
    <definedName name="_DLX2">#REF!</definedName>
    <definedName name="_DLX3">'Semiconductor Worksheet'!$K$1:$AR$13</definedName>
    <definedName name="_DLX4">VIX!$N$9:$X$21</definedName>
    <definedName name="_DLX5">'232 Shares Ernie'!$H$3:$BD$16</definedName>
    <definedName name="_Fill" hidden="1">#REF!</definedName>
    <definedName name="_ftn1" localSheetId="18">'GTAP Imports'!$F$21</definedName>
    <definedName name="_xleta.AND" hidden="1" xlm="1">#NAME?</definedName>
    <definedName name="_xleta.MATCH" hidden="1" xlm="1">#NAME?</definedName>
    <definedName name="_xleta.PRICE" hidden="1" xlm="1">#NAME?</definedName>
    <definedName name="_xleta.SUMPRODUCT" hidden="1" xlm="1">#NAME?</definedName>
    <definedName name="ALL">#N/A</definedName>
    <definedName name="BACKUP">#REF!</definedName>
    <definedName name="BASELINE">#REF!</definedName>
    <definedName name="BudgetYear">#REF!</definedName>
    <definedName name="CHANGE">#N/A</definedName>
    <definedName name="COVER">#REF!</definedName>
    <definedName name="CurrentYear">#REF!</definedName>
    <definedName name="DOLLARS">#REF!</definedName>
    <definedName name="fromyear">[1]Data!$B$24</definedName>
    <definedName name="FY">#REF!</definedName>
    <definedName name="FYCPIU">#REF!</definedName>
    <definedName name="GRAPH_2003">#N/A</definedName>
    <definedName name="GRAPHS">#N/A</definedName>
    <definedName name="GROWTH">#REF!</definedName>
    <definedName name="GrowthRateYearRange_High">#REF!</definedName>
    <definedName name="GrowthRateYearRange_Low">#REF!</definedName>
    <definedName name="GRWTH">#REF!</definedName>
    <definedName name="I_\Baseline\David\Winter99\111898\_r1118b.xls_A">#REF!</definedName>
    <definedName name="I_\Baseline\David\Winter99\preadvisers\_r111698a.xls_A">#REF!</definedName>
    <definedName name="macro">#REF!</definedName>
    <definedName name="MACRO_DATA">#REF!</definedName>
    <definedName name="MBBTotalPrintArea">#REF!</definedName>
    <definedName name="newbase">[2]Data!$C$3</definedName>
    <definedName name="OFFBUD">#REF!</definedName>
    <definedName name="oldbase">[2]Data!$C$2</definedName>
    <definedName name="OutYear1">#REF!</definedName>
    <definedName name="OutYear2">#REF!</definedName>
    <definedName name="OutYear3">#REF!</definedName>
    <definedName name="OutYear4">#REF!</definedName>
    <definedName name="OutYear5">#REF!</definedName>
    <definedName name="OutYear6">#REF!</definedName>
    <definedName name="OutYear7">#REF!</definedName>
    <definedName name="OutYear8">#REF!</definedName>
    <definedName name="OutYear9">#REF!</definedName>
    <definedName name="Parameters2">#REF!</definedName>
    <definedName name="Parameters3">#REF!</definedName>
    <definedName name="PRINT">#REF!</definedName>
    <definedName name="_xlnm.Print_Area" localSheetId="20">'APRIL 2 WORKSHEET'!$A$7:$C$307</definedName>
    <definedName name="_xlnm.Print_Area">#REF!</definedName>
    <definedName name="Print_Area2">'[3]Growth rates'!$B$3:$M$61</definedName>
    <definedName name="print_area3">#REF!</definedName>
    <definedName name="_xlnm.Print_Titles" localSheetId="20">'APRIL 2 WORKSHEET'!$7:$15</definedName>
    <definedName name="_xlnm.Print_Titles">#N/A</definedName>
    <definedName name="PRINTALL">#N/A</definedName>
    <definedName name="PRINTP1">#REF!</definedName>
    <definedName name="PRINTP2">#REF!</definedName>
    <definedName name="PRINTP3">#REF!</definedName>
    <definedName name="PriorYear">#REF!</definedName>
    <definedName name="SOG">#REF!</definedName>
    <definedName name="solver_adj" localSheetId="7" hidden="1">'F4 US Sector Output'!$J$11:$J$75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lhs1" localSheetId="7" hidden="1">'F4 US Sector Output'!$J$11:$J$75</definedName>
    <definedName name="solver_lhs2" localSheetId="7" hidden="1">'F4 US Sector Output'!$J$11:$J$75</definedName>
    <definedName name="solver_lhs3" localSheetId="7" hidden="1">'F4 US Sector Output'!$J$77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3</definedName>
    <definedName name="solver_nwt" localSheetId="7" hidden="1">1</definedName>
    <definedName name="solver_opt" localSheetId="7" hidden="1">'F4 US Sector Output'!$Q$19</definedName>
    <definedName name="solver_pre" localSheetId="7" hidden="1">0.000001</definedName>
    <definedName name="solver_rbv" localSheetId="7" hidden="1">2</definedName>
    <definedName name="solver_rel1" localSheetId="7" hidden="1">1</definedName>
    <definedName name="solver_rel2" localSheetId="7" hidden="1">3</definedName>
    <definedName name="solver_rel3" localSheetId="7" hidden="1">2</definedName>
    <definedName name="solver_rhs1" localSheetId="7" hidden="1">'F4 US Sector Output'!$G$11:$G$75</definedName>
    <definedName name="solver_rhs2" localSheetId="7" hidden="1">0</definedName>
    <definedName name="solver_rhs3" localSheetId="7" hidden="1">'F4 US Sector Output'!$G$78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2</definedName>
    <definedName name="solver_val" localSheetId="7" hidden="1">0</definedName>
    <definedName name="solver_ver" localSheetId="7" hidden="1">3</definedName>
    <definedName name="SUP" localSheetId="20">#REF!</definedName>
    <definedName name="SUP">#REF!</definedName>
    <definedName name="TABLE4">#REF!</definedName>
    <definedName name="toyear">[1]Data!$B$25</definedName>
    <definedName name="VPART1">#N/A</definedName>
    <definedName name="VPART2">#N/A</definedName>
    <definedName name="VPART3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116" l="1"/>
  <c r="B21" i="116"/>
  <c r="C28" i="116"/>
  <c r="D33" i="194"/>
  <c r="D32" i="194"/>
  <c r="D31" i="194"/>
  <c r="D30" i="194"/>
  <c r="D29" i="194"/>
  <c r="D28" i="194"/>
  <c r="D27" i="194"/>
  <c r="D26" i="194"/>
  <c r="D25" i="194"/>
  <c r="D24" i="194"/>
  <c r="D23" i="194"/>
  <c r="D22" i="194"/>
  <c r="D21" i="194"/>
  <c r="D20" i="194"/>
  <c r="D19" i="194"/>
  <c r="D18" i="194"/>
  <c r="D17" i="194"/>
  <c r="D16" i="194"/>
  <c r="D15" i="194"/>
  <c r="D14" i="194"/>
  <c r="D13" i="194"/>
  <c r="D12" i="194"/>
  <c r="D11" i="194"/>
  <c r="D10" i="194"/>
  <c r="D9" i="194"/>
  <c r="D8" i="194"/>
  <c r="D7" i="194"/>
  <c r="D6" i="194"/>
  <c r="D5" i="194"/>
  <c r="D4" i="194"/>
  <c r="D3" i="194"/>
  <c r="D2" i="194"/>
  <c r="D34" i="194"/>
  <c r="D288" i="194"/>
  <c r="D287" i="194"/>
  <c r="D286" i="194"/>
  <c r="D285" i="194"/>
  <c r="D284" i="194"/>
  <c r="D283" i="194"/>
  <c r="D282" i="194"/>
  <c r="D281" i="194"/>
  <c r="D280" i="194"/>
  <c r="D279" i="194"/>
  <c r="D278" i="194"/>
  <c r="D277" i="194"/>
  <c r="D276" i="194"/>
  <c r="D275" i="194"/>
  <c r="D274" i="194"/>
  <c r="D273" i="194"/>
  <c r="D272" i="194"/>
  <c r="D271" i="194"/>
  <c r="D270" i="194"/>
  <c r="D269" i="194"/>
  <c r="D268" i="194"/>
  <c r="D267" i="194"/>
  <c r="D266" i="194"/>
  <c r="D265" i="194"/>
  <c r="D264" i="194"/>
  <c r="D263" i="194"/>
  <c r="D262" i="194"/>
  <c r="D261" i="194"/>
  <c r="D260" i="194"/>
  <c r="D259" i="194"/>
  <c r="D258" i="194"/>
  <c r="D257" i="194"/>
  <c r="D256" i="194"/>
  <c r="D255" i="194"/>
  <c r="D254" i="194"/>
  <c r="D253" i="194"/>
  <c r="D252" i="194"/>
  <c r="D251" i="194"/>
  <c r="D250" i="194"/>
  <c r="D249" i="194"/>
  <c r="D248" i="194"/>
  <c r="D247" i="194"/>
  <c r="D246" i="194"/>
  <c r="D245" i="194"/>
  <c r="D244" i="194"/>
  <c r="D243" i="194"/>
  <c r="D242" i="194"/>
  <c r="D241" i="194"/>
  <c r="D240" i="194"/>
  <c r="D239" i="194"/>
  <c r="D238" i="194"/>
  <c r="D237" i="194"/>
  <c r="D236" i="194"/>
  <c r="D235" i="194"/>
  <c r="D234" i="194"/>
  <c r="D233" i="194"/>
  <c r="D232" i="194"/>
  <c r="D231" i="194"/>
  <c r="D230" i="194"/>
  <c r="D229" i="194"/>
  <c r="D228" i="194"/>
  <c r="D227" i="194"/>
  <c r="D226" i="194"/>
  <c r="D225" i="194"/>
  <c r="D224" i="194"/>
  <c r="D223" i="194"/>
  <c r="D222" i="194"/>
  <c r="D221" i="194"/>
  <c r="D220" i="194"/>
  <c r="D219" i="194"/>
  <c r="D218" i="194"/>
  <c r="D217" i="194"/>
  <c r="D216" i="194"/>
  <c r="D215" i="194"/>
  <c r="D214" i="194"/>
  <c r="D213" i="194"/>
  <c r="D212" i="194"/>
  <c r="D211" i="194"/>
  <c r="D210" i="194"/>
  <c r="D209" i="194"/>
  <c r="D208" i="194"/>
  <c r="D207" i="194"/>
  <c r="D206" i="194"/>
  <c r="D205" i="194"/>
  <c r="D204" i="194"/>
  <c r="D203" i="194"/>
  <c r="D202" i="194"/>
  <c r="D201" i="194"/>
  <c r="D200" i="194"/>
  <c r="D199" i="194"/>
  <c r="D198" i="194"/>
  <c r="D197" i="194"/>
  <c r="D196" i="194"/>
  <c r="D195" i="194"/>
  <c r="D194" i="194"/>
  <c r="D193" i="194"/>
  <c r="D192" i="194"/>
  <c r="D191" i="194"/>
  <c r="D190" i="194"/>
  <c r="D189" i="194"/>
  <c r="D188" i="194"/>
  <c r="D187" i="194"/>
  <c r="D186" i="194"/>
  <c r="D185" i="194"/>
  <c r="D184" i="194"/>
  <c r="D183" i="194"/>
  <c r="D182" i="194"/>
  <c r="D181" i="194"/>
  <c r="D180" i="194"/>
  <c r="D179" i="194"/>
  <c r="D178" i="194"/>
  <c r="D177" i="194"/>
  <c r="D176" i="194"/>
  <c r="D175" i="194"/>
  <c r="D174" i="194"/>
  <c r="D173" i="194"/>
  <c r="D172" i="194"/>
  <c r="D171" i="194"/>
  <c r="D170" i="194"/>
  <c r="D169" i="194"/>
  <c r="D168" i="194"/>
  <c r="D167" i="194"/>
  <c r="D166" i="194"/>
  <c r="D165" i="194"/>
  <c r="D164" i="194"/>
  <c r="D163" i="194"/>
  <c r="D162" i="194"/>
  <c r="D161" i="194"/>
  <c r="D160" i="194"/>
  <c r="D159" i="194"/>
  <c r="D158" i="194"/>
  <c r="D157" i="194"/>
  <c r="D156" i="194"/>
  <c r="D155" i="194"/>
  <c r="D154" i="194"/>
  <c r="D153" i="194"/>
  <c r="D152" i="194"/>
  <c r="D151" i="194"/>
  <c r="D150" i="194"/>
  <c r="D149" i="194"/>
  <c r="D148" i="194"/>
  <c r="D147" i="194"/>
  <c r="D146" i="194"/>
  <c r="D145" i="194"/>
  <c r="D144" i="194"/>
  <c r="D143" i="194"/>
  <c r="D142" i="194"/>
  <c r="D141" i="194"/>
  <c r="D140" i="194"/>
  <c r="D139" i="194"/>
  <c r="D138" i="194"/>
  <c r="D137" i="194"/>
  <c r="D136" i="194"/>
  <c r="D135" i="194"/>
  <c r="D134" i="194"/>
  <c r="D133" i="194"/>
  <c r="D132" i="194"/>
  <c r="D131" i="194"/>
  <c r="D130" i="194"/>
  <c r="D129" i="194"/>
  <c r="D128" i="194"/>
  <c r="D127" i="194"/>
  <c r="D126" i="194"/>
  <c r="D125" i="194"/>
  <c r="D124" i="194"/>
  <c r="D123" i="194"/>
  <c r="D122" i="194"/>
  <c r="D121" i="194"/>
  <c r="D120" i="194"/>
  <c r="D119" i="194"/>
  <c r="D118" i="194"/>
  <c r="D117" i="194"/>
  <c r="D116" i="194"/>
  <c r="D115" i="194"/>
  <c r="D114" i="194"/>
  <c r="D113" i="194"/>
  <c r="D112" i="194"/>
  <c r="D111" i="194"/>
  <c r="D110" i="194"/>
  <c r="D109" i="194"/>
  <c r="D108" i="194"/>
  <c r="D107" i="194"/>
  <c r="D106" i="194"/>
  <c r="D105" i="194"/>
  <c r="D104" i="194"/>
  <c r="D103" i="194"/>
  <c r="D102" i="194"/>
  <c r="D101" i="194"/>
  <c r="D100" i="194"/>
  <c r="D99" i="194"/>
  <c r="D98" i="194"/>
  <c r="D97" i="194"/>
  <c r="D96" i="194"/>
  <c r="D95" i="194"/>
  <c r="D94" i="194"/>
  <c r="D93" i="194"/>
  <c r="D92" i="194"/>
  <c r="D91" i="194"/>
  <c r="D90" i="194"/>
  <c r="D89" i="194"/>
  <c r="D88" i="194"/>
  <c r="D87" i="194"/>
  <c r="D86" i="194"/>
  <c r="D85" i="194"/>
  <c r="D84" i="194"/>
  <c r="D83" i="194"/>
  <c r="D82" i="194"/>
  <c r="D81" i="194"/>
  <c r="D80" i="194"/>
  <c r="D79" i="194"/>
  <c r="D78" i="194"/>
  <c r="D77" i="194"/>
  <c r="D76" i="194"/>
  <c r="D75" i="194"/>
  <c r="D74" i="194"/>
  <c r="D73" i="194"/>
  <c r="D72" i="194"/>
  <c r="D71" i="194"/>
  <c r="D70" i="194"/>
  <c r="D69" i="194"/>
  <c r="D68" i="194"/>
  <c r="D67" i="194"/>
  <c r="D66" i="194"/>
  <c r="D65" i="194"/>
  <c r="D64" i="194"/>
  <c r="D63" i="194"/>
  <c r="D62" i="194"/>
  <c r="D61" i="194"/>
  <c r="D60" i="194"/>
  <c r="D59" i="194"/>
  <c r="D58" i="194"/>
  <c r="D57" i="194"/>
  <c r="D56" i="194"/>
  <c r="D55" i="194"/>
  <c r="D54" i="194"/>
  <c r="D53" i="194"/>
  <c r="D52" i="194"/>
  <c r="D51" i="194"/>
  <c r="D50" i="194"/>
  <c r="D49" i="194"/>
  <c r="D48" i="194"/>
  <c r="D47" i="194"/>
  <c r="D46" i="194"/>
  <c r="D45" i="194"/>
  <c r="D44" i="194"/>
  <c r="D43" i="194"/>
  <c r="D42" i="194"/>
  <c r="D41" i="194"/>
  <c r="D40" i="194"/>
  <c r="D39" i="194"/>
  <c r="D38" i="194"/>
  <c r="D37" i="194"/>
  <c r="D36" i="194"/>
  <c r="D35" i="194"/>
  <c r="D289" i="194"/>
  <c r="D334" i="194"/>
  <c r="D333" i="194"/>
  <c r="D332" i="194"/>
  <c r="D331" i="194"/>
  <c r="D330" i="194"/>
  <c r="D329" i="194"/>
  <c r="D328" i="194"/>
  <c r="D327" i="194"/>
  <c r="D326" i="194"/>
  <c r="D325" i="194"/>
  <c r="D324" i="194"/>
  <c r="D323" i="194"/>
  <c r="D322" i="194"/>
  <c r="D321" i="194"/>
  <c r="D320" i="194"/>
  <c r="D319" i="194"/>
  <c r="D317" i="194"/>
  <c r="D316" i="194"/>
  <c r="D315" i="194"/>
  <c r="D314" i="194"/>
  <c r="D313" i="194"/>
  <c r="D312" i="194"/>
  <c r="D311" i="194"/>
  <c r="D310" i="194"/>
  <c r="D309" i="194"/>
  <c r="D308" i="194"/>
  <c r="D307" i="194"/>
  <c r="D306" i="194"/>
  <c r="D305" i="194"/>
  <c r="D304" i="194"/>
  <c r="D303" i="194"/>
  <c r="D302" i="194"/>
  <c r="D301" i="194"/>
  <c r="D300" i="194"/>
  <c r="D299" i="194"/>
  <c r="D298" i="194"/>
  <c r="D297" i="194"/>
  <c r="D296" i="194"/>
  <c r="D295" i="194"/>
  <c r="D294" i="194"/>
  <c r="D293" i="194"/>
  <c r="D292" i="194"/>
  <c r="D291" i="194"/>
  <c r="D290" i="194"/>
  <c r="D318" i="194"/>
  <c r="C334" i="194"/>
  <c r="C333" i="194"/>
  <c r="C332" i="194"/>
  <c r="C331" i="194"/>
  <c r="C330" i="194"/>
  <c r="C329" i="194"/>
  <c r="C328" i="194"/>
  <c r="C327" i="194"/>
  <c r="C326" i="194"/>
  <c r="C325" i="194"/>
  <c r="C324" i="194"/>
  <c r="C323" i="194"/>
  <c r="C322" i="194"/>
  <c r="C321" i="194"/>
  <c r="C320" i="194"/>
  <c r="C319" i="194"/>
  <c r="C318" i="194"/>
  <c r="C310" i="194" s="1"/>
  <c r="C317" i="194"/>
  <c r="C313" i="194"/>
  <c r="C312" i="194"/>
  <c r="C311" i="194"/>
  <c r="C306" i="194"/>
  <c r="C305" i="194"/>
  <c r="A243" i="194"/>
  <c r="A242" i="194"/>
  <c r="A241" i="194"/>
  <c r="A240" i="194"/>
  <c r="A239" i="194"/>
  <c r="A238" i="194"/>
  <c r="A237" i="194"/>
  <c r="A236" i="194"/>
  <c r="A235" i="194"/>
  <c r="A234" i="194"/>
  <c r="A233" i="194"/>
  <c r="A232" i="194"/>
  <c r="A231" i="194"/>
  <c r="A230" i="194"/>
  <c r="A229" i="194"/>
  <c r="A228" i="194"/>
  <c r="A227" i="194"/>
  <c r="A226" i="194"/>
  <c r="A225" i="194"/>
  <c r="A224" i="194"/>
  <c r="A223" i="194"/>
  <c r="A222" i="194"/>
  <c r="A221" i="194"/>
  <c r="A220" i="194"/>
  <c r="A219" i="194"/>
  <c r="A218" i="194"/>
  <c r="A217" i="194"/>
  <c r="A216" i="194"/>
  <c r="A215" i="194"/>
  <c r="A214" i="194"/>
  <c r="C213" i="194"/>
  <c r="C214" i="194" s="1"/>
  <c r="C215" i="194" s="1"/>
  <c r="C216" i="194" s="1"/>
  <c r="C217" i="194" s="1"/>
  <c r="C218" i="194" s="1"/>
  <c r="A213" i="194"/>
  <c r="A212" i="194"/>
  <c r="A211" i="194"/>
  <c r="A210" i="194"/>
  <c r="A209" i="194"/>
  <c r="A208" i="194"/>
  <c r="A207" i="194"/>
  <c r="A206" i="194"/>
  <c r="A205" i="194"/>
  <c r="A204" i="194"/>
  <c r="A203" i="194"/>
  <c r="A202" i="194"/>
  <c r="A201" i="194"/>
  <c r="A200" i="194"/>
  <c r="A199" i="194"/>
  <c r="A198" i="194"/>
  <c r="A197" i="194"/>
  <c r="A196" i="194"/>
  <c r="A195" i="194"/>
  <c r="A194" i="194"/>
  <c r="A193" i="194"/>
  <c r="A192" i="194"/>
  <c r="A191" i="194"/>
  <c r="A190" i="194"/>
  <c r="A189" i="194"/>
  <c r="A188" i="194"/>
  <c r="A187" i="194"/>
  <c r="A186" i="194"/>
  <c r="A185" i="194"/>
  <c r="A184" i="194"/>
  <c r="A183" i="194"/>
  <c r="A182" i="194"/>
  <c r="E181" i="194"/>
  <c r="A181" i="194"/>
  <c r="A180" i="194"/>
  <c r="A179" i="194"/>
  <c r="A178" i="194"/>
  <c r="A177" i="194"/>
  <c r="A176" i="194"/>
  <c r="A175" i="194"/>
  <c r="A174" i="194"/>
  <c r="A173" i="194"/>
  <c r="A172" i="194"/>
  <c r="A171" i="194"/>
  <c r="A170" i="194"/>
  <c r="A169" i="194"/>
  <c r="A168" i="194"/>
  <c r="A167" i="194"/>
  <c r="A166" i="194"/>
  <c r="A165" i="194"/>
  <c r="A164" i="194"/>
  <c r="A163" i="194"/>
  <c r="A162" i="194"/>
  <c r="A161" i="194"/>
  <c r="A160" i="194"/>
  <c r="A159" i="194"/>
  <c r="A158" i="194"/>
  <c r="A157" i="194"/>
  <c r="A156" i="194"/>
  <c r="A155" i="194"/>
  <c r="A154" i="194"/>
  <c r="A153" i="194"/>
  <c r="A152" i="194"/>
  <c r="A151" i="194"/>
  <c r="A150" i="194"/>
  <c r="A149" i="194"/>
  <c r="C148" i="194"/>
  <c r="A148" i="194"/>
  <c r="C147" i="194"/>
  <c r="A147" i="194"/>
  <c r="C146" i="194"/>
  <c r="A146" i="194"/>
  <c r="C145" i="194"/>
  <c r="A145" i="194"/>
  <c r="A144" i="194"/>
  <c r="A143" i="194"/>
  <c r="A142" i="194"/>
  <c r="A141" i="194"/>
  <c r="A140" i="194"/>
  <c r="A139" i="194"/>
  <c r="A138" i="194"/>
  <c r="A137" i="194"/>
  <c r="A136" i="194"/>
  <c r="A135" i="194"/>
  <c r="A134" i="194"/>
  <c r="A133" i="194"/>
  <c r="A132" i="194"/>
  <c r="A131" i="194"/>
  <c r="A130" i="194"/>
  <c r="A129" i="194"/>
  <c r="A128" i="194"/>
  <c r="A127" i="194"/>
  <c r="A126" i="194"/>
  <c r="A125" i="194"/>
  <c r="A124" i="194"/>
  <c r="A123" i="194"/>
  <c r="A122" i="194"/>
  <c r="A121" i="194"/>
  <c r="A120" i="194"/>
  <c r="A119" i="194"/>
  <c r="A118" i="194"/>
  <c r="A117" i="194"/>
  <c r="A116" i="194"/>
  <c r="A115" i="194"/>
  <c r="A114" i="194"/>
  <c r="A113" i="194"/>
  <c r="A112" i="194"/>
  <c r="A111" i="194"/>
  <c r="A110" i="194"/>
  <c r="A109" i="194"/>
  <c r="A108" i="194"/>
  <c r="A107" i="194"/>
  <c r="A106" i="194"/>
  <c r="A105" i="194"/>
  <c r="A104" i="194"/>
  <c r="A103" i="194"/>
  <c r="A102" i="194"/>
  <c r="A101" i="194"/>
  <c r="A100" i="194"/>
  <c r="A99" i="194"/>
  <c r="A98" i="194"/>
  <c r="A97" i="194"/>
  <c r="A96" i="194"/>
  <c r="A95" i="194"/>
  <c r="A94" i="194"/>
  <c r="A93" i="194"/>
  <c r="A92" i="194"/>
  <c r="A91" i="194"/>
  <c r="A90" i="194"/>
  <c r="A89" i="194"/>
  <c r="A88" i="194"/>
  <c r="A87" i="194"/>
  <c r="A86" i="194"/>
  <c r="A85" i="194"/>
  <c r="A84" i="194"/>
  <c r="A83" i="194"/>
  <c r="A82" i="194"/>
  <c r="A81" i="194"/>
  <c r="A80" i="194"/>
  <c r="A79" i="194"/>
  <c r="A78" i="194"/>
  <c r="A77" i="194"/>
  <c r="A76" i="194"/>
  <c r="A75" i="194"/>
  <c r="A74" i="194"/>
  <c r="A73" i="194"/>
  <c r="A72" i="194"/>
  <c r="A71" i="194"/>
  <c r="A70" i="194"/>
  <c r="A69" i="194"/>
  <c r="A68" i="194"/>
  <c r="A67" i="194"/>
  <c r="A66" i="194"/>
  <c r="A65" i="194"/>
  <c r="A64" i="194"/>
  <c r="A63" i="194"/>
  <c r="A62" i="194"/>
  <c r="A61" i="194"/>
  <c r="A60" i="194"/>
  <c r="A59" i="194"/>
  <c r="A58" i="194"/>
  <c r="A57" i="194"/>
  <c r="A56" i="194"/>
  <c r="A55" i="194"/>
  <c r="A54" i="194"/>
  <c r="A53" i="194"/>
  <c r="A52" i="194"/>
  <c r="A51" i="194"/>
  <c r="A50" i="194"/>
  <c r="A49" i="194"/>
  <c r="A48" i="194"/>
  <c r="A47" i="194"/>
  <c r="A46" i="194"/>
  <c r="A45" i="194"/>
  <c r="A44" i="194"/>
  <c r="A43" i="194"/>
  <c r="A42" i="194"/>
  <c r="A41" i="194"/>
  <c r="A40" i="194"/>
  <c r="A39" i="194"/>
  <c r="A38" i="194"/>
  <c r="A37" i="194"/>
  <c r="A36" i="194"/>
  <c r="A35" i="194"/>
  <c r="A34" i="194"/>
  <c r="A33" i="194"/>
  <c r="A32" i="194"/>
  <c r="A31" i="194"/>
  <c r="A30" i="194"/>
  <c r="A29" i="194"/>
  <c r="A28" i="194"/>
  <c r="A27" i="194"/>
  <c r="A26" i="194"/>
  <c r="A25" i="194"/>
  <c r="A24" i="194"/>
  <c r="A23" i="194"/>
  <c r="A22" i="194"/>
  <c r="A21" i="194"/>
  <c r="A20" i="194"/>
  <c r="A19" i="194"/>
  <c r="A18" i="194"/>
  <c r="A17" i="194"/>
  <c r="A16" i="194"/>
  <c r="A15" i="194"/>
  <c r="A14" i="194"/>
  <c r="A13" i="194"/>
  <c r="A12" i="194"/>
  <c r="A11" i="194"/>
  <c r="A10" i="194"/>
  <c r="A9" i="194"/>
  <c r="A8" i="194"/>
  <c r="A7" i="194"/>
  <c r="A6" i="194"/>
  <c r="A5" i="194"/>
  <c r="A4" i="194"/>
  <c r="A3" i="194"/>
  <c r="A2" i="194"/>
  <c r="D4" i="185"/>
  <c r="C314" i="194" l="1"/>
  <c r="C315" i="194"/>
  <c r="C304" i="194"/>
  <c r="C316" i="194"/>
  <c r="C307" i="194"/>
  <c r="C308" i="194"/>
  <c r="C309" i="194"/>
  <c r="N54" i="140"/>
  <c r="M54" i="140"/>
  <c r="M36" i="140"/>
  <c r="M39" i="140"/>
  <c r="M17" i="140"/>
  <c r="M18" i="140"/>
  <c r="M13" i="140"/>
  <c r="Z13" i="140"/>
  <c r="M12" i="140"/>
  <c r="C298" i="194" l="1"/>
  <c r="C297" i="194"/>
  <c r="C296" i="194"/>
  <c r="C295" i="194"/>
  <c r="C293" i="194"/>
  <c r="C300" i="194"/>
  <c r="C294" i="194"/>
  <c r="C292" i="194"/>
  <c r="C303" i="194"/>
  <c r="C291" i="194"/>
  <c r="C301" i="194"/>
  <c r="C299" i="194"/>
  <c r="C302" i="194"/>
  <c r="C290" i="194"/>
  <c r="D6" i="154"/>
  <c r="B29" i="185"/>
  <c r="D5" i="155"/>
  <c r="O12" i="140"/>
  <c r="C302" i="182" l="1"/>
  <c r="C301" i="182"/>
  <c r="C300" i="182"/>
  <c r="C299" i="182"/>
  <c r="C298" i="182"/>
  <c r="C297" i="182"/>
  <c r="C296" i="182"/>
  <c r="C295" i="182"/>
  <c r="C294" i="182"/>
  <c r="C293" i="182"/>
  <c r="C292" i="182"/>
  <c r="C291" i="182"/>
  <c r="C290" i="182"/>
  <c r="C303" i="182"/>
  <c r="C316" i="182"/>
  <c r="C315" i="182"/>
  <c r="C314" i="182"/>
  <c r="C313" i="182"/>
  <c r="C312" i="182"/>
  <c r="C311" i="182"/>
  <c r="C310" i="182"/>
  <c r="C309" i="182"/>
  <c r="C308" i="182"/>
  <c r="C307" i="182"/>
  <c r="C306" i="182"/>
  <c r="C305" i="182"/>
  <c r="C304" i="182"/>
  <c r="C317" i="182"/>
  <c r="C318" i="182"/>
  <c r="B23" i="116"/>
  <c r="G10" i="154"/>
  <c r="F10" i="154"/>
  <c r="G9" i="154"/>
  <c r="G8" i="154"/>
  <c r="F8" i="154"/>
  <c r="G7" i="154"/>
  <c r="F7" i="154"/>
  <c r="G6" i="154"/>
  <c r="F6" i="154"/>
  <c r="E9" i="154"/>
  <c r="E8" i="154"/>
  <c r="E7" i="154"/>
  <c r="E6" i="154"/>
  <c r="D9" i="154"/>
  <c r="F9" i="154" s="1"/>
  <c r="D8" i="154"/>
  <c r="D7" i="154"/>
  <c r="C10" i="154"/>
  <c r="C9" i="154"/>
  <c r="C8" i="154"/>
  <c r="C7" i="154"/>
  <c r="C6" i="154"/>
  <c r="B10" i="154"/>
  <c r="BO56" i="193"/>
  <c r="BO126" i="193"/>
  <c r="B9" i="154" s="1"/>
  <c r="B8" i="154"/>
  <c r="B7" i="154"/>
  <c r="B6" i="154"/>
  <c r="D25" i="193"/>
  <c r="D24" i="193"/>
  <c r="BW55" i="193"/>
  <c r="BW125" i="193"/>
  <c r="BM125" i="193"/>
  <c r="BM126" i="193" s="1"/>
  <c r="BM56" i="193"/>
  <c r="BM55" i="193"/>
  <c r="BL56" i="193"/>
  <c r="BK56" i="193"/>
  <c r="BJ56" i="193"/>
  <c r="BI56" i="193"/>
  <c r="BH56" i="193"/>
  <c r="BG56" i="193"/>
  <c r="BF56" i="193"/>
  <c r="BE56" i="193"/>
  <c r="BL126" i="193"/>
  <c r="BK126" i="193"/>
  <c r="BJ126" i="193"/>
  <c r="BI126" i="193"/>
  <c r="BH126" i="193"/>
  <c r="BG126" i="193"/>
  <c r="BF126" i="193"/>
  <c r="BE126" i="193"/>
  <c r="BL125" i="193"/>
  <c r="BK125" i="193"/>
  <c r="BJ125" i="193"/>
  <c r="BI125" i="193"/>
  <c r="BH125" i="193"/>
  <c r="BG125" i="193"/>
  <c r="BF125" i="193"/>
  <c r="BE125" i="193"/>
  <c r="BL55" i="193"/>
  <c r="BK55" i="193"/>
  <c r="BJ55" i="193"/>
  <c r="BI55" i="193"/>
  <c r="BH55" i="193"/>
  <c r="BG55" i="193"/>
  <c r="BF55" i="193"/>
  <c r="BE55" i="193"/>
  <c r="BO55" i="193"/>
  <c r="BV125" i="193"/>
  <c r="BU125" i="193"/>
  <c r="BT125" i="193"/>
  <c r="BS125" i="193"/>
  <c r="BR125" i="193"/>
  <c r="BQ125" i="193"/>
  <c r="BP125" i="193"/>
  <c r="BO125" i="193"/>
  <c r="BV55" i="193"/>
  <c r="BU55" i="193"/>
  <c r="BT55" i="193"/>
  <c r="BS55" i="193"/>
  <c r="BR55" i="193"/>
  <c r="BQ55" i="193"/>
  <c r="BP55" i="193"/>
  <c r="BV124" i="193"/>
  <c r="BU124" i="193"/>
  <c r="BT124" i="193"/>
  <c r="BS124" i="193"/>
  <c r="BR124" i="193"/>
  <c r="BQ124" i="193"/>
  <c r="BP124" i="193"/>
  <c r="BO124" i="193"/>
  <c r="BV123" i="193"/>
  <c r="BU123" i="193"/>
  <c r="BT123" i="193"/>
  <c r="BS123" i="193"/>
  <c r="BR123" i="193"/>
  <c r="BQ123" i="193"/>
  <c r="BP123" i="193"/>
  <c r="BO123" i="193"/>
  <c r="BV122" i="193"/>
  <c r="BU122" i="193"/>
  <c r="BT122" i="193"/>
  <c r="BS122" i="193"/>
  <c r="BR122" i="193"/>
  <c r="BQ122" i="193"/>
  <c r="BP122" i="193"/>
  <c r="BO122" i="193"/>
  <c r="BV121" i="193"/>
  <c r="BU121" i="193"/>
  <c r="BT121" i="193"/>
  <c r="BS121" i="193"/>
  <c r="BR121" i="193"/>
  <c r="BQ121" i="193"/>
  <c r="BP121" i="193"/>
  <c r="BO121" i="193"/>
  <c r="BV120" i="193"/>
  <c r="BU120" i="193"/>
  <c r="BT120" i="193"/>
  <c r="BS120" i="193"/>
  <c r="BR120" i="193"/>
  <c r="BQ120" i="193"/>
  <c r="BP120" i="193"/>
  <c r="BO120" i="193"/>
  <c r="BV119" i="193"/>
  <c r="BU119" i="193"/>
  <c r="BT119" i="193"/>
  <c r="BS119" i="193"/>
  <c r="BR119" i="193"/>
  <c r="BQ119" i="193"/>
  <c r="BP119" i="193"/>
  <c r="BO119" i="193"/>
  <c r="BV118" i="193"/>
  <c r="BU118" i="193"/>
  <c r="BT118" i="193"/>
  <c r="BS118" i="193"/>
  <c r="BR118" i="193"/>
  <c r="BQ118" i="193"/>
  <c r="BP118" i="193"/>
  <c r="BO118" i="193"/>
  <c r="BV117" i="193"/>
  <c r="BU117" i="193"/>
  <c r="BT117" i="193"/>
  <c r="BS117" i="193"/>
  <c r="BR117" i="193"/>
  <c r="BQ117" i="193"/>
  <c r="BP117" i="193"/>
  <c r="BO117" i="193"/>
  <c r="BV116" i="193"/>
  <c r="BU116" i="193"/>
  <c r="BT116" i="193"/>
  <c r="BS116" i="193"/>
  <c r="BR116" i="193"/>
  <c r="BQ116" i="193"/>
  <c r="BP116" i="193"/>
  <c r="BO116" i="193"/>
  <c r="BV115" i="193"/>
  <c r="BU115" i="193"/>
  <c r="BT115" i="193"/>
  <c r="BS115" i="193"/>
  <c r="BR115" i="193"/>
  <c r="BQ115" i="193"/>
  <c r="BP115" i="193"/>
  <c r="BO115" i="193"/>
  <c r="BV114" i="193"/>
  <c r="BU114" i="193"/>
  <c r="BT114" i="193"/>
  <c r="BS114" i="193"/>
  <c r="BR114" i="193"/>
  <c r="BQ114" i="193"/>
  <c r="BP114" i="193"/>
  <c r="BO114" i="193"/>
  <c r="BV113" i="193"/>
  <c r="BU113" i="193"/>
  <c r="BT113" i="193"/>
  <c r="BS113" i="193"/>
  <c r="BR113" i="193"/>
  <c r="BQ113" i="193"/>
  <c r="BP113" i="193"/>
  <c r="BO113" i="193"/>
  <c r="BV112" i="193"/>
  <c r="BU112" i="193"/>
  <c r="BT112" i="193"/>
  <c r="BS112" i="193"/>
  <c r="BR112" i="193"/>
  <c r="BQ112" i="193"/>
  <c r="BP112" i="193"/>
  <c r="BO112" i="193"/>
  <c r="BV111" i="193"/>
  <c r="BU111" i="193"/>
  <c r="BT111" i="193"/>
  <c r="BS111" i="193"/>
  <c r="BR111" i="193"/>
  <c r="BQ111" i="193"/>
  <c r="BP111" i="193"/>
  <c r="BO111" i="193"/>
  <c r="BV110" i="193"/>
  <c r="BU110" i="193"/>
  <c r="BT110" i="193"/>
  <c r="BS110" i="193"/>
  <c r="BR110" i="193"/>
  <c r="BQ110" i="193"/>
  <c r="BP110" i="193"/>
  <c r="BO110" i="193"/>
  <c r="BV109" i="193"/>
  <c r="BU109" i="193"/>
  <c r="BT109" i="193"/>
  <c r="BS109" i="193"/>
  <c r="BR109" i="193"/>
  <c r="BQ109" i="193"/>
  <c r="BP109" i="193"/>
  <c r="BO109" i="193"/>
  <c r="BV108" i="193"/>
  <c r="BU108" i="193"/>
  <c r="BT108" i="193"/>
  <c r="BS108" i="193"/>
  <c r="BR108" i="193"/>
  <c r="BQ108" i="193"/>
  <c r="BP108" i="193"/>
  <c r="BO108" i="193"/>
  <c r="BV107" i="193"/>
  <c r="BU107" i="193"/>
  <c r="BT107" i="193"/>
  <c r="BS107" i="193"/>
  <c r="BR107" i="193"/>
  <c r="BQ107" i="193"/>
  <c r="BP107" i="193"/>
  <c r="BO107" i="193"/>
  <c r="BV106" i="193"/>
  <c r="BU106" i="193"/>
  <c r="BT106" i="193"/>
  <c r="BS106" i="193"/>
  <c r="BR106" i="193"/>
  <c r="BQ106" i="193"/>
  <c r="BP106" i="193"/>
  <c r="BO106" i="193"/>
  <c r="BV105" i="193"/>
  <c r="BU105" i="193"/>
  <c r="BT105" i="193"/>
  <c r="BS105" i="193"/>
  <c r="BR105" i="193"/>
  <c r="BQ105" i="193"/>
  <c r="BP105" i="193"/>
  <c r="BO105" i="193"/>
  <c r="BV104" i="193"/>
  <c r="BU104" i="193"/>
  <c r="BT104" i="193"/>
  <c r="BS104" i="193"/>
  <c r="BR104" i="193"/>
  <c r="BQ104" i="193"/>
  <c r="BP104" i="193"/>
  <c r="BO104" i="193"/>
  <c r="BV103" i="193"/>
  <c r="BU103" i="193"/>
  <c r="BT103" i="193"/>
  <c r="BS103" i="193"/>
  <c r="BR103" i="193"/>
  <c r="BQ103" i="193"/>
  <c r="BP103" i="193"/>
  <c r="BO103" i="193"/>
  <c r="BV102" i="193"/>
  <c r="BU102" i="193"/>
  <c r="BT102" i="193"/>
  <c r="BS102" i="193"/>
  <c r="BR102" i="193"/>
  <c r="BQ102" i="193"/>
  <c r="BP102" i="193"/>
  <c r="BO102" i="193"/>
  <c r="BV101" i="193"/>
  <c r="BU101" i="193"/>
  <c r="BT101" i="193"/>
  <c r="BS101" i="193"/>
  <c r="BR101" i="193"/>
  <c r="BQ101" i="193"/>
  <c r="BP101" i="193"/>
  <c r="BO101" i="193"/>
  <c r="BV100" i="193"/>
  <c r="BU100" i="193"/>
  <c r="BT100" i="193"/>
  <c r="BS100" i="193"/>
  <c r="BR100" i="193"/>
  <c r="BQ100" i="193"/>
  <c r="BP100" i="193"/>
  <c r="BO100" i="193"/>
  <c r="BV99" i="193"/>
  <c r="BU99" i="193"/>
  <c r="BT99" i="193"/>
  <c r="BS99" i="193"/>
  <c r="BR99" i="193"/>
  <c r="BQ99" i="193"/>
  <c r="BP99" i="193"/>
  <c r="BO99" i="193"/>
  <c r="BV98" i="193"/>
  <c r="BU98" i="193"/>
  <c r="BT98" i="193"/>
  <c r="BS98" i="193"/>
  <c r="BR98" i="193"/>
  <c r="BQ98" i="193"/>
  <c r="BP98" i="193"/>
  <c r="BO98" i="193"/>
  <c r="BV97" i="193"/>
  <c r="BU97" i="193"/>
  <c r="BT97" i="193"/>
  <c r="BS97" i="193"/>
  <c r="BR97" i="193"/>
  <c r="BQ97" i="193"/>
  <c r="BP97" i="193"/>
  <c r="BO97" i="193"/>
  <c r="BV96" i="193"/>
  <c r="BU96" i="193"/>
  <c r="BT96" i="193"/>
  <c r="BS96" i="193"/>
  <c r="BR96" i="193"/>
  <c r="BQ96" i="193"/>
  <c r="BP96" i="193"/>
  <c r="BO96" i="193"/>
  <c r="BV95" i="193"/>
  <c r="BU95" i="193"/>
  <c r="BT95" i="193"/>
  <c r="BS95" i="193"/>
  <c r="BR95" i="193"/>
  <c r="BQ95" i="193"/>
  <c r="BP95" i="193"/>
  <c r="BO95" i="193"/>
  <c r="BV94" i="193"/>
  <c r="BU94" i="193"/>
  <c r="BT94" i="193"/>
  <c r="BS94" i="193"/>
  <c r="BR94" i="193"/>
  <c r="BQ94" i="193"/>
  <c r="BP94" i="193"/>
  <c r="BO94" i="193"/>
  <c r="BV93" i="193"/>
  <c r="BU93" i="193"/>
  <c r="BT93" i="193"/>
  <c r="BS93" i="193"/>
  <c r="BR93" i="193"/>
  <c r="BQ93" i="193"/>
  <c r="BP93" i="193"/>
  <c r="BO93" i="193"/>
  <c r="BV92" i="193"/>
  <c r="BU92" i="193"/>
  <c r="BT92" i="193"/>
  <c r="BS92" i="193"/>
  <c r="BR92" i="193"/>
  <c r="BQ92" i="193"/>
  <c r="BP92" i="193"/>
  <c r="BO92" i="193"/>
  <c r="BV91" i="193"/>
  <c r="BU91" i="193"/>
  <c r="BT91" i="193"/>
  <c r="BS91" i="193"/>
  <c r="BR91" i="193"/>
  <c r="BQ91" i="193"/>
  <c r="BP91" i="193"/>
  <c r="BO91" i="193"/>
  <c r="BV90" i="193"/>
  <c r="BU90" i="193"/>
  <c r="BT90" i="193"/>
  <c r="BS90" i="193"/>
  <c r="BR90" i="193"/>
  <c r="BQ90" i="193"/>
  <c r="BP90" i="193"/>
  <c r="BO90" i="193"/>
  <c r="BV89" i="193"/>
  <c r="BU89" i="193"/>
  <c r="BT89" i="193"/>
  <c r="BS89" i="193"/>
  <c r="BR89" i="193"/>
  <c r="BQ89" i="193"/>
  <c r="BP89" i="193"/>
  <c r="BO89" i="193"/>
  <c r="BV88" i="193"/>
  <c r="BU88" i="193"/>
  <c r="BT88" i="193"/>
  <c r="BS88" i="193"/>
  <c r="BR88" i="193"/>
  <c r="BQ88" i="193"/>
  <c r="BP88" i="193"/>
  <c r="BO88" i="193"/>
  <c r="BV87" i="193"/>
  <c r="BU87" i="193"/>
  <c r="BT87" i="193"/>
  <c r="BS87" i="193"/>
  <c r="BR87" i="193"/>
  <c r="BQ87" i="193"/>
  <c r="BP87" i="193"/>
  <c r="BO87" i="193"/>
  <c r="BV86" i="193"/>
  <c r="BU86" i="193"/>
  <c r="BT86" i="193"/>
  <c r="BS86" i="193"/>
  <c r="BR86" i="193"/>
  <c r="BQ86" i="193"/>
  <c r="BP86" i="193"/>
  <c r="BO86" i="193"/>
  <c r="BV85" i="193"/>
  <c r="BU85" i="193"/>
  <c r="BT85" i="193"/>
  <c r="BS85" i="193"/>
  <c r="BR85" i="193"/>
  <c r="BQ85" i="193"/>
  <c r="BP85" i="193"/>
  <c r="BO85" i="193"/>
  <c r="BV84" i="193"/>
  <c r="BU84" i="193"/>
  <c r="BT84" i="193"/>
  <c r="BS84" i="193"/>
  <c r="BR84" i="193"/>
  <c r="BQ84" i="193"/>
  <c r="BP84" i="193"/>
  <c r="BO84" i="193"/>
  <c r="BV83" i="193"/>
  <c r="BU83" i="193"/>
  <c r="BT83" i="193"/>
  <c r="BS83" i="193"/>
  <c r="BR83" i="193"/>
  <c r="BQ83" i="193"/>
  <c r="BP83" i="193"/>
  <c r="BO83" i="193"/>
  <c r="BV82" i="193"/>
  <c r="BU82" i="193"/>
  <c r="BT82" i="193"/>
  <c r="BS82" i="193"/>
  <c r="BR82" i="193"/>
  <c r="BQ82" i="193"/>
  <c r="BP82" i="193"/>
  <c r="BO82" i="193"/>
  <c r="BV81" i="193"/>
  <c r="BU81" i="193"/>
  <c r="BT81" i="193"/>
  <c r="BS81" i="193"/>
  <c r="BR81" i="193"/>
  <c r="BQ81" i="193"/>
  <c r="BP81" i="193"/>
  <c r="BO81" i="193"/>
  <c r="BV80" i="193"/>
  <c r="BU80" i="193"/>
  <c r="BT80" i="193"/>
  <c r="BS80" i="193"/>
  <c r="BR80" i="193"/>
  <c r="BQ80" i="193"/>
  <c r="BP80" i="193"/>
  <c r="BO80" i="193"/>
  <c r="BV54" i="193"/>
  <c r="BU54" i="193"/>
  <c r="BT54" i="193"/>
  <c r="BS54" i="193"/>
  <c r="BR54" i="193"/>
  <c r="BQ54" i="193"/>
  <c r="BP54" i="193"/>
  <c r="BO54" i="193"/>
  <c r="BV53" i="193"/>
  <c r="BU53" i="193"/>
  <c r="BT53" i="193"/>
  <c r="BS53" i="193"/>
  <c r="BR53" i="193"/>
  <c r="BQ53" i="193"/>
  <c r="BP53" i="193"/>
  <c r="BO53" i="193"/>
  <c r="BV52" i="193"/>
  <c r="BU52" i="193"/>
  <c r="BT52" i="193"/>
  <c r="BS52" i="193"/>
  <c r="BR52" i="193"/>
  <c r="BQ52" i="193"/>
  <c r="BP52" i="193"/>
  <c r="BO52" i="193"/>
  <c r="BV51" i="193"/>
  <c r="BU51" i="193"/>
  <c r="BT51" i="193"/>
  <c r="BS51" i="193"/>
  <c r="BR51" i="193"/>
  <c r="BQ51" i="193"/>
  <c r="BP51" i="193"/>
  <c r="BO51" i="193"/>
  <c r="BV50" i="193"/>
  <c r="BU50" i="193"/>
  <c r="BT50" i="193"/>
  <c r="BS50" i="193"/>
  <c r="BR50" i="193"/>
  <c r="BQ50" i="193"/>
  <c r="BP50" i="193"/>
  <c r="BO50" i="193"/>
  <c r="BV49" i="193"/>
  <c r="BU49" i="193"/>
  <c r="BT49" i="193"/>
  <c r="BS49" i="193"/>
  <c r="BR49" i="193"/>
  <c r="BQ49" i="193"/>
  <c r="BP49" i="193"/>
  <c r="BO49" i="193"/>
  <c r="BV48" i="193"/>
  <c r="BU48" i="193"/>
  <c r="BT48" i="193"/>
  <c r="BS48" i="193"/>
  <c r="BR48" i="193"/>
  <c r="BQ48" i="193"/>
  <c r="BP48" i="193"/>
  <c r="BO48" i="193"/>
  <c r="BV47" i="193"/>
  <c r="BU47" i="193"/>
  <c r="BT47" i="193"/>
  <c r="BS47" i="193"/>
  <c r="BR47" i="193"/>
  <c r="BQ47" i="193"/>
  <c r="BP47" i="193"/>
  <c r="BO47" i="193"/>
  <c r="BV46" i="193"/>
  <c r="BU46" i="193"/>
  <c r="BT46" i="193"/>
  <c r="BS46" i="193"/>
  <c r="BR46" i="193"/>
  <c r="BQ46" i="193"/>
  <c r="BP46" i="193"/>
  <c r="BO46" i="193"/>
  <c r="BV45" i="193"/>
  <c r="BU45" i="193"/>
  <c r="BT45" i="193"/>
  <c r="BS45" i="193"/>
  <c r="BR45" i="193"/>
  <c r="BQ45" i="193"/>
  <c r="BP45" i="193"/>
  <c r="BO45" i="193"/>
  <c r="BV44" i="193"/>
  <c r="BU44" i="193"/>
  <c r="BT44" i="193"/>
  <c r="BS44" i="193"/>
  <c r="BR44" i="193"/>
  <c r="BQ44" i="193"/>
  <c r="BP44" i="193"/>
  <c r="BO44" i="193"/>
  <c r="BV43" i="193"/>
  <c r="BU43" i="193"/>
  <c r="BT43" i="193"/>
  <c r="BS43" i="193"/>
  <c r="BR43" i="193"/>
  <c r="BQ43" i="193"/>
  <c r="BP43" i="193"/>
  <c r="BO43" i="193"/>
  <c r="BV42" i="193"/>
  <c r="BU42" i="193"/>
  <c r="BT42" i="193"/>
  <c r="BS42" i="193"/>
  <c r="BR42" i="193"/>
  <c r="BQ42" i="193"/>
  <c r="BP42" i="193"/>
  <c r="BO42" i="193"/>
  <c r="BV41" i="193"/>
  <c r="BU41" i="193"/>
  <c r="BT41" i="193"/>
  <c r="BS41" i="193"/>
  <c r="BR41" i="193"/>
  <c r="BQ41" i="193"/>
  <c r="BP41" i="193"/>
  <c r="BO41" i="193"/>
  <c r="BV40" i="193"/>
  <c r="BU40" i="193"/>
  <c r="BT40" i="193"/>
  <c r="BS40" i="193"/>
  <c r="BR40" i="193"/>
  <c r="BQ40" i="193"/>
  <c r="BP40" i="193"/>
  <c r="BO40" i="193"/>
  <c r="BV39" i="193"/>
  <c r="BU39" i="193"/>
  <c r="BT39" i="193"/>
  <c r="BS39" i="193"/>
  <c r="BR39" i="193"/>
  <c r="BQ39" i="193"/>
  <c r="BP39" i="193"/>
  <c r="BO39" i="193"/>
  <c r="BV38" i="193"/>
  <c r="BU38" i="193"/>
  <c r="BT38" i="193"/>
  <c r="BS38" i="193"/>
  <c r="BR38" i="193"/>
  <c r="BQ38" i="193"/>
  <c r="BP38" i="193"/>
  <c r="BO38" i="193"/>
  <c r="BV37" i="193"/>
  <c r="BU37" i="193"/>
  <c r="BT37" i="193"/>
  <c r="BS37" i="193"/>
  <c r="BR37" i="193"/>
  <c r="BQ37" i="193"/>
  <c r="BP37" i="193"/>
  <c r="BO37" i="193"/>
  <c r="BV36" i="193"/>
  <c r="BU36" i="193"/>
  <c r="BT36" i="193"/>
  <c r="BS36" i="193"/>
  <c r="BR36" i="193"/>
  <c r="BQ36" i="193"/>
  <c r="BP36" i="193"/>
  <c r="BO36" i="193"/>
  <c r="BV35" i="193"/>
  <c r="BU35" i="193"/>
  <c r="BT35" i="193"/>
  <c r="BS35" i="193"/>
  <c r="BR35" i="193"/>
  <c r="BQ35" i="193"/>
  <c r="BP35" i="193"/>
  <c r="BO35" i="193"/>
  <c r="BV34" i="193"/>
  <c r="BU34" i="193"/>
  <c r="BT34" i="193"/>
  <c r="BS34" i="193"/>
  <c r="BR34" i="193"/>
  <c r="BQ34" i="193"/>
  <c r="BP34" i="193"/>
  <c r="BO34" i="193"/>
  <c r="BV33" i="193"/>
  <c r="BU33" i="193"/>
  <c r="BT33" i="193"/>
  <c r="BS33" i="193"/>
  <c r="BR33" i="193"/>
  <c r="BQ33" i="193"/>
  <c r="BP33" i="193"/>
  <c r="BO33" i="193"/>
  <c r="BV32" i="193"/>
  <c r="BU32" i="193"/>
  <c r="BT32" i="193"/>
  <c r="BS32" i="193"/>
  <c r="BR32" i="193"/>
  <c r="BQ32" i="193"/>
  <c r="BP32" i="193"/>
  <c r="BO32" i="193"/>
  <c r="BV31" i="193"/>
  <c r="BU31" i="193"/>
  <c r="BT31" i="193"/>
  <c r="BS31" i="193"/>
  <c r="BR31" i="193"/>
  <c r="BQ31" i="193"/>
  <c r="BP31" i="193"/>
  <c r="BO31" i="193"/>
  <c r="BV30" i="193"/>
  <c r="BU30" i="193"/>
  <c r="BT30" i="193"/>
  <c r="BS30" i="193"/>
  <c r="BR30" i="193"/>
  <c r="BQ30" i="193"/>
  <c r="BP30" i="193"/>
  <c r="BO30" i="193"/>
  <c r="BV29" i="193"/>
  <c r="BU29" i="193"/>
  <c r="BT29" i="193"/>
  <c r="BS29" i="193"/>
  <c r="BR29" i="193"/>
  <c r="BQ29" i="193"/>
  <c r="BP29" i="193"/>
  <c r="BO29" i="193"/>
  <c r="BV28" i="193"/>
  <c r="BU28" i="193"/>
  <c r="BT28" i="193"/>
  <c r="BS28" i="193"/>
  <c r="BR28" i="193"/>
  <c r="BQ28" i="193"/>
  <c r="BP28" i="193"/>
  <c r="BO28" i="193"/>
  <c r="BV27" i="193"/>
  <c r="BU27" i="193"/>
  <c r="BT27" i="193"/>
  <c r="BS27" i="193"/>
  <c r="BR27" i="193"/>
  <c r="BQ27" i="193"/>
  <c r="BP27" i="193"/>
  <c r="BO27" i="193"/>
  <c r="BV26" i="193"/>
  <c r="BU26" i="193"/>
  <c r="BT26" i="193"/>
  <c r="BS26" i="193"/>
  <c r="BR26" i="193"/>
  <c r="BQ26" i="193"/>
  <c r="BP26" i="193"/>
  <c r="BO26" i="193"/>
  <c r="BV25" i="193"/>
  <c r="BU25" i="193"/>
  <c r="BT25" i="193"/>
  <c r="BS25" i="193"/>
  <c r="BR25" i="193"/>
  <c r="BQ25" i="193"/>
  <c r="BP25" i="193"/>
  <c r="BO25" i="193"/>
  <c r="BV24" i="193"/>
  <c r="BU24" i="193"/>
  <c r="BT24" i="193"/>
  <c r="BS24" i="193"/>
  <c r="BR24" i="193"/>
  <c r="BQ24" i="193"/>
  <c r="BP24" i="193"/>
  <c r="BO24" i="193"/>
  <c r="BV23" i="193"/>
  <c r="BU23" i="193"/>
  <c r="BT23" i="193"/>
  <c r="BS23" i="193"/>
  <c r="BR23" i="193"/>
  <c r="BQ23" i="193"/>
  <c r="BP23" i="193"/>
  <c r="BO23" i="193"/>
  <c r="BV22" i="193"/>
  <c r="BU22" i="193"/>
  <c r="BT22" i="193"/>
  <c r="BS22" i="193"/>
  <c r="BR22" i="193"/>
  <c r="BQ22" i="193"/>
  <c r="BP22" i="193"/>
  <c r="BO22" i="193"/>
  <c r="BV21" i="193"/>
  <c r="BU21" i="193"/>
  <c r="BT21" i="193"/>
  <c r="BS21" i="193"/>
  <c r="BR21" i="193"/>
  <c r="BQ21" i="193"/>
  <c r="BP21" i="193"/>
  <c r="BO21" i="193"/>
  <c r="BV20" i="193"/>
  <c r="BU20" i="193"/>
  <c r="BT20" i="193"/>
  <c r="BS20" i="193"/>
  <c r="BR20" i="193"/>
  <c r="BQ20" i="193"/>
  <c r="BP20" i="193"/>
  <c r="BO20" i="193"/>
  <c r="BV19" i="193"/>
  <c r="BU19" i="193"/>
  <c r="BT19" i="193"/>
  <c r="BS19" i="193"/>
  <c r="BR19" i="193"/>
  <c r="BQ19" i="193"/>
  <c r="BP19" i="193"/>
  <c r="BO19" i="193"/>
  <c r="BV18" i="193"/>
  <c r="BU18" i="193"/>
  <c r="BT18" i="193"/>
  <c r="BS18" i="193"/>
  <c r="BR18" i="193"/>
  <c r="BQ18" i="193"/>
  <c r="BP18" i="193"/>
  <c r="BO18" i="193"/>
  <c r="BV17" i="193"/>
  <c r="BU17" i="193"/>
  <c r="BT17" i="193"/>
  <c r="BS17" i="193"/>
  <c r="BR17" i="193"/>
  <c r="BQ17" i="193"/>
  <c r="BP17" i="193"/>
  <c r="BO17" i="193"/>
  <c r="BV16" i="193"/>
  <c r="BU16" i="193"/>
  <c r="BT16" i="193"/>
  <c r="BS16" i="193"/>
  <c r="BR16" i="193"/>
  <c r="BQ16" i="193"/>
  <c r="BP16" i="193"/>
  <c r="BO16" i="193"/>
  <c r="BV15" i="193"/>
  <c r="BU15" i="193"/>
  <c r="BT15" i="193"/>
  <c r="BS15" i="193"/>
  <c r="BR15" i="193"/>
  <c r="BQ15" i="193"/>
  <c r="BP15" i="193"/>
  <c r="BO15" i="193"/>
  <c r="BV14" i="193"/>
  <c r="BU14" i="193"/>
  <c r="BT14" i="193"/>
  <c r="BS14" i="193"/>
  <c r="BR14" i="193"/>
  <c r="BQ14" i="193"/>
  <c r="BP14" i="193"/>
  <c r="BO14" i="193"/>
  <c r="BV13" i="193"/>
  <c r="BU13" i="193"/>
  <c r="BT13" i="193"/>
  <c r="BS13" i="193"/>
  <c r="BR13" i="193"/>
  <c r="BQ13" i="193"/>
  <c r="BP13" i="193"/>
  <c r="BO13" i="193"/>
  <c r="BV12" i="193"/>
  <c r="BU12" i="193"/>
  <c r="BT12" i="193"/>
  <c r="BS12" i="193"/>
  <c r="BR12" i="193"/>
  <c r="BQ12" i="193"/>
  <c r="BP12" i="193"/>
  <c r="BO12" i="193"/>
  <c r="BV11" i="193"/>
  <c r="BU11" i="193"/>
  <c r="BT11" i="193"/>
  <c r="BS11" i="193"/>
  <c r="BR11" i="193"/>
  <c r="BQ11" i="193"/>
  <c r="BP11" i="193"/>
  <c r="BO11" i="193"/>
  <c r="BV10" i="193"/>
  <c r="BU10" i="193"/>
  <c r="BT10" i="193"/>
  <c r="BS10" i="193"/>
  <c r="BR10" i="193"/>
  <c r="BQ10" i="193"/>
  <c r="BP10" i="193"/>
  <c r="BO10" i="193"/>
  <c r="BL54" i="193"/>
  <c r="BK54" i="193"/>
  <c r="BJ54" i="193"/>
  <c r="BI54" i="193"/>
  <c r="BH54" i="193"/>
  <c r="BG54" i="193"/>
  <c r="BF54" i="193"/>
  <c r="BE54" i="193"/>
  <c r="BL53" i="193"/>
  <c r="BK53" i="193"/>
  <c r="BJ53" i="193"/>
  <c r="BI53" i="193"/>
  <c r="BH53" i="193"/>
  <c r="BG53" i="193"/>
  <c r="BF53" i="193"/>
  <c r="BE53" i="193"/>
  <c r="BL52" i="193"/>
  <c r="BK52" i="193"/>
  <c r="BJ52" i="193"/>
  <c r="BI52" i="193"/>
  <c r="BH52" i="193"/>
  <c r="BG52" i="193"/>
  <c r="BF52" i="193"/>
  <c r="BE52" i="193"/>
  <c r="BL51" i="193"/>
  <c r="BK51" i="193"/>
  <c r="BJ51" i="193"/>
  <c r="BI51" i="193"/>
  <c r="BH51" i="193"/>
  <c r="BG51" i="193"/>
  <c r="BF51" i="193"/>
  <c r="BE51" i="193"/>
  <c r="BL50" i="193"/>
  <c r="BK50" i="193"/>
  <c r="BJ50" i="193"/>
  <c r="BI50" i="193"/>
  <c r="BH50" i="193"/>
  <c r="BG50" i="193"/>
  <c r="BF50" i="193"/>
  <c r="BE50" i="193"/>
  <c r="BL49" i="193"/>
  <c r="BK49" i="193"/>
  <c r="BJ49" i="193"/>
  <c r="BI49" i="193"/>
  <c r="BH49" i="193"/>
  <c r="BG49" i="193"/>
  <c r="BF49" i="193"/>
  <c r="BE49" i="193"/>
  <c r="BL48" i="193"/>
  <c r="BK48" i="193"/>
  <c r="BJ48" i="193"/>
  <c r="BI48" i="193"/>
  <c r="BH48" i="193"/>
  <c r="BG48" i="193"/>
  <c r="BF48" i="193"/>
  <c r="BE48" i="193"/>
  <c r="BL47" i="193"/>
  <c r="BK47" i="193"/>
  <c r="BJ47" i="193"/>
  <c r="BI47" i="193"/>
  <c r="BH47" i="193"/>
  <c r="BG47" i="193"/>
  <c r="BF47" i="193"/>
  <c r="BE47" i="193"/>
  <c r="BL46" i="193"/>
  <c r="BK46" i="193"/>
  <c r="BJ46" i="193"/>
  <c r="BI46" i="193"/>
  <c r="BH46" i="193"/>
  <c r="BG46" i="193"/>
  <c r="BF46" i="193"/>
  <c r="BE46" i="193"/>
  <c r="BL45" i="193"/>
  <c r="BK45" i="193"/>
  <c r="BJ45" i="193"/>
  <c r="BI45" i="193"/>
  <c r="BH45" i="193"/>
  <c r="BG45" i="193"/>
  <c r="BF45" i="193"/>
  <c r="BE45" i="193"/>
  <c r="BL44" i="193"/>
  <c r="BK44" i="193"/>
  <c r="BJ44" i="193"/>
  <c r="BI44" i="193"/>
  <c r="BH44" i="193"/>
  <c r="BG44" i="193"/>
  <c r="BF44" i="193"/>
  <c r="BE44" i="193"/>
  <c r="BL43" i="193"/>
  <c r="BK43" i="193"/>
  <c r="BJ43" i="193"/>
  <c r="BI43" i="193"/>
  <c r="BH43" i="193"/>
  <c r="BG43" i="193"/>
  <c r="BF43" i="193"/>
  <c r="BE43" i="193"/>
  <c r="BL42" i="193"/>
  <c r="BK42" i="193"/>
  <c r="BJ42" i="193"/>
  <c r="BI42" i="193"/>
  <c r="BH42" i="193"/>
  <c r="BG42" i="193"/>
  <c r="BF42" i="193"/>
  <c r="BE42" i="193"/>
  <c r="BL41" i="193"/>
  <c r="BK41" i="193"/>
  <c r="BJ41" i="193"/>
  <c r="BI41" i="193"/>
  <c r="BH41" i="193"/>
  <c r="BG41" i="193"/>
  <c r="BF41" i="193"/>
  <c r="BE41" i="193"/>
  <c r="BL40" i="193"/>
  <c r="BK40" i="193"/>
  <c r="BJ40" i="193"/>
  <c r="BI40" i="193"/>
  <c r="BH40" i="193"/>
  <c r="BG40" i="193"/>
  <c r="BF40" i="193"/>
  <c r="BE40" i="193"/>
  <c r="BL39" i="193"/>
  <c r="BK39" i="193"/>
  <c r="BJ39" i="193"/>
  <c r="BI39" i="193"/>
  <c r="BH39" i="193"/>
  <c r="BG39" i="193"/>
  <c r="BF39" i="193"/>
  <c r="BE39" i="193"/>
  <c r="BL38" i="193"/>
  <c r="BK38" i="193"/>
  <c r="BJ38" i="193"/>
  <c r="BI38" i="193"/>
  <c r="BH38" i="193"/>
  <c r="BG38" i="193"/>
  <c r="BF38" i="193"/>
  <c r="BE38" i="193"/>
  <c r="BL37" i="193"/>
  <c r="BK37" i="193"/>
  <c r="BJ37" i="193"/>
  <c r="BI37" i="193"/>
  <c r="BH37" i="193"/>
  <c r="BG37" i="193"/>
  <c r="BF37" i="193"/>
  <c r="BE37" i="193"/>
  <c r="BL36" i="193"/>
  <c r="BK36" i="193"/>
  <c r="BJ36" i="193"/>
  <c r="BI36" i="193"/>
  <c r="BH36" i="193"/>
  <c r="BG36" i="193"/>
  <c r="BF36" i="193"/>
  <c r="BE36" i="193"/>
  <c r="BL35" i="193"/>
  <c r="BK35" i="193"/>
  <c r="BJ35" i="193"/>
  <c r="BI35" i="193"/>
  <c r="BH35" i="193"/>
  <c r="BG35" i="193"/>
  <c r="BF35" i="193"/>
  <c r="BE35" i="193"/>
  <c r="BL34" i="193"/>
  <c r="BK34" i="193"/>
  <c r="BJ34" i="193"/>
  <c r="BI34" i="193"/>
  <c r="BH34" i="193"/>
  <c r="BG34" i="193"/>
  <c r="BF34" i="193"/>
  <c r="BE34" i="193"/>
  <c r="BL33" i="193"/>
  <c r="BK33" i="193"/>
  <c r="BJ33" i="193"/>
  <c r="BI33" i="193"/>
  <c r="BH33" i="193"/>
  <c r="BG33" i="193"/>
  <c r="BF33" i="193"/>
  <c r="BE33" i="193"/>
  <c r="BL32" i="193"/>
  <c r="BK32" i="193"/>
  <c r="BJ32" i="193"/>
  <c r="BI32" i="193"/>
  <c r="BH32" i="193"/>
  <c r="BG32" i="193"/>
  <c r="BF32" i="193"/>
  <c r="BE32" i="193"/>
  <c r="BL31" i="193"/>
  <c r="BK31" i="193"/>
  <c r="BJ31" i="193"/>
  <c r="BI31" i="193"/>
  <c r="BH31" i="193"/>
  <c r="BG31" i="193"/>
  <c r="BF31" i="193"/>
  <c r="BE31" i="193"/>
  <c r="BL30" i="193"/>
  <c r="BK30" i="193"/>
  <c r="BJ30" i="193"/>
  <c r="BI30" i="193"/>
  <c r="BH30" i="193"/>
  <c r="BG30" i="193"/>
  <c r="BF30" i="193"/>
  <c r="BE30" i="193"/>
  <c r="BL29" i="193"/>
  <c r="BK29" i="193"/>
  <c r="BJ29" i="193"/>
  <c r="BI29" i="193"/>
  <c r="BH29" i="193"/>
  <c r="BG29" i="193"/>
  <c r="BF29" i="193"/>
  <c r="BE29" i="193"/>
  <c r="BL28" i="193"/>
  <c r="BK28" i="193"/>
  <c r="BJ28" i="193"/>
  <c r="BI28" i="193"/>
  <c r="BH28" i="193"/>
  <c r="BG28" i="193"/>
  <c r="BF28" i="193"/>
  <c r="BE28" i="193"/>
  <c r="BL27" i="193"/>
  <c r="BK27" i="193"/>
  <c r="BJ27" i="193"/>
  <c r="BI27" i="193"/>
  <c r="BH27" i="193"/>
  <c r="BG27" i="193"/>
  <c r="BF27" i="193"/>
  <c r="BE27" i="193"/>
  <c r="BL26" i="193"/>
  <c r="BK26" i="193"/>
  <c r="BJ26" i="193"/>
  <c r="BI26" i="193"/>
  <c r="BH26" i="193"/>
  <c r="BG26" i="193"/>
  <c r="BF26" i="193"/>
  <c r="BE26" i="193"/>
  <c r="BL25" i="193"/>
  <c r="BK25" i="193"/>
  <c r="BJ25" i="193"/>
  <c r="BI25" i="193"/>
  <c r="BH25" i="193"/>
  <c r="BG25" i="193"/>
  <c r="BF25" i="193"/>
  <c r="BE25" i="193"/>
  <c r="BL24" i="193"/>
  <c r="BK24" i="193"/>
  <c r="BJ24" i="193"/>
  <c r="BI24" i="193"/>
  <c r="BH24" i="193"/>
  <c r="BG24" i="193"/>
  <c r="BF24" i="193"/>
  <c r="BE24" i="193"/>
  <c r="BL23" i="193"/>
  <c r="BK23" i="193"/>
  <c r="BJ23" i="193"/>
  <c r="BI23" i="193"/>
  <c r="BH23" i="193"/>
  <c r="BG23" i="193"/>
  <c r="BF23" i="193"/>
  <c r="BE23" i="193"/>
  <c r="BL22" i="193"/>
  <c r="BK22" i="193"/>
  <c r="BJ22" i="193"/>
  <c r="BI22" i="193"/>
  <c r="BH22" i="193"/>
  <c r="BG22" i="193"/>
  <c r="BF22" i="193"/>
  <c r="BE22" i="193"/>
  <c r="BL21" i="193"/>
  <c r="BK21" i="193"/>
  <c r="BJ21" i="193"/>
  <c r="BI21" i="193"/>
  <c r="BH21" i="193"/>
  <c r="BG21" i="193"/>
  <c r="BF21" i="193"/>
  <c r="BE21" i="193"/>
  <c r="BL20" i="193"/>
  <c r="BK20" i="193"/>
  <c r="BJ20" i="193"/>
  <c r="BI20" i="193"/>
  <c r="BH20" i="193"/>
  <c r="BG20" i="193"/>
  <c r="BF20" i="193"/>
  <c r="BE20" i="193"/>
  <c r="BL19" i="193"/>
  <c r="BK19" i="193"/>
  <c r="BJ19" i="193"/>
  <c r="BI19" i="193"/>
  <c r="BH19" i="193"/>
  <c r="BG19" i="193"/>
  <c r="BF19" i="193"/>
  <c r="BE19" i="193"/>
  <c r="BL18" i="193"/>
  <c r="BK18" i="193"/>
  <c r="BJ18" i="193"/>
  <c r="BI18" i="193"/>
  <c r="BH18" i="193"/>
  <c r="BG18" i="193"/>
  <c r="BF18" i="193"/>
  <c r="BE18" i="193"/>
  <c r="BL17" i="193"/>
  <c r="BK17" i="193"/>
  <c r="BJ17" i="193"/>
  <c r="BI17" i="193"/>
  <c r="BH17" i="193"/>
  <c r="BG17" i="193"/>
  <c r="BF17" i="193"/>
  <c r="BE17" i="193"/>
  <c r="BL16" i="193"/>
  <c r="BK16" i="193"/>
  <c r="BJ16" i="193"/>
  <c r="BI16" i="193"/>
  <c r="BH16" i="193"/>
  <c r="BG16" i="193"/>
  <c r="BF16" i="193"/>
  <c r="BE16" i="193"/>
  <c r="BL15" i="193"/>
  <c r="BK15" i="193"/>
  <c r="BJ15" i="193"/>
  <c r="BI15" i="193"/>
  <c r="BH15" i="193"/>
  <c r="BG15" i="193"/>
  <c r="BF15" i="193"/>
  <c r="BE15" i="193"/>
  <c r="BL14" i="193"/>
  <c r="BK14" i="193"/>
  <c r="BJ14" i="193"/>
  <c r="BI14" i="193"/>
  <c r="BH14" i="193"/>
  <c r="BG14" i="193"/>
  <c r="BF14" i="193"/>
  <c r="BE14" i="193"/>
  <c r="BL13" i="193"/>
  <c r="BK13" i="193"/>
  <c r="BJ13" i="193"/>
  <c r="BI13" i="193"/>
  <c r="BH13" i="193"/>
  <c r="BG13" i="193"/>
  <c r="BF13" i="193"/>
  <c r="BE13" i="193"/>
  <c r="BL12" i="193"/>
  <c r="BK12" i="193"/>
  <c r="BJ12" i="193"/>
  <c r="BI12" i="193"/>
  <c r="BH12" i="193"/>
  <c r="BG12" i="193"/>
  <c r="BF12" i="193"/>
  <c r="BE12" i="193"/>
  <c r="BL11" i="193"/>
  <c r="BK11" i="193"/>
  <c r="BJ11" i="193"/>
  <c r="BI11" i="193"/>
  <c r="BH11" i="193"/>
  <c r="BG11" i="193"/>
  <c r="BF11" i="193"/>
  <c r="BE11" i="193"/>
  <c r="BL10" i="193"/>
  <c r="BK10" i="193"/>
  <c r="BJ10" i="193"/>
  <c r="BI10" i="193"/>
  <c r="BH10" i="193"/>
  <c r="BG10" i="193"/>
  <c r="BF10" i="193"/>
  <c r="BE10" i="193"/>
  <c r="AQ144" i="193"/>
  <c r="AQ143" i="193"/>
  <c r="AQ142" i="193"/>
  <c r="AQ141" i="193"/>
  <c r="AQ140" i="193"/>
  <c r="AQ139" i="193"/>
  <c r="AQ138" i="193"/>
  <c r="AQ137" i="193"/>
  <c r="AQ136" i="193"/>
  <c r="AQ135" i="193"/>
  <c r="AQ134" i="193"/>
  <c r="AQ133" i="193"/>
  <c r="AQ132" i="193"/>
  <c r="AQ131" i="193"/>
  <c r="AQ130" i="193"/>
  <c r="AQ129" i="193"/>
  <c r="AQ128" i="193"/>
  <c r="AQ127" i="193"/>
  <c r="AQ126" i="193"/>
  <c r="AQ125" i="193"/>
  <c r="AQ124" i="193"/>
  <c r="AQ123" i="193"/>
  <c r="AQ122" i="193"/>
  <c r="AQ121" i="193"/>
  <c r="AQ120" i="193"/>
  <c r="AQ119" i="193"/>
  <c r="AQ118" i="193"/>
  <c r="AQ117" i="193"/>
  <c r="AQ116" i="193"/>
  <c r="AQ115" i="193"/>
  <c r="AQ114" i="193"/>
  <c r="AQ113" i="193"/>
  <c r="AQ112" i="193"/>
  <c r="AQ111" i="193"/>
  <c r="AQ110" i="193"/>
  <c r="AQ109" i="193"/>
  <c r="AQ108" i="193"/>
  <c r="AQ107" i="193"/>
  <c r="AQ106" i="193"/>
  <c r="AQ105" i="193"/>
  <c r="AQ104" i="193"/>
  <c r="AQ103" i="193"/>
  <c r="AQ102" i="193"/>
  <c r="AQ101" i="193"/>
  <c r="AQ100" i="193"/>
  <c r="AQ99" i="193"/>
  <c r="AQ98" i="193"/>
  <c r="AQ97" i="193"/>
  <c r="AQ96" i="193"/>
  <c r="AQ95" i="193"/>
  <c r="AQ94" i="193"/>
  <c r="AQ93" i="193"/>
  <c r="AQ92" i="193"/>
  <c r="AQ91" i="193"/>
  <c r="AQ90" i="193"/>
  <c r="AQ89" i="193"/>
  <c r="AQ88" i="193"/>
  <c r="AQ87" i="193"/>
  <c r="AQ86" i="193"/>
  <c r="AQ85" i="193"/>
  <c r="AQ84" i="193"/>
  <c r="AQ83" i="193"/>
  <c r="AQ82" i="193"/>
  <c r="AQ81" i="193"/>
  <c r="AQ80" i="193"/>
  <c r="AT146" i="193"/>
  <c r="AT76" i="193"/>
  <c r="BB76" i="193" l="1"/>
  <c r="AT77" i="193" s="1"/>
  <c r="BA76" i="193"/>
  <c r="BA77" i="193" s="1"/>
  <c r="AZ76" i="193"/>
  <c r="AY76" i="193"/>
  <c r="AX76" i="193"/>
  <c r="AX77" i="193" s="1"/>
  <c r="AW76" i="193"/>
  <c r="AW77" i="193" s="1"/>
  <c r="AV76" i="193"/>
  <c r="AV77" i="193" s="1"/>
  <c r="AU76" i="193"/>
  <c r="BB146" i="193"/>
  <c r="AT147" i="193" s="1"/>
  <c r="BA146" i="193"/>
  <c r="BA147" i="193" s="1"/>
  <c r="AZ146" i="193"/>
  <c r="AZ147" i="193" s="1"/>
  <c r="AY146" i="193"/>
  <c r="AY147" i="193" s="1"/>
  <c r="AX146" i="193"/>
  <c r="AX147" i="193" s="1"/>
  <c r="AW146" i="193"/>
  <c r="AW147" i="193" s="1"/>
  <c r="AV146" i="193"/>
  <c r="AV147" i="193" s="1"/>
  <c r="AU146" i="193"/>
  <c r="AU147" i="193" s="1"/>
  <c r="AY77" i="193" l="1"/>
  <c r="AZ77" i="193"/>
  <c r="BB77" i="193"/>
  <c r="AU77" i="193"/>
  <c r="BB147" i="193"/>
  <c r="AQ74" i="193" l="1"/>
  <c r="AQ73" i="193"/>
  <c r="AQ72" i="193"/>
  <c r="AQ71" i="193"/>
  <c r="AQ70" i="193"/>
  <c r="AQ69" i="193"/>
  <c r="AQ68" i="193"/>
  <c r="AQ67" i="193"/>
  <c r="AQ66" i="193"/>
  <c r="AQ65" i="193"/>
  <c r="AQ64" i="193"/>
  <c r="AQ63" i="193"/>
  <c r="AQ62" i="193"/>
  <c r="AQ61" i="193"/>
  <c r="AQ60" i="193"/>
  <c r="AQ59" i="193"/>
  <c r="AQ58" i="193"/>
  <c r="AQ57" i="193"/>
  <c r="AQ56" i="193"/>
  <c r="AQ55" i="193"/>
  <c r="AQ54" i="193"/>
  <c r="AQ53" i="193"/>
  <c r="AQ52" i="193"/>
  <c r="AQ51" i="193"/>
  <c r="AQ50" i="193"/>
  <c r="AQ49" i="193"/>
  <c r="AQ48" i="193"/>
  <c r="AQ47" i="193"/>
  <c r="AQ46" i="193"/>
  <c r="AQ45" i="193"/>
  <c r="AQ44" i="193"/>
  <c r="AQ43" i="193"/>
  <c r="AQ42" i="193"/>
  <c r="AQ41" i="193"/>
  <c r="AQ40" i="193"/>
  <c r="AQ39" i="193"/>
  <c r="AQ38" i="193"/>
  <c r="AQ37" i="193"/>
  <c r="AQ36" i="193"/>
  <c r="AQ35" i="193"/>
  <c r="AQ34" i="193"/>
  <c r="AQ33" i="193"/>
  <c r="AQ32" i="193"/>
  <c r="AQ31" i="193"/>
  <c r="AQ30" i="193"/>
  <c r="AQ29" i="193"/>
  <c r="AQ28" i="193"/>
  <c r="AQ27" i="193"/>
  <c r="AQ26" i="193"/>
  <c r="AQ25" i="193"/>
  <c r="AQ24" i="193"/>
  <c r="AQ23" i="193"/>
  <c r="AQ22" i="193"/>
  <c r="AQ21" i="193"/>
  <c r="AQ20" i="193"/>
  <c r="AQ19" i="193"/>
  <c r="AQ18" i="193"/>
  <c r="AQ17" i="193"/>
  <c r="AQ16" i="193"/>
  <c r="AQ15" i="193"/>
  <c r="AQ14" i="193"/>
  <c r="AQ13" i="193"/>
  <c r="AQ12" i="193"/>
  <c r="AQ11" i="193"/>
  <c r="AQ10" i="193"/>
  <c r="T77" i="140" l="1"/>
  <c r="S77" i="140"/>
  <c r="R77" i="140"/>
  <c r="T76" i="140"/>
  <c r="S76" i="140"/>
  <c r="R76" i="140"/>
  <c r="T75" i="140"/>
  <c r="S75" i="140"/>
  <c r="R75" i="140"/>
  <c r="T74" i="140"/>
  <c r="S74" i="140"/>
  <c r="R74" i="140"/>
  <c r="T73" i="140"/>
  <c r="S73" i="140"/>
  <c r="R73" i="140"/>
  <c r="T72" i="140"/>
  <c r="S72" i="140"/>
  <c r="R72" i="140"/>
  <c r="T71" i="140"/>
  <c r="S71" i="140"/>
  <c r="R71" i="140"/>
  <c r="T70" i="140"/>
  <c r="S70" i="140"/>
  <c r="R70" i="140"/>
  <c r="T69" i="140"/>
  <c r="S69" i="140"/>
  <c r="R69" i="140"/>
  <c r="T68" i="140"/>
  <c r="S68" i="140"/>
  <c r="R68" i="140"/>
  <c r="T67" i="140"/>
  <c r="S67" i="140"/>
  <c r="R67" i="140"/>
  <c r="T66" i="140"/>
  <c r="S66" i="140"/>
  <c r="R66" i="140"/>
  <c r="T65" i="140"/>
  <c r="S65" i="140"/>
  <c r="R65" i="140"/>
  <c r="T64" i="140"/>
  <c r="S64" i="140"/>
  <c r="R64" i="140"/>
  <c r="T63" i="140"/>
  <c r="S63" i="140"/>
  <c r="R63" i="140"/>
  <c r="T62" i="140"/>
  <c r="S62" i="140"/>
  <c r="R62" i="140"/>
  <c r="T61" i="140"/>
  <c r="S61" i="140"/>
  <c r="R61" i="140"/>
  <c r="T60" i="140"/>
  <c r="S60" i="140"/>
  <c r="R60" i="140"/>
  <c r="T59" i="140"/>
  <c r="S59" i="140"/>
  <c r="R59" i="140"/>
  <c r="T58" i="140"/>
  <c r="S58" i="140"/>
  <c r="R58" i="140"/>
  <c r="T57" i="140"/>
  <c r="S57" i="140"/>
  <c r="R57" i="140"/>
  <c r="T56" i="140"/>
  <c r="S56" i="140"/>
  <c r="R56" i="140"/>
  <c r="T55" i="140"/>
  <c r="S55" i="140"/>
  <c r="R55" i="140"/>
  <c r="T54" i="140"/>
  <c r="S54" i="140"/>
  <c r="R54" i="140"/>
  <c r="T53" i="140"/>
  <c r="S53" i="140"/>
  <c r="R53" i="140"/>
  <c r="T52" i="140"/>
  <c r="S52" i="140"/>
  <c r="R52" i="140"/>
  <c r="T51" i="140"/>
  <c r="S51" i="140"/>
  <c r="R51" i="140"/>
  <c r="T50" i="140"/>
  <c r="S50" i="140"/>
  <c r="R50" i="140"/>
  <c r="T49" i="140"/>
  <c r="S49" i="140"/>
  <c r="R49" i="140"/>
  <c r="T48" i="140"/>
  <c r="S48" i="140"/>
  <c r="R48" i="140"/>
  <c r="T47" i="140"/>
  <c r="S47" i="140"/>
  <c r="R47" i="140"/>
  <c r="T46" i="140"/>
  <c r="S46" i="140"/>
  <c r="R46" i="140"/>
  <c r="T45" i="140"/>
  <c r="S45" i="140"/>
  <c r="R45" i="140"/>
  <c r="T44" i="140"/>
  <c r="S44" i="140"/>
  <c r="R44" i="140"/>
  <c r="T43" i="140"/>
  <c r="S43" i="140"/>
  <c r="R43" i="140"/>
  <c r="T42" i="140"/>
  <c r="S42" i="140"/>
  <c r="R42" i="140"/>
  <c r="T41" i="140"/>
  <c r="S41" i="140"/>
  <c r="R41" i="140"/>
  <c r="T40" i="140"/>
  <c r="S40" i="140"/>
  <c r="R40" i="140"/>
  <c r="T39" i="140"/>
  <c r="S39" i="140"/>
  <c r="R39" i="140"/>
  <c r="T38" i="140"/>
  <c r="S38" i="140"/>
  <c r="R38" i="140"/>
  <c r="T37" i="140"/>
  <c r="S37" i="140"/>
  <c r="R37" i="140"/>
  <c r="T36" i="140"/>
  <c r="S36" i="140"/>
  <c r="R36" i="140"/>
  <c r="T35" i="140"/>
  <c r="S35" i="140"/>
  <c r="R35" i="140"/>
  <c r="T34" i="140"/>
  <c r="S34" i="140"/>
  <c r="R34" i="140"/>
  <c r="T33" i="140"/>
  <c r="S33" i="140"/>
  <c r="R33" i="140"/>
  <c r="T32" i="140"/>
  <c r="S32" i="140"/>
  <c r="R32" i="140"/>
  <c r="T31" i="140"/>
  <c r="S31" i="140"/>
  <c r="R31" i="140"/>
  <c r="T30" i="140"/>
  <c r="S30" i="140"/>
  <c r="R30" i="140"/>
  <c r="T29" i="140"/>
  <c r="S29" i="140"/>
  <c r="R29" i="140"/>
  <c r="T28" i="140"/>
  <c r="S28" i="140"/>
  <c r="R28" i="140"/>
  <c r="T27" i="140"/>
  <c r="S27" i="140"/>
  <c r="R27" i="140"/>
  <c r="T26" i="140"/>
  <c r="S26" i="140"/>
  <c r="R26" i="140"/>
  <c r="T25" i="140"/>
  <c r="S25" i="140"/>
  <c r="R25" i="140"/>
  <c r="T24" i="140"/>
  <c r="S24" i="140"/>
  <c r="R24" i="140"/>
  <c r="T23" i="140"/>
  <c r="S23" i="140"/>
  <c r="R23" i="140"/>
  <c r="T22" i="140"/>
  <c r="S22" i="140"/>
  <c r="R22" i="140"/>
  <c r="T21" i="140"/>
  <c r="S21" i="140"/>
  <c r="R21" i="140"/>
  <c r="T20" i="140"/>
  <c r="S20" i="140"/>
  <c r="R20" i="140"/>
  <c r="T19" i="140"/>
  <c r="S19" i="140"/>
  <c r="R19" i="140"/>
  <c r="T18" i="140"/>
  <c r="S18" i="140"/>
  <c r="R18" i="140"/>
  <c r="T17" i="140"/>
  <c r="S17" i="140"/>
  <c r="R17" i="140"/>
  <c r="T16" i="140"/>
  <c r="S16" i="140"/>
  <c r="R16" i="140"/>
  <c r="T15" i="140"/>
  <c r="S15" i="140"/>
  <c r="R15" i="140"/>
  <c r="T14" i="140"/>
  <c r="S14" i="140"/>
  <c r="R14" i="140"/>
  <c r="T13" i="140"/>
  <c r="S13" i="140"/>
  <c r="R13" i="140"/>
  <c r="T12" i="140"/>
  <c r="R12" i="140"/>
  <c r="S12" i="140"/>
  <c r="H24" i="193" l="1"/>
  <c r="H25" i="193" s="1"/>
  <c r="AF115" i="193"/>
  <c r="Z115" i="193"/>
  <c r="AF113" i="193"/>
  <c r="Z113" i="193"/>
  <c r="AH38" i="193"/>
  <c r="AH36" i="193"/>
  <c r="AH35" i="193"/>
  <c r="AH34" i="193"/>
  <c r="AH33" i="193"/>
  <c r="AH28" i="193"/>
  <c r="AH27" i="193"/>
  <c r="AH26" i="193"/>
  <c r="AH25" i="193"/>
  <c r="T24" i="193"/>
  <c r="F24" i="193"/>
  <c r="G24" i="193" s="1"/>
  <c r="AH23" i="193"/>
  <c r="B13" i="193"/>
  <c r="F25" i="193" l="1"/>
  <c r="G25" i="193" s="1"/>
  <c r="AH24" i="193"/>
  <c r="D234" i="79" l="1"/>
  <c r="D172" i="79" l="1"/>
  <c r="D177" i="79"/>
  <c r="D181" i="79"/>
  <c r="D200" i="79"/>
  <c r="D152" i="79"/>
  <c r="R23" i="133"/>
  <c r="D169" i="79"/>
  <c r="D72" i="79"/>
  <c r="D33" i="79"/>
  <c r="D233" i="79"/>
  <c r="D98" i="79"/>
  <c r="D217" i="79"/>
  <c r="D10" i="79"/>
  <c r="R32" i="133"/>
  <c r="D44" i="79"/>
  <c r="D27" i="79"/>
  <c r="D113" i="79"/>
  <c r="D69" i="79"/>
  <c r="D154" i="79"/>
  <c r="D202" i="79"/>
  <c r="D77" i="79"/>
  <c r="D45" i="79"/>
  <c r="R46" i="133"/>
  <c r="D178" i="79"/>
  <c r="D218" i="79"/>
  <c r="R40" i="133"/>
  <c r="D141" i="79"/>
  <c r="D164" i="79"/>
  <c r="D145" i="79"/>
  <c r="D43" i="79"/>
  <c r="D61" i="79"/>
  <c r="D220" i="79"/>
  <c r="D182" i="79"/>
  <c r="D91" i="79"/>
  <c r="D129" i="79"/>
  <c r="D71" i="79"/>
  <c r="D174" i="79"/>
  <c r="D99" i="79"/>
  <c r="D58" i="79"/>
  <c r="D40" i="79"/>
  <c r="R28" i="133"/>
  <c r="D108" i="79"/>
  <c r="D93" i="79"/>
  <c r="R38" i="133"/>
  <c r="R33" i="133"/>
  <c r="D225" i="79"/>
  <c r="R36" i="133"/>
  <c r="D87" i="79"/>
  <c r="D118" i="79"/>
  <c r="R29" i="133"/>
  <c r="D153" i="79"/>
  <c r="D195" i="79"/>
  <c r="D203" i="79"/>
  <c r="D112" i="79"/>
  <c r="D68" i="79"/>
  <c r="D107" i="79"/>
  <c r="D35" i="79"/>
  <c r="D192" i="79"/>
  <c r="D219" i="79"/>
  <c r="D42" i="79"/>
  <c r="D165" i="79"/>
  <c r="D120" i="79"/>
  <c r="D116" i="79"/>
  <c r="D79" i="79"/>
  <c r="D18" i="79"/>
  <c r="D135" i="79"/>
  <c r="D76" i="79"/>
  <c r="D46" i="79"/>
  <c r="D7" i="79"/>
  <c r="D215" i="79"/>
  <c r="R45" i="133"/>
  <c r="D52" i="79"/>
  <c r="D110" i="79"/>
  <c r="D210" i="79"/>
  <c r="D66" i="79"/>
  <c r="D227" i="79"/>
  <c r="D51" i="79"/>
  <c r="D216" i="79"/>
  <c r="R43" i="133"/>
  <c r="D85" i="79"/>
  <c r="R35" i="133"/>
  <c r="D199" i="79"/>
  <c r="D83" i="79"/>
  <c r="D207" i="79"/>
  <c r="D21" i="79"/>
  <c r="D155" i="79"/>
  <c r="R44" i="133"/>
  <c r="D204" i="79"/>
  <c r="R37" i="133"/>
  <c r="R34" i="133"/>
  <c r="D70" i="79"/>
  <c r="D186" i="79"/>
  <c r="D190" i="79"/>
  <c r="D188" i="79"/>
  <c r="D60" i="79"/>
  <c r="D175" i="79"/>
  <c r="D206" i="79"/>
  <c r="D194" i="79"/>
  <c r="D36" i="79"/>
  <c r="D22" i="79"/>
  <c r="D213" i="79"/>
  <c r="D92" i="79"/>
  <c r="D183" i="79"/>
  <c r="D143" i="79"/>
  <c r="D3" i="79"/>
  <c r="D12" i="79"/>
  <c r="R48" i="133"/>
  <c r="D137" i="79"/>
  <c r="D64" i="79"/>
  <c r="D224" i="79"/>
  <c r="D196" i="79"/>
  <c r="R24" i="133"/>
  <c r="D185" i="79"/>
  <c r="D47" i="79"/>
  <c r="D159" i="79"/>
  <c r="D197" i="79"/>
  <c r="D142" i="79"/>
  <c r="D162" i="79"/>
  <c r="D105" i="79"/>
  <c r="D78" i="79"/>
  <c r="D84" i="79"/>
  <c r="D136" i="79"/>
  <c r="D50" i="79"/>
  <c r="D101" i="79"/>
  <c r="R42" i="133"/>
  <c r="D75" i="79"/>
  <c r="D221" i="79"/>
  <c r="D128" i="79"/>
  <c r="D236" i="79"/>
  <c r="D211" i="79"/>
  <c r="D198" i="79"/>
  <c r="D109" i="79"/>
  <c r="D125" i="79"/>
  <c r="R26" i="133"/>
  <c r="D23" i="79"/>
  <c r="D176" i="79"/>
  <c r="D235" i="79"/>
  <c r="D229" i="79"/>
  <c r="D147" i="79"/>
  <c r="D59" i="79"/>
  <c r="D114" i="79"/>
  <c r="D57" i="79"/>
  <c r="D170" i="79"/>
  <c r="D104" i="79"/>
  <c r="D63" i="79"/>
  <c r="D16" i="79"/>
  <c r="D171" i="79"/>
  <c r="D168" i="79"/>
  <c r="D237" i="79"/>
  <c r="D82" i="79"/>
  <c r="D80" i="79"/>
  <c r="D41" i="79"/>
  <c r="R22" i="133"/>
  <c r="D124" i="79"/>
  <c r="D73" i="79"/>
  <c r="R39" i="133"/>
  <c r="D89" i="79"/>
  <c r="D32" i="79"/>
  <c r="D173" i="79"/>
  <c r="D96" i="79"/>
  <c r="D28" i="79"/>
  <c r="D179" i="79"/>
  <c r="D4" i="79"/>
  <c r="D140" i="79"/>
  <c r="D26" i="79"/>
  <c r="D180" i="79"/>
  <c r="D5" i="79"/>
  <c r="D6" i="79"/>
  <c r="D115" i="79"/>
  <c r="D24" i="79"/>
  <c r="D222" i="79"/>
  <c r="R27" i="133"/>
  <c r="D156" i="79"/>
  <c r="D25" i="79"/>
  <c r="E25" i="193"/>
  <c r="B14" i="185" s="1"/>
  <c r="D130" i="79"/>
  <c r="D62" i="79"/>
  <c r="R47" i="133"/>
  <c r="D13" i="79"/>
  <c r="D19" i="79"/>
  <c r="D9" i="79"/>
  <c r="D11" i="79"/>
  <c r="D209" i="79"/>
  <c r="D201" i="79"/>
  <c r="D149" i="79"/>
  <c r="R30" i="133"/>
  <c r="D122" i="79"/>
  <c r="D208" i="79"/>
  <c r="D119" i="79"/>
  <c r="D102" i="79"/>
  <c r="D191" i="79"/>
  <c r="D146" i="79"/>
  <c r="D111" i="79"/>
  <c r="D97" i="79"/>
  <c r="D226" i="79"/>
  <c r="D56" i="79"/>
  <c r="D232" i="79"/>
  <c r="D20" i="79"/>
  <c r="D117" i="79"/>
  <c r="D74" i="79"/>
  <c r="D37" i="79"/>
  <c r="R41" i="133"/>
  <c r="D187" i="79"/>
  <c r="D184" i="79"/>
  <c r="D158" i="79"/>
  <c r="D231" i="79"/>
  <c r="D30" i="79"/>
  <c r="D223" i="79"/>
  <c r="D2" i="79"/>
  <c r="D90" i="79"/>
  <c r="D214" i="79"/>
  <c r="D48" i="79"/>
  <c r="D189" i="79"/>
  <c r="R20" i="133"/>
  <c r="D230" i="79"/>
  <c r="D17" i="79"/>
  <c r="D132" i="79"/>
  <c r="D139" i="79"/>
  <c r="D95" i="79"/>
  <c r="D151" i="79"/>
  <c r="D86" i="79"/>
  <c r="D160" i="79"/>
  <c r="D193" i="79"/>
  <c r="D39" i="79"/>
  <c r="D94" i="79"/>
  <c r="D228" i="79"/>
  <c r="D167" i="79"/>
  <c r="D55" i="79"/>
  <c r="D14" i="79"/>
  <c r="D15" i="79"/>
  <c r="D53" i="79"/>
  <c r="D148" i="79"/>
  <c r="D121" i="79"/>
  <c r="D126" i="79"/>
  <c r="D212" i="79"/>
  <c r="D138" i="79"/>
  <c r="D103" i="79"/>
  <c r="D163" i="79"/>
  <c r="D166" i="79"/>
  <c r="D106" i="79"/>
  <c r="D205" i="79"/>
  <c r="D65" i="79"/>
  <c r="D49" i="79"/>
  <c r="D54" i="79"/>
  <c r="D81" i="79"/>
  <c r="D8" i="79"/>
  <c r="D29" i="79"/>
  <c r="D34" i="79"/>
  <c r="D133" i="79"/>
  <c r="D123" i="79"/>
  <c r="R31" i="133"/>
  <c r="D161" i="79"/>
  <c r="R21" i="133"/>
  <c r="D127" i="79"/>
  <c r="D144" i="79"/>
  <c r="D134" i="79"/>
  <c r="D150" i="79"/>
  <c r="D31" i="79"/>
  <c r="D88" i="79"/>
  <c r="D100" i="79"/>
  <c r="D157" i="79"/>
  <c r="D131" i="79"/>
  <c r="D67" i="79"/>
  <c r="R19" i="133"/>
  <c r="R25" i="133"/>
  <c r="D38" i="79"/>
  <c r="C68" i="155"/>
  <c r="B9" i="135" l="1"/>
  <c r="R7" i="133"/>
  <c r="Q7" i="133" s="1"/>
  <c r="E24" i="193"/>
  <c r="B1" i="179" s="1"/>
  <c r="N32" i="116"/>
  <c r="N30" i="116"/>
  <c r="O32" i="116"/>
  <c r="O30" i="116"/>
  <c r="C30" i="116"/>
  <c r="B30" i="116"/>
  <c r="D30" i="116"/>
  <c r="E30" i="116"/>
  <c r="F30" i="116"/>
  <c r="G30" i="116"/>
  <c r="H30" i="116"/>
  <c r="I30" i="116"/>
  <c r="J30" i="116"/>
  <c r="K30" i="116"/>
  <c r="L30" i="116"/>
  <c r="C18" i="116"/>
  <c r="C21" i="116"/>
  <c r="M26" i="179"/>
  <c r="B12" i="185" l="1"/>
  <c r="B10" i="140"/>
  <c r="R8" i="133"/>
  <c r="R9" i="133" s="1"/>
  <c r="R10" i="133" s="1"/>
  <c r="R11" i="133" s="1"/>
  <c r="R12" i="133" s="1"/>
  <c r="R13" i="133" s="1"/>
  <c r="R14" i="133" s="1"/>
  <c r="R15" i="133" s="1"/>
  <c r="R16" i="133" s="1"/>
  <c r="R17" i="133" s="1"/>
  <c r="R18" i="133" s="1"/>
  <c r="B29" i="117"/>
  <c r="B25" i="116"/>
  <c r="B27" i="185"/>
  <c r="K23" i="116" l="1"/>
  <c r="G23" i="116"/>
  <c r="L23" i="116"/>
  <c r="J23" i="116"/>
  <c r="H23" i="116"/>
  <c r="I23" i="116"/>
  <c r="F23" i="116"/>
  <c r="E23" i="116"/>
  <c r="D23" i="116"/>
  <c r="C23" i="116"/>
  <c r="B2" i="152"/>
  <c r="B21" i="133" s="1"/>
  <c r="B3" i="152"/>
  <c r="B4" i="152"/>
  <c r="B5" i="152"/>
  <c r="B6" i="152"/>
  <c r="B7" i="152"/>
  <c r="B8" i="152"/>
  <c r="B9" i="152"/>
  <c r="B10" i="152"/>
  <c r="AS77" i="140"/>
  <c r="AR77" i="140"/>
  <c r="AQ77" i="140"/>
  <c r="AP77" i="140"/>
  <c r="AO77" i="140"/>
  <c r="AN77" i="140"/>
  <c r="AM77" i="140"/>
  <c r="AL77" i="140"/>
  <c r="AK77" i="140"/>
  <c r="AF57" i="140"/>
  <c r="AE57" i="140"/>
  <c r="AD57" i="140"/>
  <c r="AC57" i="140"/>
  <c r="AB57" i="140"/>
  <c r="AA57" i="140"/>
  <c r="Z57" i="140"/>
  <c r="Y57" i="140"/>
  <c r="AF56" i="140"/>
  <c r="AE56" i="140"/>
  <c r="AD56" i="140"/>
  <c r="AC56" i="140"/>
  <c r="AB56" i="140"/>
  <c r="AA56" i="140"/>
  <c r="Z56" i="140"/>
  <c r="Y56" i="140"/>
  <c r="AF55" i="140"/>
  <c r="AE55" i="140"/>
  <c r="AD55" i="140"/>
  <c r="AC55" i="140"/>
  <c r="AB55" i="140"/>
  <c r="AA55" i="140"/>
  <c r="Z55" i="140"/>
  <c r="Y55" i="140"/>
  <c r="AF54" i="140"/>
  <c r="AE54" i="140"/>
  <c r="AD54" i="140"/>
  <c r="AC54" i="140"/>
  <c r="AB54" i="140"/>
  <c r="AA54" i="140"/>
  <c r="Z54" i="140"/>
  <c r="Y54" i="140"/>
  <c r="AF53" i="140"/>
  <c r="AE53" i="140"/>
  <c r="AD53" i="140"/>
  <c r="AC53" i="140"/>
  <c r="AB53" i="140"/>
  <c r="AA53" i="140"/>
  <c r="Z53" i="140"/>
  <c r="Y53" i="140"/>
  <c r="AF52" i="140"/>
  <c r="AE52" i="140"/>
  <c r="AD52" i="140"/>
  <c r="AC52" i="140"/>
  <c r="AB52" i="140"/>
  <c r="AA52" i="140"/>
  <c r="Z52" i="140"/>
  <c r="Y52" i="140"/>
  <c r="AF51" i="140"/>
  <c r="AE51" i="140"/>
  <c r="AD51" i="140"/>
  <c r="AC51" i="140"/>
  <c r="AB51" i="140"/>
  <c r="AA51" i="140"/>
  <c r="Z51" i="140"/>
  <c r="Y51" i="140"/>
  <c r="AF50" i="140"/>
  <c r="AE50" i="140"/>
  <c r="AD50" i="140"/>
  <c r="AC50" i="140"/>
  <c r="AB50" i="140"/>
  <c r="AA50" i="140"/>
  <c r="Z50" i="140"/>
  <c r="Y50" i="140"/>
  <c r="AF49" i="140"/>
  <c r="AE49" i="140"/>
  <c r="AD49" i="140"/>
  <c r="AC49" i="140"/>
  <c r="AB49" i="140"/>
  <c r="AA49" i="140"/>
  <c r="Z49" i="140"/>
  <c r="Y49" i="140"/>
  <c r="AF48" i="140"/>
  <c r="AE48" i="140"/>
  <c r="AD48" i="140"/>
  <c r="AC48" i="140"/>
  <c r="AB48" i="140"/>
  <c r="AA48" i="140"/>
  <c r="Z48" i="140"/>
  <c r="Y48" i="140"/>
  <c r="AF47" i="140"/>
  <c r="AE47" i="140"/>
  <c r="AD47" i="140"/>
  <c r="AC47" i="140"/>
  <c r="AB47" i="140"/>
  <c r="AA47" i="140"/>
  <c r="Z47" i="140"/>
  <c r="Y47" i="140"/>
  <c r="AF46" i="140"/>
  <c r="AE46" i="140"/>
  <c r="AD46" i="140"/>
  <c r="AC46" i="140"/>
  <c r="AB46" i="140"/>
  <c r="AA46" i="140"/>
  <c r="Z46" i="140"/>
  <c r="Y46" i="140"/>
  <c r="AF45" i="140"/>
  <c r="AE45" i="140"/>
  <c r="AD45" i="140"/>
  <c r="AC45" i="140"/>
  <c r="AB45" i="140"/>
  <c r="AA45" i="140"/>
  <c r="Z45" i="140"/>
  <c r="Y45" i="140"/>
  <c r="AF44" i="140"/>
  <c r="AE44" i="140"/>
  <c r="AD44" i="140"/>
  <c r="AC44" i="140"/>
  <c r="AB44" i="140"/>
  <c r="AA44" i="140"/>
  <c r="Z44" i="140"/>
  <c r="Y44" i="140"/>
  <c r="AF43" i="140"/>
  <c r="AE43" i="140"/>
  <c r="AD43" i="140"/>
  <c r="AC43" i="140"/>
  <c r="AB43" i="140"/>
  <c r="AA43" i="140"/>
  <c r="Z43" i="140"/>
  <c r="Y43" i="140"/>
  <c r="AF42" i="140"/>
  <c r="AE42" i="140"/>
  <c r="AD42" i="140"/>
  <c r="AC42" i="140"/>
  <c r="AB42" i="140"/>
  <c r="AA42" i="140"/>
  <c r="Z42" i="140"/>
  <c r="Y42" i="140"/>
  <c r="AF41" i="140"/>
  <c r="AE41" i="140"/>
  <c r="AD41" i="140"/>
  <c r="AC41" i="140"/>
  <c r="AB41" i="140"/>
  <c r="AA41" i="140"/>
  <c r="Z41" i="140"/>
  <c r="Y41" i="140"/>
  <c r="AF40" i="140"/>
  <c r="AE40" i="140"/>
  <c r="AD40" i="140"/>
  <c r="AC40" i="140"/>
  <c r="AB40" i="140"/>
  <c r="AA40" i="140"/>
  <c r="Z40" i="140"/>
  <c r="Y40" i="140"/>
  <c r="AF39" i="140"/>
  <c r="AE39" i="140"/>
  <c r="AD39" i="140"/>
  <c r="AC39" i="140"/>
  <c r="AB39" i="140"/>
  <c r="AA39" i="140"/>
  <c r="Z39" i="140"/>
  <c r="Y39" i="140"/>
  <c r="AF38" i="140"/>
  <c r="AE38" i="140"/>
  <c r="AD38" i="140"/>
  <c r="AC38" i="140"/>
  <c r="AB38" i="140"/>
  <c r="AA38" i="140"/>
  <c r="Z38" i="140"/>
  <c r="Y38" i="140"/>
  <c r="AF37" i="140"/>
  <c r="AE37" i="140"/>
  <c r="AD37" i="140"/>
  <c r="AC37" i="140"/>
  <c r="AB37" i="140"/>
  <c r="AA37" i="140"/>
  <c r="Z37" i="140"/>
  <c r="Y37" i="140"/>
  <c r="AF36" i="140"/>
  <c r="AE36" i="140"/>
  <c r="AD36" i="140"/>
  <c r="AC36" i="140"/>
  <c r="AB36" i="140"/>
  <c r="AA36" i="140"/>
  <c r="Z36" i="140"/>
  <c r="Y36" i="140"/>
  <c r="AF35" i="140"/>
  <c r="AE35" i="140"/>
  <c r="AD35" i="140"/>
  <c r="AC35" i="140"/>
  <c r="AB35" i="140"/>
  <c r="AA35" i="140"/>
  <c r="Z35" i="140"/>
  <c r="Y35" i="140"/>
  <c r="AF34" i="140"/>
  <c r="AE34" i="140"/>
  <c r="AD34" i="140"/>
  <c r="AC34" i="140"/>
  <c r="AB34" i="140"/>
  <c r="AA34" i="140"/>
  <c r="Z34" i="140"/>
  <c r="Y34" i="140"/>
  <c r="AF33" i="140"/>
  <c r="AE33" i="140"/>
  <c r="AD33" i="140"/>
  <c r="AC33" i="140"/>
  <c r="AB33" i="140"/>
  <c r="AA33" i="140"/>
  <c r="Z33" i="140"/>
  <c r="Y33" i="140"/>
  <c r="AF32" i="140"/>
  <c r="AE32" i="140"/>
  <c r="AD32" i="140"/>
  <c r="AC32" i="140"/>
  <c r="AB32" i="140"/>
  <c r="AA32" i="140"/>
  <c r="Z32" i="140"/>
  <c r="Y32" i="140"/>
  <c r="AF31" i="140"/>
  <c r="AE31" i="140"/>
  <c r="AD31" i="140"/>
  <c r="AC31" i="140"/>
  <c r="AB31" i="140"/>
  <c r="AA31" i="140"/>
  <c r="Z31" i="140"/>
  <c r="Y31" i="140"/>
  <c r="AF30" i="140"/>
  <c r="AE30" i="140"/>
  <c r="AD30" i="140"/>
  <c r="AC30" i="140"/>
  <c r="AB30" i="140"/>
  <c r="AA30" i="140"/>
  <c r="Z30" i="140"/>
  <c r="Y30" i="140"/>
  <c r="AF29" i="140"/>
  <c r="AE29" i="140"/>
  <c r="AD29" i="140"/>
  <c r="AC29" i="140"/>
  <c r="AB29" i="140"/>
  <c r="AA29" i="140"/>
  <c r="Z29" i="140"/>
  <c r="Y29" i="140"/>
  <c r="AF28" i="140"/>
  <c r="AE28" i="140"/>
  <c r="AD28" i="140"/>
  <c r="AC28" i="140"/>
  <c r="AB28" i="140"/>
  <c r="AA28" i="140"/>
  <c r="Z28" i="140"/>
  <c r="Y28" i="140"/>
  <c r="AF27" i="140"/>
  <c r="AE27" i="140"/>
  <c r="AD27" i="140"/>
  <c r="AC27" i="140"/>
  <c r="AB27" i="140"/>
  <c r="AA27" i="140"/>
  <c r="Z27" i="140"/>
  <c r="Y27" i="140"/>
  <c r="AF26" i="140"/>
  <c r="AE26" i="140"/>
  <c r="AD26" i="140"/>
  <c r="AC26" i="140"/>
  <c r="AB26" i="140"/>
  <c r="AA26" i="140"/>
  <c r="Z26" i="140"/>
  <c r="Y26" i="140"/>
  <c r="AF25" i="140"/>
  <c r="AE25" i="140"/>
  <c r="AD25" i="140"/>
  <c r="AC25" i="140"/>
  <c r="AB25" i="140"/>
  <c r="AA25" i="140"/>
  <c r="Z25" i="140"/>
  <c r="Y25" i="140"/>
  <c r="AF24" i="140"/>
  <c r="AE24" i="140"/>
  <c r="AD24" i="140"/>
  <c r="AC24" i="140"/>
  <c r="AB24" i="140"/>
  <c r="AA24" i="140"/>
  <c r="Z24" i="140"/>
  <c r="Y24" i="140"/>
  <c r="AF23" i="140"/>
  <c r="AE23" i="140"/>
  <c r="AD23" i="140"/>
  <c r="AC23" i="140"/>
  <c r="AB23" i="140"/>
  <c r="AA23" i="140"/>
  <c r="Z23" i="140"/>
  <c r="Y23" i="140"/>
  <c r="AF21" i="140"/>
  <c r="AE21" i="140"/>
  <c r="AD21" i="140"/>
  <c r="AC21" i="140"/>
  <c r="AB21" i="140"/>
  <c r="AA21" i="140"/>
  <c r="Z21" i="140"/>
  <c r="Y21" i="140"/>
  <c r="AF20" i="140"/>
  <c r="AE20" i="140"/>
  <c r="AD20" i="140"/>
  <c r="AC20" i="140"/>
  <c r="AB20" i="140"/>
  <c r="AA20" i="140"/>
  <c r="Z20" i="140"/>
  <c r="Y20" i="140"/>
  <c r="AF19" i="140"/>
  <c r="AE19" i="140"/>
  <c r="AD19" i="140"/>
  <c r="AC19" i="140"/>
  <c r="AB19" i="140"/>
  <c r="AA19" i="140"/>
  <c r="Z19" i="140"/>
  <c r="Y19" i="140"/>
  <c r="AF18" i="140"/>
  <c r="AE18" i="140"/>
  <c r="AD18" i="140"/>
  <c r="AC18" i="140"/>
  <c r="AB18" i="140"/>
  <c r="AA18" i="140"/>
  <c r="Z18" i="140"/>
  <c r="Y18" i="140"/>
  <c r="AF17" i="140"/>
  <c r="AE17" i="140"/>
  <c r="AD17" i="140"/>
  <c r="AC17" i="140"/>
  <c r="AB17" i="140"/>
  <c r="AA17" i="140"/>
  <c r="Z17" i="140"/>
  <c r="Y17" i="140"/>
  <c r="AF16" i="140"/>
  <c r="AE16" i="140"/>
  <c r="AD16" i="140"/>
  <c r="AC16" i="140"/>
  <c r="AB16" i="140"/>
  <c r="AA16" i="140"/>
  <c r="Z16" i="140"/>
  <c r="Y16" i="140"/>
  <c r="AF15" i="140"/>
  <c r="AE15" i="140"/>
  <c r="AD15" i="140"/>
  <c r="AC15" i="140"/>
  <c r="AB15" i="140"/>
  <c r="AA15" i="140"/>
  <c r="Z15" i="140"/>
  <c r="Y15" i="140"/>
  <c r="AF14" i="140"/>
  <c r="AE14" i="140"/>
  <c r="AD14" i="140"/>
  <c r="AC14" i="140"/>
  <c r="AB14" i="140"/>
  <c r="AA14" i="140"/>
  <c r="Z14" i="140"/>
  <c r="Y14" i="140"/>
  <c r="AF13" i="140"/>
  <c r="AE13" i="140"/>
  <c r="AD13" i="140"/>
  <c r="AC13" i="140"/>
  <c r="AB13" i="140"/>
  <c r="AA13" i="140"/>
  <c r="Y13" i="140"/>
  <c r="AF12" i="140"/>
  <c r="AE12" i="140"/>
  <c r="AD12" i="140"/>
  <c r="AC12" i="140"/>
  <c r="AB12" i="140"/>
  <c r="AA12" i="140"/>
  <c r="Z12" i="140"/>
  <c r="Y12" i="140"/>
  <c r="O60" i="140"/>
  <c r="O59" i="140"/>
  <c r="O58" i="140"/>
  <c r="O57" i="140"/>
  <c r="O56" i="140"/>
  <c r="O55" i="140"/>
  <c r="O54" i="140"/>
  <c r="O53" i="140"/>
  <c r="O52" i="140"/>
  <c r="O51" i="140"/>
  <c r="O50" i="140"/>
  <c r="O49" i="140"/>
  <c r="O48" i="140"/>
  <c r="O47" i="140"/>
  <c r="O46" i="140"/>
  <c r="O45" i="140"/>
  <c r="O44" i="140"/>
  <c r="O43" i="140"/>
  <c r="O42" i="140"/>
  <c r="O41" i="140"/>
  <c r="O40" i="140"/>
  <c r="O39" i="140"/>
  <c r="O38" i="140"/>
  <c r="O37" i="140"/>
  <c r="O36" i="140"/>
  <c r="O35" i="140"/>
  <c r="O34" i="140"/>
  <c r="O33" i="140"/>
  <c r="O32" i="140"/>
  <c r="O31" i="140"/>
  <c r="O30" i="140"/>
  <c r="O29" i="140"/>
  <c r="O28" i="140"/>
  <c r="O27" i="140"/>
  <c r="O26" i="140"/>
  <c r="O25" i="140"/>
  <c r="O24" i="140"/>
  <c r="O23" i="140"/>
  <c r="O22" i="140"/>
  <c r="O21" i="140"/>
  <c r="O20" i="140"/>
  <c r="O19" i="140"/>
  <c r="O18" i="140"/>
  <c r="O17" i="140"/>
  <c r="O16" i="140"/>
  <c r="O15" i="140"/>
  <c r="O14" i="140"/>
  <c r="O13" i="140"/>
  <c r="P5" i="133"/>
  <c r="B18" i="116"/>
  <c r="W54" i="140" a="1"/>
  <c r="W46" i="140" a="1"/>
  <c r="AK10" i="140" l="1"/>
  <c r="W54" i="140"/>
  <c r="W46" i="140"/>
  <c r="I58" i="140"/>
  <c r="H58" i="140"/>
  <c r="G58" i="140"/>
  <c r="F58" i="140"/>
  <c r="E58" i="140"/>
  <c r="D58" i="140"/>
  <c r="C58" i="140"/>
  <c r="B58" i="140"/>
  <c r="I59" i="140"/>
  <c r="H59" i="140"/>
  <c r="G59" i="140"/>
  <c r="F59" i="140"/>
  <c r="E59" i="140"/>
  <c r="D59" i="140"/>
  <c r="C59" i="140"/>
  <c r="B59" i="140"/>
  <c r="S3" i="191"/>
  <c r="R7" i="192"/>
  <c r="Q7" i="192"/>
  <c r="P7" i="192"/>
  <c r="N7" i="192"/>
  <c r="M7" i="192"/>
  <c r="K7" i="192"/>
  <c r="R6" i="192"/>
  <c r="Q6" i="192"/>
  <c r="P6" i="192"/>
  <c r="N6" i="192"/>
  <c r="M6" i="192"/>
  <c r="K6" i="192"/>
  <c r="Q5" i="192"/>
  <c r="R5" i="192"/>
  <c r="P5" i="192"/>
  <c r="N5" i="192"/>
  <c r="M5" i="192"/>
  <c r="O7" i="192"/>
  <c r="L7" i="192"/>
  <c r="O6" i="192"/>
  <c r="L6" i="192"/>
  <c r="O5" i="192"/>
  <c r="L5" i="192"/>
  <c r="K5" i="192"/>
  <c r="R4" i="192"/>
  <c r="Q4" i="192"/>
  <c r="P4" i="192"/>
  <c r="N4" i="192"/>
  <c r="M4" i="192"/>
  <c r="O4" i="192"/>
  <c r="L4" i="192"/>
  <c r="K4" i="192"/>
  <c r="F99" i="192"/>
  <c r="F91" i="192"/>
  <c r="G90" i="192"/>
  <c r="G89" i="192"/>
  <c r="G88" i="192"/>
  <c r="G87" i="192"/>
  <c r="G86" i="192"/>
  <c r="G85" i="192"/>
  <c r="G84" i="192"/>
  <c r="F83" i="192"/>
  <c r="F75" i="192"/>
  <c r="G75" i="192" s="1"/>
  <c r="G74" i="192"/>
  <c r="G73" i="192"/>
  <c r="G72" i="192"/>
  <c r="G71" i="192"/>
  <c r="G70" i="192"/>
  <c r="G69" i="192"/>
  <c r="F67" i="192"/>
  <c r="F59" i="192"/>
  <c r="G59" i="192" s="1"/>
  <c r="G58" i="192"/>
  <c r="G57" i="192"/>
  <c r="G56" i="192"/>
  <c r="G55" i="192"/>
  <c r="G54" i="192"/>
  <c r="G53" i="192"/>
  <c r="F51" i="192"/>
  <c r="F43" i="192"/>
  <c r="G43" i="192" s="1"/>
  <c r="G42" i="192"/>
  <c r="G41" i="192"/>
  <c r="G40" i="192"/>
  <c r="G39" i="192"/>
  <c r="G38" i="192"/>
  <c r="G37" i="192"/>
  <c r="F35" i="192"/>
  <c r="G27" i="192"/>
  <c r="F27" i="192"/>
  <c r="G26" i="192"/>
  <c r="G25" i="192"/>
  <c r="G24" i="192"/>
  <c r="G23" i="192"/>
  <c r="G22" i="192"/>
  <c r="G21" i="192"/>
  <c r="F19" i="192"/>
  <c r="F11" i="192"/>
  <c r="G11" i="192" s="1"/>
  <c r="G10" i="192"/>
  <c r="G9" i="192"/>
  <c r="G8" i="192"/>
  <c r="G7" i="192"/>
  <c r="G6" i="192"/>
  <c r="G5" i="192"/>
  <c r="AB3" i="191"/>
  <c r="W27" i="191" l="1"/>
  <c r="V27" i="191"/>
  <c r="U27" i="191"/>
  <c r="T27" i="191"/>
  <c r="S27" i="191"/>
  <c r="R27" i="191"/>
  <c r="Q27" i="191"/>
  <c r="B52" i="140"/>
  <c r="P27" i="191"/>
  <c r="O27" i="191"/>
  <c r="N27" i="191"/>
  <c r="M27" i="191"/>
  <c r="L27" i="191"/>
  <c r="K27" i="191"/>
  <c r="J27" i="191"/>
  <c r="AE26" i="191"/>
  <c r="AD26" i="191"/>
  <c r="AC26" i="191"/>
  <c r="AA26" i="191"/>
  <c r="Z26" i="191"/>
  <c r="Y26" i="191"/>
  <c r="AB26" i="191" s="1"/>
  <c r="X26" i="191"/>
  <c r="L3" i="191"/>
  <c r="J3" i="191"/>
  <c r="P244" i="144" l="1"/>
  <c r="U14" i="177"/>
  <c r="T14" i="177"/>
  <c r="AR3" i="191"/>
  <c r="AQ3" i="191"/>
  <c r="AP3" i="191"/>
  <c r="AN3" i="191"/>
  <c r="AM3" i="191"/>
  <c r="AK3" i="191"/>
  <c r="C54" i="140"/>
  <c r="D54" i="140"/>
  <c r="E54" i="140"/>
  <c r="F54" i="140"/>
  <c r="G54" i="140"/>
  <c r="H54" i="140"/>
  <c r="I54" i="140"/>
  <c r="B54" i="140"/>
  <c r="AI3" i="191"/>
  <c r="AH3" i="191"/>
  <c r="AG3" i="191"/>
  <c r="AE3" i="191"/>
  <c r="AD3" i="191"/>
  <c r="C52" i="140"/>
  <c r="D52" i="140"/>
  <c r="E52" i="140"/>
  <c r="F52" i="140"/>
  <c r="G52" i="140"/>
  <c r="H52" i="140"/>
  <c r="I52" i="140"/>
  <c r="Z3" i="191"/>
  <c r="Y3" i="191"/>
  <c r="X3" i="191"/>
  <c r="V3" i="191"/>
  <c r="U3" i="191"/>
  <c r="Q3" i="191"/>
  <c r="P3" i="191"/>
  <c r="O3" i="191"/>
  <c r="M3" i="191"/>
  <c r="AC44" i="155" l="1"/>
  <c r="AC43" i="155"/>
  <c r="I13" i="190" l="1" a="1"/>
  <c r="I13" i="190" s="1"/>
  <c r="AJ14" i="190"/>
  <c r="AK14" i="190"/>
  <c r="AL14" i="190"/>
  <c r="AM14" i="190"/>
  <c r="AN14" i="190"/>
  <c r="AO14" i="190"/>
  <c r="AP14" i="190"/>
  <c r="AQ14" i="190"/>
  <c r="AI14" i="190"/>
  <c r="AH14" i="190"/>
  <c r="Z78" i="189"/>
  <c r="Z77" i="189"/>
  <c r="S78" i="189"/>
  <c r="T78" i="189"/>
  <c r="U78" i="189"/>
  <c r="V78" i="189"/>
  <c r="W78" i="189"/>
  <c r="X78" i="189"/>
  <c r="Y78" i="189"/>
  <c r="R78" i="189"/>
  <c r="S77" i="189"/>
  <c r="T77" i="189"/>
  <c r="U77" i="189"/>
  <c r="V77" i="189"/>
  <c r="W77" i="189"/>
  <c r="X77" i="189"/>
  <c r="Y77" i="189"/>
  <c r="R77" i="189"/>
  <c r="R70" i="189"/>
  <c r="S71" i="189"/>
  <c r="T71" i="189"/>
  <c r="U71" i="189"/>
  <c r="V71" i="189"/>
  <c r="W71" i="189"/>
  <c r="X71" i="189"/>
  <c r="Y71" i="189"/>
  <c r="R71" i="189"/>
  <c r="S70" i="189"/>
  <c r="T70" i="189"/>
  <c r="U70" i="189"/>
  <c r="V70" i="189"/>
  <c r="W70" i="189"/>
  <c r="X70" i="189"/>
  <c r="Y70" i="189"/>
  <c r="R4" i="189"/>
  <c r="R5" i="189"/>
  <c r="R6" i="189"/>
  <c r="R7" i="189"/>
  <c r="R8" i="189"/>
  <c r="R9" i="189"/>
  <c r="R10" i="189"/>
  <c r="R11" i="189"/>
  <c r="R12" i="189"/>
  <c r="R13" i="189"/>
  <c r="R14" i="189"/>
  <c r="R15" i="189"/>
  <c r="R16" i="189"/>
  <c r="R17" i="189"/>
  <c r="R18" i="189"/>
  <c r="R19" i="189"/>
  <c r="R20" i="189"/>
  <c r="R21" i="189"/>
  <c r="R22" i="189"/>
  <c r="R23" i="189"/>
  <c r="R24" i="189"/>
  <c r="R25" i="189"/>
  <c r="R26" i="189"/>
  <c r="R27" i="189"/>
  <c r="R28" i="189"/>
  <c r="R29" i="189"/>
  <c r="R30" i="189"/>
  <c r="R31" i="189"/>
  <c r="R32" i="189"/>
  <c r="R33" i="189"/>
  <c r="R34" i="189"/>
  <c r="R35" i="189"/>
  <c r="R36" i="189"/>
  <c r="R37" i="189"/>
  <c r="R38" i="189"/>
  <c r="R39" i="189"/>
  <c r="R40" i="189"/>
  <c r="R41" i="189"/>
  <c r="R42" i="189"/>
  <c r="R43" i="189"/>
  <c r="R44" i="189"/>
  <c r="R45" i="189"/>
  <c r="R46" i="189"/>
  <c r="R47" i="189"/>
  <c r="R48" i="189"/>
  <c r="R49" i="189"/>
  <c r="R50" i="189"/>
  <c r="R51" i="189"/>
  <c r="R3" i="189"/>
  <c r="BN1" i="188" l="1"/>
  <c r="BO1" i="188"/>
  <c r="BP1" i="188"/>
  <c r="BQ1" i="188"/>
  <c r="BR1" i="188"/>
  <c r="BS1" i="188"/>
  <c r="BT1" i="188"/>
  <c r="BU1" i="188"/>
  <c r="BV1" i="188"/>
  <c r="BW1" i="188"/>
  <c r="BX1" i="188"/>
  <c r="AH3" i="188" a="1"/>
  <c r="AH3" i="188" s="1"/>
  <c r="AA3" i="188"/>
  <c r="AH10" i="188" s="1" a="1"/>
  <c r="AH10" i="188" s="1"/>
  <c r="AA4" i="188"/>
  <c r="AA5" i="188"/>
  <c r="AA6" i="188"/>
  <c r="AA7" i="188"/>
  <c r="AA8" i="188"/>
  <c r="AA9" i="188"/>
  <c r="AA10" i="188"/>
  <c r="AA11" i="188"/>
  <c r="AA12" i="188"/>
  <c r="AA13" i="188"/>
  <c r="AA14" i="188"/>
  <c r="AA15" i="188"/>
  <c r="AA16" i="188"/>
  <c r="AA17" i="188"/>
  <c r="AH21" i="188" s="1" a="1"/>
  <c r="AH21" i="188" s="1"/>
  <c r="AA18" i="188"/>
  <c r="AA19" i="188"/>
  <c r="AA20" i="188"/>
  <c r="AA21" i="188"/>
  <c r="AA22" i="188"/>
  <c r="AA23" i="188"/>
  <c r="AA24" i="188"/>
  <c r="AA25" i="188"/>
  <c r="AA26" i="188"/>
  <c r="AA27" i="188"/>
  <c r="AA28" i="188"/>
  <c r="AA29" i="188"/>
  <c r="AA30" i="188"/>
  <c r="AA31" i="188"/>
  <c r="AA32" i="188"/>
  <c r="AA33" i="188"/>
  <c r="AA34" i="188"/>
  <c r="AA35" i="188"/>
  <c r="AA36" i="188"/>
  <c r="AA37" i="188"/>
  <c r="AA38" i="188"/>
  <c r="AA39" i="188"/>
  <c r="AA40" i="188"/>
  <c r="AA41" i="188"/>
  <c r="AA42" i="188"/>
  <c r="AA43" i="188"/>
  <c r="AA44" i="188"/>
  <c r="AA45" i="188"/>
  <c r="AA46" i="188"/>
  <c r="AA47" i="188"/>
  <c r="AA48" i="188"/>
  <c r="AA49" i="188"/>
  <c r="AA50" i="188"/>
  <c r="AA51" i="188"/>
  <c r="AA52" i="188"/>
  <c r="AA53" i="188"/>
  <c r="AA54" i="188"/>
  <c r="AA55" i="188"/>
  <c r="AA56" i="188"/>
  <c r="AA57" i="188"/>
  <c r="AA58" i="188"/>
  <c r="AA59" i="188"/>
  <c r="AA60" i="188"/>
  <c r="AA61" i="188"/>
  <c r="AA62" i="188"/>
  <c r="AA63" i="188"/>
  <c r="AA64" i="188"/>
  <c r="AA65" i="188"/>
  <c r="AA66" i="188"/>
  <c r="AA67" i="188"/>
  <c r="AA2" i="188"/>
  <c r="AH8" i="188" s="1" a="1"/>
  <c r="AH8" i="188" s="1"/>
  <c r="AB2" i="188"/>
  <c r="AB3" i="188"/>
  <c r="AB4" i="188"/>
  <c r="AB5" i="188"/>
  <c r="AB6" i="188"/>
  <c r="AB7" i="188"/>
  <c r="AB8" i="188"/>
  <c r="AB9" i="188"/>
  <c r="AB10" i="188"/>
  <c r="AB11" i="188"/>
  <c r="AB12" i="188"/>
  <c r="AB13" i="188"/>
  <c r="AB14" i="188"/>
  <c r="AB15" i="188"/>
  <c r="AB16" i="188"/>
  <c r="AB17" i="188"/>
  <c r="AB18" i="188"/>
  <c r="AB19" i="188"/>
  <c r="AB20" i="188"/>
  <c r="AB21" i="188"/>
  <c r="AB22" i="188"/>
  <c r="AB23" i="188"/>
  <c r="AB24" i="188"/>
  <c r="AB25" i="188"/>
  <c r="AB26" i="188"/>
  <c r="AB27" i="188"/>
  <c r="AB28" i="188"/>
  <c r="AB29" i="188"/>
  <c r="AB30" i="188"/>
  <c r="AB31" i="188"/>
  <c r="AB32" i="188"/>
  <c r="AB33" i="188"/>
  <c r="AB34" i="188"/>
  <c r="AB35" i="188"/>
  <c r="AB36" i="188"/>
  <c r="AB37" i="188"/>
  <c r="AB38" i="188"/>
  <c r="AB39" i="188"/>
  <c r="AB40" i="188"/>
  <c r="AB41" i="188"/>
  <c r="AB42" i="188"/>
  <c r="AB43" i="188"/>
  <c r="AB44" i="188"/>
  <c r="AB45" i="188"/>
  <c r="AB46" i="188"/>
  <c r="AB47" i="188"/>
  <c r="AB48" i="188"/>
  <c r="AB49" i="188"/>
  <c r="AB50" i="188"/>
  <c r="AB51" i="188"/>
  <c r="AB52" i="188"/>
  <c r="AB53" i="188"/>
  <c r="AB54" i="188"/>
  <c r="AB55" i="188"/>
  <c r="AB56" i="188"/>
  <c r="AB57" i="188"/>
  <c r="AB58" i="188"/>
  <c r="AB59" i="188"/>
  <c r="AB60" i="188"/>
  <c r="AB61" i="188"/>
  <c r="AB62" i="188"/>
  <c r="AB63" i="188"/>
  <c r="AB64" i="188"/>
  <c r="AB65" i="188"/>
  <c r="AB66" i="188"/>
  <c r="T66" i="188"/>
  <c r="T65" i="188"/>
  <c r="T64" i="188"/>
  <c r="T63" i="188"/>
  <c r="T62" i="188"/>
  <c r="T61" i="188"/>
  <c r="T60" i="188"/>
  <c r="T59" i="188"/>
  <c r="T58" i="188"/>
  <c r="T57" i="188"/>
  <c r="T56" i="188"/>
  <c r="T55" i="188"/>
  <c r="T54" i="188"/>
  <c r="T53" i="188"/>
  <c r="T52" i="188"/>
  <c r="T51" i="188"/>
  <c r="T50" i="188"/>
  <c r="T49" i="188"/>
  <c r="T48" i="188"/>
  <c r="T47" i="188"/>
  <c r="T46" i="188"/>
  <c r="T45" i="188"/>
  <c r="T44" i="188"/>
  <c r="T43" i="188"/>
  <c r="T42" i="188"/>
  <c r="T41" i="188"/>
  <c r="T40" i="188"/>
  <c r="T39" i="188"/>
  <c r="T38" i="188"/>
  <c r="T37" i="188"/>
  <c r="T36" i="188"/>
  <c r="T35" i="188"/>
  <c r="T34" i="188"/>
  <c r="T33" i="188"/>
  <c r="T32" i="188"/>
  <c r="T31" i="188"/>
  <c r="T30" i="188"/>
  <c r="T29" i="188"/>
  <c r="T28" i="188"/>
  <c r="T27" i="188"/>
  <c r="K27" i="188"/>
  <c r="K28" i="188" s="1"/>
  <c r="J27" i="188"/>
  <c r="J28" i="188" s="1"/>
  <c r="I27" i="188"/>
  <c r="I28" i="188" s="1"/>
  <c r="H27" i="188"/>
  <c r="H28" i="188" s="1"/>
  <c r="G27" i="188"/>
  <c r="G28" i="188" s="1"/>
  <c r="F27" i="188"/>
  <c r="F28" i="188" s="1"/>
  <c r="E27" i="188"/>
  <c r="E28" i="188" s="1"/>
  <c r="D27" i="188"/>
  <c r="D28" i="188" s="1"/>
  <c r="C27" i="188"/>
  <c r="C28" i="188" s="1"/>
  <c r="B27" i="188"/>
  <c r="T26" i="188"/>
  <c r="T25" i="188"/>
  <c r="T24" i="188"/>
  <c r="T23" i="188"/>
  <c r="T22" i="188"/>
  <c r="T21" i="188"/>
  <c r="T20" i="188"/>
  <c r="T19" i="188"/>
  <c r="T18" i="188"/>
  <c r="T17" i="188"/>
  <c r="T16" i="188"/>
  <c r="T15" i="188"/>
  <c r="T14" i="188"/>
  <c r="T13" i="188"/>
  <c r="T12" i="188"/>
  <c r="T11" i="188"/>
  <c r="T10" i="188"/>
  <c r="T9" i="188"/>
  <c r="T8" i="188"/>
  <c r="T7" i="188"/>
  <c r="T6" i="188"/>
  <c r="T5" i="188"/>
  <c r="T4" i="188"/>
  <c r="BF3" i="188" a="1"/>
  <c r="BF20" i="188" s="1"/>
  <c r="BE3" i="188" a="1"/>
  <c r="BE8" i="188" s="1"/>
  <c r="BD3" i="188" a="1"/>
  <c r="BD12" i="188" s="1"/>
  <c r="BC3" i="188" a="1"/>
  <c r="BC16" i="188" s="1"/>
  <c r="BB3" i="188" a="1"/>
  <c r="BB20" i="188" s="1"/>
  <c r="BA3" i="188" a="1"/>
  <c r="BA8" i="188" s="1"/>
  <c r="AZ3" i="188" a="1"/>
  <c r="AZ12" i="188" s="1"/>
  <c r="AY3" i="188" a="1"/>
  <c r="AY16" i="188" s="1"/>
  <c r="AX3" i="188" a="1"/>
  <c r="AX20" i="188" s="1"/>
  <c r="AW3" i="188" a="1"/>
  <c r="AW8" i="188" s="1"/>
  <c r="T3" i="188"/>
  <c r="T2" i="188"/>
  <c r="B2" i="188"/>
  <c r="JY1" i="188"/>
  <c r="JX1" i="188"/>
  <c r="JW1" i="188"/>
  <c r="JV1" i="188"/>
  <c r="JU1" i="188"/>
  <c r="JT1" i="188"/>
  <c r="JS1" i="188"/>
  <c r="JR1" i="188"/>
  <c r="JQ1" i="188"/>
  <c r="CG1" i="188"/>
  <c r="CF1" i="188"/>
  <c r="CE1" i="188"/>
  <c r="CD1" i="188"/>
  <c r="CC1" i="188"/>
  <c r="CB1" i="188"/>
  <c r="CA1" i="188"/>
  <c r="BZ1" i="188"/>
  <c r="BY1" i="188"/>
  <c r="L27" i="188" l="1"/>
  <c r="AH20" i="188" a="1"/>
  <c r="AH20" i="188" s="1"/>
  <c r="AH6" i="188" a="1"/>
  <c r="AH6" i="188" s="1"/>
  <c r="AH19" i="188" a="1"/>
  <c r="AH19" i="188" s="1"/>
  <c r="AH5" i="188" a="1"/>
  <c r="AH5" i="188" s="1"/>
  <c r="AH18" i="188" a="1"/>
  <c r="AH18" i="188" s="1"/>
  <c r="AH4" i="188" a="1"/>
  <c r="AH4" i="188" s="1"/>
  <c r="AH17" i="188" a="1"/>
  <c r="AH17" i="188" s="1"/>
  <c r="AH7" i="188" a="1"/>
  <c r="AH7" i="188" s="1"/>
  <c r="AH16" i="188" a="1"/>
  <c r="AH16" i="188" s="1"/>
  <c r="AH15" i="188" a="1"/>
  <c r="AH15" i="188" s="1"/>
  <c r="AH14" i="188" a="1"/>
  <c r="AH14" i="188" s="1"/>
  <c r="AH13" i="188" a="1"/>
  <c r="AH13" i="188" s="1"/>
  <c r="AH12" i="188" a="1"/>
  <c r="AH12" i="188" s="1"/>
  <c r="AH11" i="188" a="1"/>
  <c r="AH11" i="188" s="1"/>
  <c r="AH9" i="188" a="1"/>
  <c r="AH9" i="188" s="1"/>
  <c r="B28" i="188"/>
  <c r="BD14" i="188"/>
  <c r="AW10" i="188"/>
  <c r="AW14" i="188"/>
  <c r="AX5" i="188"/>
  <c r="AX21" i="188"/>
  <c r="BE9" i="188"/>
  <c r="AZ14" i="188"/>
  <c r="BF5" i="188"/>
  <c r="BF6" i="188"/>
  <c r="BF21" i="188"/>
  <c r="U68" i="188"/>
  <c r="BA10" i="188"/>
  <c r="BE10" i="188"/>
  <c r="AZ13" i="188"/>
  <c r="BA9" i="188"/>
  <c r="BB5" i="188"/>
  <c r="BB6" i="188"/>
  <c r="AW9" i="188"/>
  <c r="BB21" i="188"/>
  <c r="BD13" i="188"/>
  <c r="AX6" i="188"/>
  <c r="AW11" i="188"/>
  <c r="AY3" i="188"/>
  <c r="AZ15" i="188"/>
  <c r="BB7" i="188"/>
  <c r="BC3" i="188"/>
  <c r="BC19" i="188"/>
  <c r="BD15" i="188"/>
  <c r="BF7" i="188"/>
  <c r="AY18" i="188"/>
  <c r="AX7" i="188"/>
  <c r="BA11" i="188"/>
  <c r="BE11" i="188"/>
  <c r="AW12" i="188"/>
  <c r="AY4" i="188"/>
  <c r="AZ16" i="188"/>
  <c r="BC4" i="188"/>
  <c r="BE12" i="188"/>
  <c r="AY19" i="188"/>
  <c r="AX8" i="188"/>
  <c r="AY20" i="188"/>
  <c r="BA12" i="188"/>
  <c r="BB8" i="188"/>
  <c r="BC20" i="188"/>
  <c r="BD16" i="188"/>
  <c r="BF8" i="188"/>
  <c r="AW13" i="188"/>
  <c r="AX9" i="188"/>
  <c r="AY5" i="188"/>
  <c r="AY21" i="188"/>
  <c r="AZ17" i="188"/>
  <c r="BA13" i="188"/>
  <c r="BB9" i="188"/>
  <c r="BC5" i="188"/>
  <c r="BC21" i="188"/>
  <c r="BD17" i="188"/>
  <c r="BE13" i="188"/>
  <c r="BF9" i="188"/>
  <c r="BC18" i="188"/>
  <c r="AZ18" i="188"/>
  <c r="BA14" i="188"/>
  <c r="BB10" i="188"/>
  <c r="BC6" i="188"/>
  <c r="BD18" i="188"/>
  <c r="BE14" i="188"/>
  <c r="BF10" i="188"/>
  <c r="AW15" i="188"/>
  <c r="AX11" i="188"/>
  <c r="AY7" i="188"/>
  <c r="AZ3" i="188"/>
  <c r="AZ19" i="188"/>
  <c r="BA15" i="188"/>
  <c r="BB11" i="188"/>
  <c r="BC7" i="188"/>
  <c r="BD3" i="188"/>
  <c r="BD19" i="188"/>
  <c r="BE15" i="188"/>
  <c r="BF11" i="188"/>
  <c r="AY17" i="188"/>
  <c r="AX10" i="188"/>
  <c r="AW16" i="188"/>
  <c r="AX12" i="188"/>
  <c r="AY8" i="188"/>
  <c r="AZ4" i="188"/>
  <c r="AZ20" i="188"/>
  <c r="BA16" i="188"/>
  <c r="BB12" i="188"/>
  <c r="BC8" i="188"/>
  <c r="BD4" i="188"/>
  <c r="BD20" i="188"/>
  <c r="BE16" i="188"/>
  <c r="BF12" i="188"/>
  <c r="AW17" i="188"/>
  <c r="AY9" i="188"/>
  <c r="AZ21" i="188"/>
  <c r="BB13" i="188"/>
  <c r="BC9" i="188"/>
  <c r="BD21" i="188"/>
  <c r="BE17" i="188"/>
  <c r="BE18" i="188"/>
  <c r="BF14" i="188"/>
  <c r="AY6" i="188"/>
  <c r="BA18" i="188"/>
  <c r="BC10" i="188"/>
  <c r="BD6" i="188"/>
  <c r="AW19" i="188"/>
  <c r="AZ7" i="188"/>
  <c r="BC11" i="188"/>
  <c r="BE19" i="188"/>
  <c r="BC17" i="188"/>
  <c r="AX13" i="188"/>
  <c r="AZ5" i="188"/>
  <c r="BA17" i="188"/>
  <c r="BD5" i="188"/>
  <c r="BF13" i="188"/>
  <c r="AW18" i="188"/>
  <c r="AX14" i="188"/>
  <c r="AY10" i="188"/>
  <c r="AZ6" i="188"/>
  <c r="BB14" i="188"/>
  <c r="AX15" i="188"/>
  <c r="AY11" i="188"/>
  <c r="BA3" i="188"/>
  <c r="BB15" i="188"/>
  <c r="BD7" i="188"/>
  <c r="BE3" i="188"/>
  <c r="BF15" i="188"/>
  <c r="AW4" i="188"/>
  <c r="AW20" i="188"/>
  <c r="AX16" i="188"/>
  <c r="AY12" i="188"/>
  <c r="AZ8" i="188"/>
  <c r="BA4" i="188"/>
  <c r="BA20" i="188"/>
  <c r="BB16" i="188"/>
  <c r="BC12" i="188"/>
  <c r="BD8" i="188"/>
  <c r="BE4" i="188"/>
  <c r="BE20" i="188"/>
  <c r="BF16" i="188"/>
  <c r="AW3" i="188"/>
  <c r="BA19" i="188"/>
  <c r="AW5" i="188"/>
  <c r="AW21" i="188"/>
  <c r="AX17" i="188"/>
  <c r="AY13" i="188"/>
  <c r="AZ9" i="188"/>
  <c r="BA5" i="188"/>
  <c r="BA21" i="188"/>
  <c r="BB17" i="188"/>
  <c r="BC13" i="188"/>
  <c r="BD9" i="188"/>
  <c r="BE5" i="188"/>
  <c r="BE21" i="188"/>
  <c r="BF17" i="188"/>
  <c r="AW6" i="188"/>
  <c r="BB18" i="188"/>
  <c r="BC14" i="188"/>
  <c r="BD10" i="188"/>
  <c r="BE6" i="188"/>
  <c r="BF18" i="188"/>
  <c r="AW7" i="188"/>
  <c r="AX3" i="188"/>
  <c r="AX19" i="188"/>
  <c r="AY15" i="188"/>
  <c r="AZ11" i="188"/>
  <c r="BA7" i="188"/>
  <c r="BB3" i="188"/>
  <c r="BB19" i="188"/>
  <c r="BC15" i="188"/>
  <c r="BD11" i="188"/>
  <c r="BE7" i="188"/>
  <c r="BF3" i="188"/>
  <c r="BF19" i="188"/>
  <c r="T68" i="188"/>
  <c r="AX18" i="188"/>
  <c r="AY14" i="188"/>
  <c r="AZ10" i="188"/>
  <c r="BA6" i="188"/>
  <c r="AX4" i="188"/>
  <c r="BB4" i="188"/>
  <c r="BF4" i="188"/>
  <c r="AW3" i="179" a="1"/>
  <c r="AW3" i="179" s="1"/>
  <c r="AX3" i="179" a="1"/>
  <c r="AX16" i="179" s="1"/>
  <c r="AY3" i="179" a="1"/>
  <c r="AY12" i="179" s="1"/>
  <c r="AZ3" i="179" a="1"/>
  <c r="AZ6" i="179" s="1"/>
  <c r="BA3" i="179" a="1"/>
  <c r="BA3" i="179" s="1"/>
  <c r="BB3" i="179" a="1"/>
  <c r="BB16" i="179" s="1"/>
  <c r="BC3" i="179" a="1"/>
  <c r="BC11" i="179" s="1"/>
  <c r="BD3" i="179" a="1"/>
  <c r="BD7" i="179" s="1"/>
  <c r="AV3" i="179" a="1"/>
  <c r="AV3" i="179" s="1"/>
  <c r="AU3" i="179" a="1"/>
  <c r="AU3" i="179" s="1"/>
  <c r="D21" i="116"/>
  <c r="F21" i="116"/>
  <c r="G21" i="116"/>
  <c r="H21" i="116"/>
  <c r="I21" i="116"/>
  <c r="J21" i="116"/>
  <c r="K21" i="116"/>
  <c r="L21" i="116"/>
  <c r="D18" i="116"/>
  <c r="E18" i="116"/>
  <c r="F18" i="116"/>
  <c r="G18" i="116"/>
  <c r="H18" i="116"/>
  <c r="I18" i="116"/>
  <c r="J18" i="116"/>
  <c r="K18" i="116"/>
  <c r="L18" i="116"/>
  <c r="J7" i="188" l="1"/>
  <c r="J10" i="188" s="1"/>
  <c r="I7" i="188"/>
  <c r="I10" i="188" s="1"/>
  <c r="F7" i="188"/>
  <c r="F10" i="188" s="1"/>
  <c r="K7" i="188"/>
  <c r="K10" i="188" s="1"/>
  <c r="H7" i="188"/>
  <c r="H10" i="188" s="1"/>
  <c r="D7" i="188"/>
  <c r="D10" i="188" s="1"/>
  <c r="E7" i="188"/>
  <c r="E10" i="188" s="1"/>
  <c r="B7" i="188"/>
  <c r="B10" i="188" s="1"/>
  <c r="G7" i="188"/>
  <c r="G10" i="188" s="1"/>
  <c r="C7" i="188"/>
  <c r="C10" i="188" s="1"/>
  <c r="AY8" i="179"/>
  <c r="AY7" i="179"/>
  <c r="AX14" i="179"/>
  <c r="BB14" i="179"/>
  <c r="BB13" i="179"/>
  <c r="AX11" i="179"/>
  <c r="AX15" i="179"/>
  <c r="BB18" i="179"/>
  <c r="BB15" i="179"/>
  <c r="AX13" i="179"/>
  <c r="AX12" i="179"/>
  <c r="BB12" i="179"/>
  <c r="BB11" i="179"/>
  <c r="AW19" i="179"/>
  <c r="AY9" i="179"/>
  <c r="AW18" i="179"/>
  <c r="AW16" i="179"/>
  <c r="AW17" i="179"/>
  <c r="AY11" i="179"/>
  <c r="AW15" i="179"/>
  <c r="AY10" i="179"/>
  <c r="BC10" i="179"/>
  <c r="BD21" i="179"/>
  <c r="BC8" i="179"/>
  <c r="AZ20" i="179"/>
  <c r="BD18" i="179"/>
  <c r="AZ18" i="179"/>
  <c r="AX10" i="179"/>
  <c r="BD17" i="179"/>
  <c r="AW12" i="179"/>
  <c r="BC6" i="179"/>
  <c r="BB10" i="179"/>
  <c r="BA14" i="179"/>
  <c r="AY6" i="179"/>
  <c r="BC21" i="179"/>
  <c r="AZ17" i="179"/>
  <c r="AW11" i="179"/>
  <c r="AZ21" i="179"/>
  <c r="AZ4" i="179"/>
  <c r="BD3" i="179"/>
  <c r="AZ19" i="179"/>
  <c r="BB8" i="179"/>
  <c r="AZ5" i="179"/>
  <c r="BD4" i="179"/>
  <c r="BD19" i="179"/>
  <c r="AX6" i="179"/>
  <c r="AW10" i="179"/>
  <c r="BD13" i="179"/>
  <c r="BC17" i="179"/>
  <c r="BB21" i="179"/>
  <c r="BB5" i="179"/>
  <c r="BA9" i="179"/>
  <c r="AZ13" i="179"/>
  <c r="AY17" i="179"/>
  <c r="AX21" i="179"/>
  <c r="AX5" i="179"/>
  <c r="AW9" i="179"/>
  <c r="AW14" i="179"/>
  <c r="BC5" i="179"/>
  <c r="BB9" i="179"/>
  <c r="BA13" i="179"/>
  <c r="AY21" i="179"/>
  <c r="AY5" i="179"/>
  <c r="AX9" i="179"/>
  <c r="AW13" i="179"/>
  <c r="BD16" i="179"/>
  <c r="BC20" i="179"/>
  <c r="BC4" i="179"/>
  <c r="BA12" i="179"/>
  <c r="AZ16" i="179"/>
  <c r="AY20" i="179"/>
  <c r="AY4" i="179"/>
  <c r="AX8" i="179"/>
  <c r="BD15" i="179"/>
  <c r="BC19" i="179"/>
  <c r="BC3" i="179"/>
  <c r="BB7" i="179"/>
  <c r="BA11" i="179"/>
  <c r="AZ15" i="179"/>
  <c r="AY19" i="179"/>
  <c r="AY3" i="179"/>
  <c r="AX7" i="179"/>
  <c r="BD14" i="179"/>
  <c r="BC18" i="179"/>
  <c r="BB6" i="179"/>
  <c r="BA10" i="179"/>
  <c r="AY18" i="179"/>
  <c r="BD12" i="179"/>
  <c r="BC16" i="179"/>
  <c r="BB20" i="179"/>
  <c r="BB4" i="179"/>
  <c r="BA8" i="179"/>
  <c r="AZ12" i="179"/>
  <c r="AY16" i="179"/>
  <c r="AX20" i="179"/>
  <c r="AX4" i="179"/>
  <c r="AW8" i="179"/>
  <c r="AZ14" i="179"/>
  <c r="BD11" i="179"/>
  <c r="BC15" i="179"/>
  <c r="BB19" i="179"/>
  <c r="BB3" i="179"/>
  <c r="BA7" i="179"/>
  <c r="AZ11" i="179"/>
  <c r="AY15" i="179"/>
  <c r="AX19" i="179"/>
  <c r="AX3" i="179"/>
  <c r="AW7" i="179"/>
  <c r="BD6" i="179"/>
  <c r="BC9" i="179"/>
  <c r="BD20" i="179"/>
  <c r="BA16" i="179"/>
  <c r="BA15" i="179"/>
  <c r="BD10" i="179"/>
  <c r="BC14" i="179"/>
  <c r="BA6" i="179"/>
  <c r="AZ10" i="179"/>
  <c r="AY14" i="179"/>
  <c r="AX18" i="179"/>
  <c r="AW6" i="179"/>
  <c r="BD9" i="179"/>
  <c r="BC13" i="179"/>
  <c r="BB17" i="179"/>
  <c r="BA21" i="179"/>
  <c r="BA5" i="179"/>
  <c r="AZ9" i="179"/>
  <c r="AY13" i="179"/>
  <c r="AX17" i="179"/>
  <c r="AW21" i="179"/>
  <c r="AW5" i="179"/>
  <c r="BA18" i="179"/>
  <c r="BD5" i="179"/>
  <c r="BA17" i="179"/>
  <c r="BC7" i="179"/>
  <c r="AZ3" i="179"/>
  <c r="BD8" i="179"/>
  <c r="BC12" i="179"/>
  <c r="BA20" i="179"/>
  <c r="BA4" i="179"/>
  <c r="AZ8" i="179"/>
  <c r="AW20" i="179"/>
  <c r="AW4" i="179"/>
  <c r="BA19" i="179"/>
  <c r="AZ7" i="179"/>
  <c r="AV7" i="179"/>
  <c r="AV6" i="179"/>
  <c r="AV17" i="179"/>
  <c r="AV15" i="179"/>
  <c r="AV13" i="179"/>
  <c r="AV10" i="179"/>
  <c r="AV9" i="179"/>
  <c r="AV21" i="179"/>
  <c r="AV5" i="179"/>
  <c r="AV18" i="179"/>
  <c r="AV16" i="179"/>
  <c r="AV14" i="179"/>
  <c r="AV11" i="179"/>
  <c r="AV8" i="179"/>
  <c r="AV20" i="179"/>
  <c r="AV4" i="179"/>
  <c r="AV12" i="179"/>
  <c r="AV19" i="179"/>
  <c r="AU6" i="179"/>
  <c r="AU18" i="179"/>
  <c r="AU16" i="179"/>
  <c r="AU14" i="179"/>
  <c r="AU12" i="179"/>
  <c r="AU5" i="179"/>
  <c r="AU17" i="179"/>
  <c r="AU15" i="179"/>
  <c r="AU13" i="179"/>
  <c r="AU11" i="179"/>
  <c r="AU10" i="179"/>
  <c r="AU9" i="179"/>
  <c r="AU8" i="179"/>
  <c r="AU7" i="179"/>
  <c r="AU21" i="179"/>
  <c r="AU20" i="179"/>
  <c r="AU4" i="179"/>
  <c r="AU19" i="179"/>
  <c r="T6" i="177"/>
  <c r="T7" i="177"/>
  <c r="T8" i="177"/>
  <c r="T9" i="177"/>
  <c r="T10" i="177"/>
  <c r="T11" i="177"/>
  <c r="T12" i="177"/>
  <c r="T13" i="177"/>
  <c r="T15" i="177"/>
  <c r="T16" i="177"/>
  <c r="T17" i="177"/>
  <c r="T18" i="177"/>
  <c r="T19" i="177"/>
  <c r="T20" i="177"/>
  <c r="T21" i="177"/>
  <c r="T22" i="177"/>
  <c r="T23" i="177"/>
  <c r="T24" i="177"/>
  <c r="T25" i="177"/>
  <c r="T26" i="177"/>
  <c r="T27" i="177"/>
  <c r="T28" i="177"/>
  <c r="T29" i="177"/>
  <c r="T30" i="177"/>
  <c r="T31" i="177"/>
  <c r="T32" i="177"/>
  <c r="T33" i="177"/>
  <c r="T34" i="177"/>
  <c r="T35" i="177"/>
  <c r="T36" i="177"/>
  <c r="T37" i="177"/>
  <c r="T38" i="177"/>
  <c r="T39" i="177"/>
  <c r="T40" i="177"/>
  <c r="T41" i="177"/>
  <c r="T42" i="177"/>
  <c r="T43" i="177"/>
  <c r="T44" i="177"/>
  <c r="T45" i="177"/>
  <c r="T46" i="177"/>
  <c r="T47" i="177"/>
  <c r="T48" i="177"/>
  <c r="T49" i="177"/>
  <c r="T50" i="177"/>
  <c r="T51" i="177"/>
  <c r="T52" i="177"/>
  <c r="T53" i="177"/>
  <c r="T54" i="177"/>
  <c r="T55" i="177"/>
  <c r="T56" i="177"/>
  <c r="T57" i="177"/>
  <c r="T58" i="177"/>
  <c r="T59" i="177"/>
  <c r="T60" i="177"/>
  <c r="T61" i="177"/>
  <c r="T62" i="177"/>
  <c r="T63" i="177"/>
  <c r="T64" i="177"/>
  <c r="T65" i="177"/>
  <c r="T66" i="177"/>
  <c r="T67" i="177"/>
  <c r="T5" i="177"/>
  <c r="G5" i="176"/>
  <c r="H5" i="176"/>
  <c r="I5" i="176"/>
  <c r="J5" i="176"/>
  <c r="K5" i="176"/>
  <c r="L5" i="176"/>
  <c r="G6" i="176"/>
  <c r="H6" i="176"/>
  <c r="I6" i="176"/>
  <c r="J6" i="176"/>
  <c r="K6" i="176"/>
  <c r="L6" i="176"/>
  <c r="G7" i="176"/>
  <c r="H7" i="176"/>
  <c r="I7" i="176"/>
  <c r="J7" i="176"/>
  <c r="K7" i="176"/>
  <c r="L7" i="176"/>
  <c r="G8" i="176"/>
  <c r="H8" i="176"/>
  <c r="I8" i="176"/>
  <c r="J8" i="176"/>
  <c r="K8" i="176"/>
  <c r="L8" i="176"/>
  <c r="G9" i="176"/>
  <c r="H9" i="176"/>
  <c r="I9" i="176"/>
  <c r="J9" i="176"/>
  <c r="K9" i="176"/>
  <c r="L9" i="176"/>
  <c r="G10" i="176"/>
  <c r="H10" i="176"/>
  <c r="I10" i="176"/>
  <c r="J10" i="176"/>
  <c r="K10" i="176"/>
  <c r="L10" i="176"/>
  <c r="G11" i="176"/>
  <c r="H11" i="176"/>
  <c r="I11" i="176"/>
  <c r="J11" i="176"/>
  <c r="K11" i="176"/>
  <c r="L11" i="176"/>
  <c r="G12" i="176"/>
  <c r="H12" i="176"/>
  <c r="I12" i="176"/>
  <c r="J12" i="176"/>
  <c r="K12" i="176"/>
  <c r="L12" i="176"/>
  <c r="S25" i="177" s="1"/>
  <c r="G13" i="176"/>
  <c r="H13" i="176"/>
  <c r="I13" i="176"/>
  <c r="J13" i="176"/>
  <c r="K13" i="176"/>
  <c r="L13" i="176"/>
  <c r="G14" i="176"/>
  <c r="H14" i="176"/>
  <c r="I14" i="176"/>
  <c r="J14" i="176"/>
  <c r="K14" i="176"/>
  <c r="L14" i="176"/>
  <c r="G15" i="176"/>
  <c r="H15" i="176"/>
  <c r="I15" i="176"/>
  <c r="J15" i="176"/>
  <c r="K15" i="176"/>
  <c r="L15" i="176"/>
  <c r="G16" i="176"/>
  <c r="H16" i="176"/>
  <c r="I16" i="176"/>
  <c r="J16" i="176"/>
  <c r="K16" i="176"/>
  <c r="L16" i="176"/>
  <c r="G17" i="176"/>
  <c r="H17" i="176"/>
  <c r="I17" i="176"/>
  <c r="J17" i="176"/>
  <c r="K17" i="176"/>
  <c r="L17" i="176"/>
  <c r="G18" i="176"/>
  <c r="H18" i="176"/>
  <c r="I18" i="176"/>
  <c r="J18" i="176"/>
  <c r="K18" i="176"/>
  <c r="L18" i="176"/>
  <c r="G19" i="176"/>
  <c r="H19" i="176"/>
  <c r="I19" i="176"/>
  <c r="J19" i="176"/>
  <c r="K19" i="176"/>
  <c r="L19" i="176"/>
  <c r="G20" i="176"/>
  <c r="H20" i="176"/>
  <c r="I20" i="176"/>
  <c r="J20" i="176"/>
  <c r="K20" i="176"/>
  <c r="L20" i="176"/>
  <c r="S29" i="177" s="1"/>
  <c r="G21" i="176"/>
  <c r="H21" i="176"/>
  <c r="I21" i="176"/>
  <c r="J21" i="176"/>
  <c r="K21" i="176"/>
  <c r="L21" i="176"/>
  <c r="G22" i="176"/>
  <c r="H22" i="176"/>
  <c r="I22" i="176"/>
  <c r="J22" i="176"/>
  <c r="K22" i="176"/>
  <c r="L22" i="176"/>
  <c r="G23" i="176"/>
  <c r="H23" i="176"/>
  <c r="I23" i="176"/>
  <c r="J23" i="176"/>
  <c r="K23" i="176"/>
  <c r="L23" i="176"/>
  <c r="G24" i="176"/>
  <c r="H24" i="176"/>
  <c r="I24" i="176"/>
  <c r="J24" i="176"/>
  <c r="K24" i="176"/>
  <c r="L24" i="176"/>
  <c r="G25" i="176"/>
  <c r="H25" i="176"/>
  <c r="I25" i="176"/>
  <c r="J25" i="176"/>
  <c r="K25" i="176"/>
  <c r="L25" i="176"/>
  <c r="G26" i="176"/>
  <c r="H26" i="176"/>
  <c r="I26" i="176"/>
  <c r="J26" i="176"/>
  <c r="K26" i="176"/>
  <c r="L26" i="176"/>
  <c r="G27" i="176"/>
  <c r="H27" i="176"/>
  <c r="I27" i="176"/>
  <c r="J27" i="176"/>
  <c r="K27" i="176"/>
  <c r="L27" i="176"/>
  <c r="G28" i="176"/>
  <c r="H28" i="176"/>
  <c r="I28" i="176"/>
  <c r="J28" i="176"/>
  <c r="K28" i="176"/>
  <c r="L28" i="176"/>
  <c r="S33" i="177" s="1"/>
  <c r="G29" i="176"/>
  <c r="H29" i="176"/>
  <c r="I29" i="176"/>
  <c r="J29" i="176"/>
  <c r="K29" i="176"/>
  <c r="L29" i="176"/>
  <c r="G30" i="176"/>
  <c r="H30" i="176"/>
  <c r="I30" i="176"/>
  <c r="J30" i="176"/>
  <c r="K30" i="176"/>
  <c r="L30" i="176"/>
  <c r="G31" i="176"/>
  <c r="H31" i="176"/>
  <c r="I31" i="176"/>
  <c r="J31" i="176"/>
  <c r="K31" i="176"/>
  <c r="L31" i="176"/>
  <c r="G32" i="176"/>
  <c r="H32" i="176"/>
  <c r="I32" i="176"/>
  <c r="J32" i="176"/>
  <c r="K32" i="176"/>
  <c r="L32" i="176"/>
  <c r="G33" i="176"/>
  <c r="H33" i="176"/>
  <c r="I33" i="176"/>
  <c r="J33" i="176"/>
  <c r="K33" i="176"/>
  <c r="L33" i="176"/>
  <c r="G34" i="176"/>
  <c r="H34" i="176"/>
  <c r="I34" i="176"/>
  <c r="J34" i="176"/>
  <c r="K34" i="176"/>
  <c r="L34" i="176"/>
  <c r="G35" i="176"/>
  <c r="H35" i="176"/>
  <c r="I35" i="176"/>
  <c r="J35" i="176"/>
  <c r="K35" i="176"/>
  <c r="L35" i="176"/>
  <c r="G36" i="176"/>
  <c r="H36" i="176"/>
  <c r="I36" i="176"/>
  <c r="J36" i="176"/>
  <c r="K36" i="176"/>
  <c r="L36" i="176"/>
  <c r="S38" i="177" s="1"/>
  <c r="G37" i="176"/>
  <c r="H37" i="176"/>
  <c r="I37" i="176"/>
  <c r="J37" i="176"/>
  <c r="K37" i="176"/>
  <c r="L37" i="176"/>
  <c r="G38" i="176"/>
  <c r="H38" i="176"/>
  <c r="I38" i="176"/>
  <c r="J38" i="176"/>
  <c r="K38" i="176"/>
  <c r="L38" i="176"/>
  <c r="G39" i="176"/>
  <c r="H39" i="176"/>
  <c r="I39" i="176"/>
  <c r="J39" i="176"/>
  <c r="K39" i="176"/>
  <c r="L39" i="176"/>
  <c r="G40" i="176"/>
  <c r="H40" i="176"/>
  <c r="I40" i="176"/>
  <c r="J40" i="176"/>
  <c r="K40" i="176"/>
  <c r="L40" i="176"/>
  <c r="G41" i="176"/>
  <c r="H41" i="176"/>
  <c r="I41" i="176"/>
  <c r="J41" i="176"/>
  <c r="K41" i="176"/>
  <c r="L41" i="176"/>
  <c r="G42" i="176"/>
  <c r="H42" i="176"/>
  <c r="I42" i="176"/>
  <c r="J42" i="176"/>
  <c r="K42" i="176"/>
  <c r="L42" i="176"/>
  <c r="G43" i="176"/>
  <c r="H43" i="176"/>
  <c r="I43" i="176"/>
  <c r="J43" i="176"/>
  <c r="K43" i="176"/>
  <c r="L43" i="176"/>
  <c r="G44" i="176"/>
  <c r="H44" i="176"/>
  <c r="I44" i="176"/>
  <c r="J44" i="176"/>
  <c r="K44" i="176"/>
  <c r="L44" i="176"/>
  <c r="S46" i="177" s="1"/>
  <c r="G45" i="176"/>
  <c r="H45" i="176"/>
  <c r="I45" i="176"/>
  <c r="J45" i="176"/>
  <c r="K45" i="176"/>
  <c r="L45" i="176"/>
  <c r="G46" i="176"/>
  <c r="H46" i="176"/>
  <c r="I46" i="176"/>
  <c r="J46" i="176"/>
  <c r="K46" i="176"/>
  <c r="L46" i="176"/>
  <c r="G47" i="176"/>
  <c r="H47" i="176"/>
  <c r="I47" i="176"/>
  <c r="J47" i="176"/>
  <c r="K47" i="176"/>
  <c r="L47" i="176"/>
  <c r="G48" i="176"/>
  <c r="H48" i="176"/>
  <c r="I48" i="176"/>
  <c r="J48" i="176"/>
  <c r="K48" i="176"/>
  <c r="L48" i="176"/>
  <c r="G49" i="176"/>
  <c r="H49" i="176"/>
  <c r="I49" i="176"/>
  <c r="J49" i="176"/>
  <c r="K49" i="176"/>
  <c r="L49" i="176"/>
  <c r="G50" i="176"/>
  <c r="H50" i="176"/>
  <c r="I50" i="176"/>
  <c r="J50" i="176"/>
  <c r="K50" i="176"/>
  <c r="L50" i="176"/>
  <c r="G51" i="176"/>
  <c r="H51" i="176"/>
  <c r="I51" i="176"/>
  <c r="J51" i="176"/>
  <c r="K51" i="176"/>
  <c r="L51" i="176"/>
  <c r="G52" i="176"/>
  <c r="H52" i="176"/>
  <c r="I52" i="176"/>
  <c r="J52" i="176"/>
  <c r="K52" i="176"/>
  <c r="L52" i="176"/>
  <c r="S54" i="177" s="1"/>
  <c r="G53" i="176"/>
  <c r="H53" i="176"/>
  <c r="I53" i="176"/>
  <c r="J53" i="176"/>
  <c r="K53" i="176"/>
  <c r="L53" i="176"/>
  <c r="G54" i="176"/>
  <c r="H54" i="176"/>
  <c r="I54" i="176"/>
  <c r="J54" i="176"/>
  <c r="K54" i="176"/>
  <c r="L54" i="176"/>
  <c r="G55" i="176"/>
  <c r="H55" i="176"/>
  <c r="I55" i="176"/>
  <c r="J55" i="176"/>
  <c r="K55" i="176"/>
  <c r="L55" i="176"/>
  <c r="G56" i="176"/>
  <c r="H56" i="176"/>
  <c r="I56" i="176"/>
  <c r="J56" i="176"/>
  <c r="K56" i="176"/>
  <c r="L56" i="176"/>
  <c r="G57" i="176"/>
  <c r="H57" i="176"/>
  <c r="I57" i="176"/>
  <c r="J57" i="176"/>
  <c r="K57" i="176"/>
  <c r="L57" i="176"/>
  <c r="G58" i="176"/>
  <c r="H58" i="176"/>
  <c r="I58" i="176"/>
  <c r="J58" i="176"/>
  <c r="K58" i="176"/>
  <c r="L58" i="176"/>
  <c r="S60" i="177" s="1"/>
  <c r="G59" i="176"/>
  <c r="H59" i="176"/>
  <c r="I59" i="176"/>
  <c r="J59" i="176"/>
  <c r="K59" i="176"/>
  <c r="L59" i="176"/>
  <c r="S61" i="177" s="1"/>
  <c r="G60" i="176"/>
  <c r="H60" i="176"/>
  <c r="I60" i="176"/>
  <c r="J60" i="176"/>
  <c r="K60" i="176"/>
  <c r="L60" i="176"/>
  <c r="S62" i="177" s="1"/>
  <c r="G61" i="176"/>
  <c r="H61" i="176"/>
  <c r="I61" i="176"/>
  <c r="J61" i="176"/>
  <c r="K61" i="176"/>
  <c r="L61" i="176"/>
  <c r="G62" i="176"/>
  <c r="H62" i="176"/>
  <c r="I62" i="176"/>
  <c r="J62" i="176"/>
  <c r="K62" i="176"/>
  <c r="L62" i="176"/>
  <c r="S64" i="177" s="1"/>
  <c r="G63" i="176"/>
  <c r="H63" i="176"/>
  <c r="I63" i="176"/>
  <c r="J63" i="176"/>
  <c r="K63" i="176"/>
  <c r="L63" i="176"/>
  <c r="H4" i="176"/>
  <c r="I4" i="176"/>
  <c r="J4" i="176"/>
  <c r="K4" i="176"/>
  <c r="L4" i="176"/>
  <c r="G4" i="176"/>
  <c r="S20" i="177"/>
  <c r="S36" i="177"/>
  <c r="S67" i="177"/>
  <c r="AF1" i="176"/>
  <c r="AE1" i="176"/>
  <c r="AG1" i="176" s="1"/>
  <c r="F6" i="177"/>
  <c r="G6" i="177"/>
  <c r="H6" i="177"/>
  <c r="I6" i="177"/>
  <c r="J6" i="177"/>
  <c r="K6" i="177"/>
  <c r="L6" i="177"/>
  <c r="M6" i="177"/>
  <c r="N6" i="177"/>
  <c r="O6" i="177"/>
  <c r="P6" i="177"/>
  <c r="Q6" i="177"/>
  <c r="F7" i="177"/>
  <c r="G7" i="177"/>
  <c r="H7" i="177"/>
  <c r="I7" i="177"/>
  <c r="J7" i="177"/>
  <c r="K7" i="177"/>
  <c r="L7" i="177"/>
  <c r="M7" i="177"/>
  <c r="N7" i="177"/>
  <c r="O7" i="177"/>
  <c r="P7" i="177"/>
  <c r="Q7" i="177"/>
  <c r="F8" i="177"/>
  <c r="G8" i="177"/>
  <c r="H8" i="177"/>
  <c r="I8" i="177"/>
  <c r="J8" i="177"/>
  <c r="K8" i="177"/>
  <c r="L8" i="177"/>
  <c r="M8" i="177"/>
  <c r="N8" i="177"/>
  <c r="O8" i="177"/>
  <c r="P8" i="177"/>
  <c r="Q8" i="177"/>
  <c r="F9" i="177"/>
  <c r="G9" i="177"/>
  <c r="H9" i="177"/>
  <c r="I9" i="177"/>
  <c r="J9" i="177"/>
  <c r="K9" i="177"/>
  <c r="L9" i="177"/>
  <c r="M9" i="177"/>
  <c r="N9" i="177"/>
  <c r="O9" i="177"/>
  <c r="P9" i="177"/>
  <c r="Q9" i="177"/>
  <c r="F10" i="177"/>
  <c r="G10" i="177"/>
  <c r="H10" i="177"/>
  <c r="I10" i="177"/>
  <c r="J10" i="177"/>
  <c r="K10" i="177"/>
  <c r="L10" i="177"/>
  <c r="M10" i="177"/>
  <c r="N10" i="177"/>
  <c r="O10" i="177"/>
  <c r="P10" i="177"/>
  <c r="Q10" i="177"/>
  <c r="F11" i="177"/>
  <c r="G11" i="177"/>
  <c r="H11" i="177"/>
  <c r="I11" i="177"/>
  <c r="J11" i="177"/>
  <c r="K11" i="177"/>
  <c r="L11" i="177"/>
  <c r="M11" i="177"/>
  <c r="N11" i="177"/>
  <c r="O11" i="177"/>
  <c r="P11" i="177"/>
  <c r="Q11" i="177"/>
  <c r="F12" i="177"/>
  <c r="G12" i="177"/>
  <c r="H12" i="177"/>
  <c r="I12" i="177"/>
  <c r="J12" i="177"/>
  <c r="K12" i="177"/>
  <c r="L12" i="177"/>
  <c r="M12" i="177"/>
  <c r="N12" i="177"/>
  <c r="O12" i="177"/>
  <c r="P12" i="177"/>
  <c r="Q12" i="177"/>
  <c r="F13" i="177"/>
  <c r="G13" i="177"/>
  <c r="H13" i="177"/>
  <c r="I13" i="177"/>
  <c r="J13" i="177"/>
  <c r="K13" i="177"/>
  <c r="L13" i="177"/>
  <c r="M13" i="177"/>
  <c r="N13" i="177"/>
  <c r="O13" i="177"/>
  <c r="P13" i="177"/>
  <c r="Q13" i="177"/>
  <c r="F14" i="177"/>
  <c r="G14" i="177"/>
  <c r="H14" i="177"/>
  <c r="I14" i="177"/>
  <c r="J14" i="177"/>
  <c r="K14" i="177"/>
  <c r="L14" i="177"/>
  <c r="M14" i="177"/>
  <c r="N14" i="177"/>
  <c r="O14" i="177"/>
  <c r="P14" i="177"/>
  <c r="Q14" i="177"/>
  <c r="F15" i="177"/>
  <c r="G15" i="177"/>
  <c r="H15" i="177"/>
  <c r="I15" i="177"/>
  <c r="J15" i="177"/>
  <c r="K15" i="177"/>
  <c r="L15" i="177"/>
  <c r="M15" i="177"/>
  <c r="N15" i="177"/>
  <c r="O15" i="177"/>
  <c r="P15" i="177"/>
  <c r="Q15" i="177"/>
  <c r="F16" i="177"/>
  <c r="G16" i="177"/>
  <c r="H16" i="177"/>
  <c r="I16" i="177"/>
  <c r="J16" i="177"/>
  <c r="K16" i="177"/>
  <c r="L16" i="177"/>
  <c r="M16" i="177"/>
  <c r="N16" i="177"/>
  <c r="O16" i="177"/>
  <c r="P16" i="177"/>
  <c r="Q16" i="177"/>
  <c r="F17" i="177"/>
  <c r="G17" i="177"/>
  <c r="H17" i="177"/>
  <c r="I17" i="177"/>
  <c r="J17" i="177"/>
  <c r="K17" i="177"/>
  <c r="L17" i="177"/>
  <c r="M17" i="177"/>
  <c r="N17" i="177"/>
  <c r="O17" i="177"/>
  <c r="P17" i="177"/>
  <c r="Q17" i="177"/>
  <c r="F18" i="177"/>
  <c r="G18" i="177"/>
  <c r="H18" i="177"/>
  <c r="I18" i="177"/>
  <c r="J18" i="177"/>
  <c r="K18" i="177"/>
  <c r="L18" i="177"/>
  <c r="M18" i="177"/>
  <c r="N18" i="177"/>
  <c r="O18" i="177"/>
  <c r="P18" i="177"/>
  <c r="Q18" i="177"/>
  <c r="F19" i="177"/>
  <c r="G19" i="177"/>
  <c r="H19" i="177"/>
  <c r="I19" i="177"/>
  <c r="J19" i="177"/>
  <c r="K19" i="177"/>
  <c r="L19" i="177"/>
  <c r="M19" i="177"/>
  <c r="N19" i="177"/>
  <c r="O19" i="177"/>
  <c r="P19" i="177"/>
  <c r="Q19" i="177"/>
  <c r="F20" i="177"/>
  <c r="G20" i="177"/>
  <c r="H20" i="177"/>
  <c r="I20" i="177"/>
  <c r="J20" i="177"/>
  <c r="K20" i="177"/>
  <c r="L20" i="177"/>
  <c r="M20" i="177"/>
  <c r="N20" i="177"/>
  <c r="O20" i="177"/>
  <c r="P20" i="177"/>
  <c r="Q20" i="177"/>
  <c r="F21" i="177"/>
  <c r="G21" i="177"/>
  <c r="H21" i="177"/>
  <c r="I21" i="177"/>
  <c r="J21" i="177"/>
  <c r="K21" i="177"/>
  <c r="L21" i="177"/>
  <c r="M21" i="177"/>
  <c r="N21" i="177"/>
  <c r="O21" i="177"/>
  <c r="P21" i="177"/>
  <c r="Q21" i="177"/>
  <c r="F22" i="177"/>
  <c r="G22" i="177"/>
  <c r="H22" i="177"/>
  <c r="I22" i="177"/>
  <c r="J22" i="177"/>
  <c r="K22" i="177"/>
  <c r="L22" i="177"/>
  <c r="M22" i="177"/>
  <c r="N22" i="177"/>
  <c r="O22" i="177"/>
  <c r="P22" i="177"/>
  <c r="Q22" i="177"/>
  <c r="F23" i="177"/>
  <c r="G23" i="177"/>
  <c r="H23" i="177"/>
  <c r="I23" i="177"/>
  <c r="J23" i="177"/>
  <c r="K23" i="177"/>
  <c r="L23" i="177"/>
  <c r="M23" i="177"/>
  <c r="N23" i="177"/>
  <c r="O23" i="177"/>
  <c r="P23" i="177"/>
  <c r="Q23" i="177"/>
  <c r="F24" i="177"/>
  <c r="G24" i="177"/>
  <c r="H24" i="177"/>
  <c r="I24" i="177"/>
  <c r="J24" i="177"/>
  <c r="K24" i="177"/>
  <c r="L24" i="177"/>
  <c r="M24" i="177"/>
  <c r="N24" i="177"/>
  <c r="O24" i="177"/>
  <c r="P24" i="177"/>
  <c r="Q24" i="177"/>
  <c r="F25" i="177"/>
  <c r="G25" i="177"/>
  <c r="H25" i="177"/>
  <c r="I25" i="177"/>
  <c r="J25" i="177"/>
  <c r="K25" i="177"/>
  <c r="L25" i="177"/>
  <c r="M25" i="177"/>
  <c r="N25" i="177"/>
  <c r="O25" i="177"/>
  <c r="P25" i="177"/>
  <c r="Q25" i="177"/>
  <c r="F26" i="177"/>
  <c r="G26" i="177"/>
  <c r="H26" i="177"/>
  <c r="I26" i="177"/>
  <c r="J26" i="177"/>
  <c r="K26" i="177"/>
  <c r="L26" i="177"/>
  <c r="M26" i="177"/>
  <c r="N26" i="177"/>
  <c r="O26" i="177"/>
  <c r="P26" i="177"/>
  <c r="Q26" i="177"/>
  <c r="F27" i="177"/>
  <c r="G27" i="177"/>
  <c r="H27" i="177"/>
  <c r="I27" i="177"/>
  <c r="J27" i="177"/>
  <c r="K27" i="177"/>
  <c r="L27" i="177"/>
  <c r="M27" i="177"/>
  <c r="N27" i="177"/>
  <c r="O27" i="177"/>
  <c r="P27" i="177"/>
  <c r="Q27" i="177"/>
  <c r="F28" i="177"/>
  <c r="G28" i="177"/>
  <c r="H28" i="177"/>
  <c r="I28" i="177"/>
  <c r="J28" i="177"/>
  <c r="K28" i="177"/>
  <c r="L28" i="177"/>
  <c r="M28" i="177"/>
  <c r="N28" i="177"/>
  <c r="O28" i="177"/>
  <c r="P28" i="177"/>
  <c r="Q28" i="177"/>
  <c r="F29" i="177"/>
  <c r="G29" i="177"/>
  <c r="H29" i="177"/>
  <c r="I29" i="177"/>
  <c r="J29" i="177"/>
  <c r="K29" i="177"/>
  <c r="L29" i="177"/>
  <c r="M29" i="177"/>
  <c r="N29" i="177"/>
  <c r="O29" i="177"/>
  <c r="P29" i="177"/>
  <c r="Q29" i="177"/>
  <c r="F30" i="177"/>
  <c r="G30" i="177"/>
  <c r="H30" i="177"/>
  <c r="I30" i="177"/>
  <c r="J30" i="177"/>
  <c r="K30" i="177"/>
  <c r="L30" i="177"/>
  <c r="M30" i="177"/>
  <c r="N30" i="177"/>
  <c r="O30" i="177"/>
  <c r="P30" i="177"/>
  <c r="Q30" i="177"/>
  <c r="F31" i="177"/>
  <c r="G31" i="177"/>
  <c r="H31" i="177"/>
  <c r="I31" i="177"/>
  <c r="J31" i="177"/>
  <c r="K31" i="177"/>
  <c r="L31" i="177"/>
  <c r="M31" i="177"/>
  <c r="N31" i="177"/>
  <c r="O31" i="177"/>
  <c r="P31" i="177"/>
  <c r="Q31" i="177"/>
  <c r="F32" i="177"/>
  <c r="G32" i="177"/>
  <c r="H32" i="177"/>
  <c r="I32" i="177"/>
  <c r="J32" i="177"/>
  <c r="K32" i="177"/>
  <c r="L32" i="177"/>
  <c r="M32" i="177"/>
  <c r="N32" i="177"/>
  <c r="O32" i="177"/>
  <c r="P32" i="177"/>
  <c r="Q32" i="177"/>
  <c r="F33" i="177"/>
  <c r="G33" i="177"/>
  <c r="H33" i="177"/>
  <c r="I33" i="177"/>
  <c r="J33" i="177"/>
  <c r="K33" i="177"/>
  <c r="L33" i="177"/>
  <c r="M33" i="177"/>
  <c r="N33" i="177"/>
  <c r="O33" i="177"/>
  <c r="P33" i="177"/>
  <c r="Q33" i="177"/>
  <c r="F34" i="177"/>
  <c r="G34" i="177"/>
  <c r="H34" i="177"/>
  <c r="I34" i="177"/>
  <c r="J34" i="177"/>
  <c r="K34" i="177"/>
  <c r="L34" i="177"/>
  <c r="M34" i="177"/>
  <c r="N34" i="177"/>
  <c r="O34" i="177"/>
  <c r="P34" i="177"/>
  <c r="Q34" i="177"/>
  <c r="F35" i="177"/>
  <c r="G35" i="177"/>
  <c r="H35" i="177"/>
  <c r="I35" i="177"/>
  <c r="J35" i="177"/>
  <c r="K35" i="177"/>
  <c r="L35" i="177"/>
  <c r="M35" i="177"/>
  <c r="N35" i="177"/>
  <c r="O35" i="177"/>
  <c r="P35" i="177"/>
  <c r="Q35" i="177"/>
  <c r="F36" i="177"/>
  <c r="G36" i="177"/>
  <c r="H36" i="177"/>
  <c r="I36" i="177"/>
  <c r="J36" i="177"/>
  <c r="K36" i="177"/>
  <c r="L36" i="177"/>
  <c r="M36" i="177"/>
  <c r="N36" i="177"/>
  <c r="O36" i="177"/>
  <c r="P36" i="177"/>
  <c r="Q36" i="177"/>
  <c r="F37" i="177"/>
  <c r="G37" i="177"/>
  <c r="H37" i="177"/>
  <c r="I37" i="177"/>
  <c r="J37" i="177"/>
  <c r="K37" i="177"/>
  <c r="L37" i="177"/>
  <c r="M37" i="177"/>
  <c r="N37" i="177"/>
  <c r="O37" i="177"/>
  <c r="P37" i="177"/>
  <c r="Q37" i="177"/>
  <c r="F38" i="177"/>
  <c r="G38" i="177"/>
  <c r="H38" i="177"/>
  <c r="I38" i="177"/>
  <c r="J38" i="177"/>
  <c r="K38" i="177"/>
  <c r="L38" i="177"/>
  <c r="M38" i="177"/>
  <c r="N38" i="177"/>
  <c r="O38" i="177"/>
  <c r="P38" i="177"/>
  <c r="Q38" i="177"/>
  <c r="F39" i="177"/>
  <c r="G39" i="177"/>
  <c r="H39" i="177"/>
  <c r="I39" i="177"/>
  <c r="J39" i="177"/>
  <c r="K39" i="177"/>
  <c r="L39" i="177"/>
  <c r="M39" i="177"/>
  <c r="N39" i="177"/>
  <c r="O39" i="177"/>
  <c r="P39" i="177"/>
  <c r="Q39" i="177"/>
  <c r="F40" i="177"/>
  <c r="G40" i="177"/>
  <c r="H40" i="177"/>
  <c r="I40" i="177"/>
  <c r="J40" i="177"/>
  <c r="K40" i="177"/>
  <c r="L40" i="177"/>
  <c r="M40" i="177"/>
  <c r="N40" i="177"/>
  <c r="O40" i="177"/>
  <c r="P40" i="177"/>
  <c r="Q40" i="177"/>
  <c r="F41" i="177"/>
  <c r="G41" i="177"/>
  <c r="H41" i="177"/>
  <c r="I41" i="177"/>
  <c r="J41" i="177"/>
  <c r="K41" i="177"/>
  <c r="L41" i="177"/>
  <c r="M41" i="177"/>
  <c r="N41" i="177"/>
  <c r="O41" i="177"/>
  <c r="P41" i="177"/>
  <c r="Q41" i="177"/>
  <c r="F42" i="177"/>
  <c r="G42" i="177"/>
  <c r="H42" i="177"/>
  <c r="I42" i="177"/>
  <c r="J42" i="177"/>
  <c r="K42" i="177"/>
  <c r="L42" i="177"/>
  <c r="M42" i="177"/>
  <c r="N42" i="177"/>
  <c r="O42" i="177"/>
  <c r="P42" i="177"/>
  <c r="Q42" i="177"/>
  <c r="F43" i="177"/>
  <c r="G43" i="177"/>
  <c r="H43" i="177"/>
  <c r="I43" i="177"/>
  <c r="J43" i="177"/>
  <c r="K43" i="177"/>
  <c r="L43" i="177"/>
  <c r="M43" i="177"/>
  <c r="N43" i="177"/>
  <c r="O43" i="177"/>
  <c r="P43" i="177"/>
  <c r="Q43" i="177"/>
  <c r="F44" i="177"/>
  <c r="G44" i="177"/>
  <c r="H44" i="177"/>
  <c r="I44" i="177"/>
  <c r="J44" i="177"/>
  <c r="K44" i="177"/>
  <c r="L44" i="177"/>
  <c r="M44" i="177"/>
  <c r="N44" i="177"/>
  <c r="O44" i="177"/>
  <c r="P44" i="177"/>
  <c r="Q44" i="177"/>
  <c r="F45" i="177"/>
  <c r="G45" i="177"/>
  <c r="H45" i="177"/>
  <c r="I45" i="177"/>
  <c r="J45" i="177"/>
  <c r="K45" i="177"/>
  <c r="L45" i="177"/>
  <c r="M45" i="177"/>
  <c r="N45" i="177"/>
  <c r="O45" i="177"/>
  <c r="P45" i="177"/>
  <c r="Q45" i="177"/>
  <c r="F46" i="177"/>
  <c r="G46" i="177"/>
  <c r="H46" i="177"/>
  <c r="I46" i="177"/>
  <c r="J46" i="177"/>
  <c r="K46" i="177"/>
  <c r="L46" i="177"/>
  <c r="M46" i="177"/>
  <c r="N46" i="177"/>
  <c r="O46" i="177"/>
  <c r="P46" i="177"/>
  <c r="Q46" i="177"/>
  <c r="F47" i="177"/>
  <c r="G47" i="177"/>
  <c r="H47" i="177"/>
  <c r="I47" i="177"/>
  <c r="J47" i="177"/>
  <c r="K47" i="177"/>
  <c r="L47" i="177"/>
  <c r="M47" i="177"/>
  <c r="N47" i="177"/>
  <c r="O47" i="177"/>
  <c r="P47" i="177"/>
  <c r="Q47" i="177"/>
  <c r="F48" i="177"/>
  <c r="G48" i="177"/>
  <c r="H48" i="177"/>
  <c r="I48" i="177"/>
  <c r="J48" i="177"/>
  <c r="K48" i="177"/>
  <c r="L48" i="177"/>
  <c r="M48" i="177"/>
  <c r="N48" i="177"/>
  <c r="O48" i="177"/>
  <c r="P48" i="177"/>
  <c r="Q48" i="177"/>
  <c r="F49" i="177"/>
  <c r="G49" i="177"/>
  <c r="H49" i="177"/>
  <c r="I49" i="177"/>
  <c r="J49" i="177"/>
  <c r="K49" i="177"/>
  <c r="L49" i="177"/>
  <c r="M49" i="177"/>
  <c r="N49" i="177"/>
  <c r="O49" i="177"/>
  <c r="P49" i="177"/>
  <c r="Q49" i="177"/>
  <c r="F50" i="177"/>
  <c r="G50" i="177"/>
  <c r="H50" i="177"/>
  <c r="I50" i="177"/>
  <c r="J50" i="177"/>
  <c r="K50" i="177"/>
  <c r="L50" i="177"/>
  <c r="M50" i="177"/>
  <c r="N50" i="177"/>
  <c r="O50" i="177"/>
  <c r="P50" i="177"/>
  <c r="Q50" i="177"/>
  <c r="F51" i="177"/>
  <c r="G51" i="177"/>
  <c r="H51" i="177"/>
  <c r="I51" i="177"/>
  <c r="J51" i="177"/>
  <c r="K51" i="177"/>
  <c r="L51" i="177"/>
  <c r="M51" i="177"/>
  <c r="N51" i="177"/>
  <c r="O51" i="177"/>
  <c r="P51" i="177"/>
  <c r="Q51" i="177"/>
  <c r="F52" i="177"/>
  <c r="G52" i="177"/>
  <c r="H52" i="177"/>
  <c r="I52" i="177"/>
  <c r="J52" i="177"/>
  <c r="K52" i="177"/>
  <c r="L52" i="177"/>
  <c r="M52" i="177"/>
  <c r="N52" i="177"/>
  <c r="O52" i="177"/>
  <c r="P52" i="177"/>
  <c r="Q52" i="177"/>
  <c r="F53" i="177"/>
  <c r="G53" i="177"/>
  <c r="H53" i="177"/>
  <c r="I53" i="177"/>
  <c r="J53" i="177"/>
  <c r="K53" i="177"/>
  <c r="L53" i="177"/>
  <c r="M53" i="177"/>
  <c r="N53" i="177"/>
  <c r="O53" i="177"/>
  <c r="P53" i="177"/>
  <c r="Q53" i="177"/>
  <c r="F54" i="177"/>
  <c r="G54" i="177"/>
  <c r="H54" i="177"/>
  <c r="I54" i="177"/>
  <c r="J54" i="177"/>
  <c r="K54" i="177"/>
  <c r="L54" i="177"/>
  <c r="M54" i="177"/>
  <c r="N54" i="177"/>
  <c r="O54" i="177"/>
  <c r="P54" i="177"/>
  <c r="Q54" i="177"/>
  <c r="F55" i="177"/>
  <c r="G55" i="177"/>
  <c r="H55" i="177"/>
  <c r="I55" i="177"/>
  <c r="J55" i="177"/>
  <c r="K55" i="177"/>
  <c r="L55" i="177"/>
  <c r="M55" i="177"/>
  <c r="N55" i="177"/>
  <c r="O55" i="177"/>
  <c r="P55" i="177"/>
  <c r="Q55" i="177"/>
  <c r="F56" i="177"/>
  <c r="G56" i="177"/>
  <c r="H56" i="177"/>
  <c r="I56" i="177"/>
  <c r="J56" i="177"/>
  <c r="K56" i="177"/>
  <c r="L56" i="177"/>
  <c r="M56" i="177"/>
  <c r="N56" i="177"/>
  <c r="O56" i="177"/>
  <c r="P56" i="177"/>
  <c r="Q56" i="177"/>
  <c r="F57" i="177"/>
  <c r="G57" i="177"/>
  <c r="H57" i="177"/>
  <c r="I57" i="177"/>
  <c r="J57" i="177"/>
  <c r="K57" i="177"/>
  <c r="L57" i="177"/>
  <c r="M57" i="177"/>
  <c r="N57" i="177"/>
  <c r="O57" i="177"/>
  <c r="P57" i="177"/>
  <c r="Q57" i="177"/>
  <c r="F58" i="177"/>
  <c r="G58" i="177"/>
  <c r="H58" i="177"/>
  <c r="I58" i="177"/>
  <c r="J58" i="177"/>
  <c r="K58" i="177"/>
  <c r="L58" i="177"/>
  <c r="M58" i="177"/>
  <c r="N58" i="177"/>
  <c r="O58" i="177"/>
  <c r="P58" i="177"/>
  <c r="Q58" i="177"/>
  <c r="F59" i="177"/>
  <c r="G59" i="177"/>
  <c r="H59" i="177"/>
  <c r="I59" i="177"/>
  <c r="J59" i="177"/>
  <c r="K59" i="177"/>
  <c r="L59" i="177"/>
  <c r="M59" i="177"/>
  <c r="N59" i="177"/>
  <c r="O59" i="177"/>
  <c r="P59" i="177"/>
  <c r="Q59" i="177"/>
  <c r="F60" i="177"/>
  <c r="G60" i="177"/>
  <c r="H60" i="177"/>
  <c r="I60" i="177"/>
  <c r="J60" i="177"/>
  <c r="K60" i="177"/>
  <c r="L60" i="177"/>
  <c r="M60" i="177"/>
  <c r="N60" i="177"/>
  <c r="O60" i="177"/>
  <c r="P60" i="177"/>
  <c r="Q60" i="177"/>
  <c r="F61" i="177"/>
  <c r="G61" i="177"/>
  <c r="H61" i="177"/>
  <c r="I61" i="177"/>
  <c r="J61" i="177"/>
  <c r="K61" i="177"/>
  <c r="L61" i="177"/>
  <c r="M61" i="177"/>
  <c r="N61" i="177"/>
  <c r="O61" i="177"/>
  <c r="P61" i="177"/>
  <c r="Q61" i="177"/>
  <c r="F62" i="177"/>
  <c r="G62" i="177"/>
  <c r="H62" i="177"/>
  <c r="I62" i="177"/>
  <c r="J62" i="177"/>
  <c r="K62" i="177"/>
  <c r="L62" i="177"/>
  <c r="M62" i="177"/>
  <c r="N62" i="177"/>
  <c r="O62" i="177"/>
  <c r="P62" i="177"/>
  <c r="Q62" i="177"/>
  <c r="F63" i="177"/>
  <c r="G63" i="177"/>
  <c r="H63" i="177"/>
  <c r="I63" i="177"/>
  <c r="J63" i="177"/>
  <c r="K63" i="177"/>
  <c r="L63" i="177"/>
  <c r="M63" i="177"/>
  <c r="N63" i="177"/>
  <c r="O63" i="177"/>
  <c r="P63" i="177"/>
  <c r="Q63" i="177"/>
  <c r="F64" i="177"/>
  <c r="G64" i="177"/>
  <c r="H64" i="177"/>
  <c r="I64" i="177"/>
  <c r="J64" i="177"/>
  <c r="K64" i="177"/>
  <c r="L64" i="177"/>
  <c r="M64" i="177"/>
  <c r="N64" i="177"/>
  <c r="O64" i="177"/>
  <c r="P64" i="177"/>
  <c r="Q64" i="177"/>
  <c r="F65" i="177"/>
  <c r="G65" i="177"/>
  <c r="H65" i="177"/>
  <c r="I65" i="177"/>
  <c r="J65" i="177"/>
  <c r="K65" i="177"/>
  <c r="L65" i="177"/>
  <c r="M65" i="177"/>
  <c r="N65" i="177"/>
  <c r="O65" i="177"/>
  <c r="P65" i="177"/>
  <c r="Q65" i="177"/>
  <c r="F66" i="177"/>
  <c r="G66" i="177"/>
  <c r="H66" i="177"/>
  <c r="I66" i="177"/>
  <c r="J66" i="177"/>
  <c r="K66" i="177"/>
  <c r="L66" i="177"/>
  <c r="M66" i="177"/>
  <c r="N66" i="177"/>
  <c r="O66" i="177"/>
  <c r="P66" i="177"/>
  <c r="Q66" i="177"/>
  <c r="F67" i="177"/>
  <c r="G67" i="177"/>
  <c r="H67" i="177"/>
  <c r="I67" i="177"/>
  <c r="J67" i="177"/>
  <c r="K67" i="177"/>
  <c r="L67" i="177"/>
  <c r="M67" i="177"/>
  <c r="N67" i="177"/>
  <c r="O67" i="177"/>
  <c r="P67" i="177"/>
  <c r="Q67" i="177"/>
  <c r="G5" i="177"/>
  <c r="H5" i="177"/>
  <c r="I5" i="177"/>
  <c r="J5" i="177"/>
  <c r="K5" i="177"/>
  <c r="L5" i="177"/>
  <c r="M5" i="177"/>
  <c r="N5" i="177"/>
  <c r="O5" i="177"/>
  <c r="P5" i="177"/>
  <c r="Q5" i="177"/>
  <c r="F5" i="177"/>
  <c r="S9" i="177"/>
  <c r="S22" i="177"/>
  <c r="S14" i="177"/>
  <c r="S23" i="177"/>
  <c r="S10" i="177"/>
  <c r="S24" i="177"/>
  <c r="S15" i="177"/>
  <c r="S6" i="177"/>
  <c r="S26" i="177"/>
  <c r="S16" i="177"/>
  <c r="S27" i="177"/>
  <c r="S11" i="177"/>
  <c r="S28" i="177"/>
  <c r="S17" i="177"/>
  <c r="S8" i="177"/>
  <c r="S30" i="177"/>
  <c r="S18" i="177"/>
  <c r="S31" i="177"/>
  <c r="S12" i="177"/>
  <c r="S32" i="177"/>
  <c r="S19" i="177"/>
  <c r="S7" i="177"/>
  <c r="S34" i="177"/>
  <c r="S13" i="177"/>
  <c r="S35" i="177"/>
  <c r="S5" i="177"/>
  <c r="S37" i="177"/>
  <c r="S39" i="177"/>
  <c r="S40" i="177"/>
  <c r="S41" i="177"/>
  <c r="S42" i="177"/>
  <c r="S43" i="177"/>
  <c r="S44" i="177"/>
  <c r="S45" i="177"/>
  <c r="S47" i="177"/>
  <c r="S48" i="177"/>
  <c r="S49" i="177"/>
  <c r="S50" i="177"/>
  <c r="S51" i="177"/>
  <c r="S52" i="177"/>
  <c r="S53" i="177"/>
  <c r="S55" i="177"/>
  <c r="S56" i="177"/>
  <c r="S57" i="177"/>
  <c r="S58" i="177"/>
  <c r="S59" i="177"/>
  <c r="S63" i="177"/>
  <c r="S65" i="177"/>
  <c r="B17" i="140" l="1"/>
  <c r="B16" i="140"/>
  <c r="S21" i="177"/>
  <c r="S66" i="177"/>
  <c r="A228" i="182"/>
  <c r="A229" i="182"/>
  <c r="A230" i="182"/>
  <c r="A231" i="182"/>
  <c r="A232" i="182"/>
  <c r="A233" i="182"/>
  <c r="A234" i="182"/>
  <c r="A235" i="182"/>
  <c r="A236" i="182"/>
  <c r="A237" i="182"/>
  <c r="A238" i="182"/>
  <c r="A239" i="182"/>
  <c r="A240" i="182"/>
  <c r="A241" i="182"/>
  <c r="A242" i="182"/>
  <c r="A243" i="182"/>
  <c r="A221" i="182"/>
  <c r="A222" i="182"/>
  <c r="A223" i="182"/>
  <c r="A224" i="182"/>
  <c r="A225" i="182"/>
  <c r="A226" i="182"/>
  <c r="A227" i="182"/>
  <c r="C214" i="182" l="1"/>
  <c r="C215" i="182"/>
  <c r="C216" i="182"/>
  <c r="C217" i="182" s="1"/>
  <c r="C218" i="182" s="1"/>
  <c r="C213" i="182"/>
  <c r="C60" i="116" l="1"/>
  <c r="D60" i="116"/>
  <c r="E60" i="116"/>
  <c r="F60" i="116"/>
  <c r="G60" i="116"/>
  <c r="H60" i="116"/>
  <c r="I60" i="116"/>
  <c r="J60" i="116"/>
  <c r="K60" i="116"/>
  <c r="L60" i="116"/>
  <c r="B60" i="116"/>
  <c r="B26" i="185" l="1"/>
  <c r="B25" i="185"/>
  <c r="B24" i="185"/>
  <c r="Q5" i="133" l="1"/>
  <c r="L8" i="183"/>
  <c r="W38" i="140" l="1"/>
  <c r="A2" i="182"/>
  <c r="A3" i="182"/>
  <c r="A4" i="182"/>
  <c r="A5" i="182"/>
  <c r="A6" i="182"/>
  <c r="A7" i="182"/>
  <c r="A8" i="182"/>
  <c r="A9" i="182"/>
  <c r="A10" i="182"/>
  <c r="A11" i="182"/>
  <c r="A12" i="182"/>
  <c r="A13" i="182"/>
  <c r="A14" i="182"/>
  <c r="A15" i="182"/>
  <c r="A16" i="182"/>
  <c r="A17" i="182"/>
  <c r="A18" i="182"/>
  <c r="A19" i="182"/>
  <c r="A20" i="182"/>
  <c r="A21" i="182"/>
  <c r="A22" i="182"/>
  <c r="A23" i="182"/>
  <c r="A24" i="182"/>
  <c r="A25" i="182"/>
  <c r="A26" i="182"/>
  <c r="A27" i="182"/>
  <c r="A28" i="182"/>
  <c r="A29" i="182"/>
  <c r="A30" i="182"/>
  <c r="A31" i="182"/>
  <c r="A32" i="182"/>
  <c r="A33" i="182"/>
  <c r="A34" i="182"/>
  <c r="A35" i="182"/>
  <c r="A36" i="182"/>
  <c r="A37" i="182"/>
  <c r="A38" i="182"/>
  <c r="A39" i="182"/>
  <c r="A40" i="182"/>
  <c r="A41" i="182"/>
  <c r="A42" i="182"/>
  <c r="A43" i="182"/>
  <c r="A44" i="182"/>
  <c r="A45" i="182"/>
  <c r="A46" i="182"/>
  <c r="A47" i="182"/>
  <c r="A48" i="182"/>
  <c r="A49" i="182"/>
  <c r="A50" i="182"/>
  <c r="A51" i="182"/>
  <c r="A52" i="182"/>
  <c r="A53" i="182"/>
  <c r="A54" i="182"/>
  <c r="A55" i="182"/>
  <c r="A56" i="182"/>
  <c r="A57" i="182"/>
  <c r="A58" i="182"/>
  <c r="A59" i="182"/>
  <c r="A60" i="182"/>
  <c r="A61" i="182"/>
  <c r="A62" i="182"/>
  <c r="A63" i="182"/>
  <c r="A64" i="182"/>
  <c r="A65" i="182"/>
  <c r="A66" i="182"/>
  <c r="A67" i="182"/>
  <c r="A68" i="182"/>
  <c r="A69" i="182"/>
  <c r="A70" i="182"/>
  <c r="A71" i="182"/>
  <c r="A72" i="182"/>
  <c r="A73" i="182"/>
  <c r="A74" i="182"/>
  <c r="A75" i="182"/>
  <c r="A76" i="182"/>
  <c r="A77" i="182"/>
  <c r="A78" i="182"/>
  <c r="A79" i="182"/>
  <c r="A80" i="182"/>
  <c r="A81" i="182"/>
  <c r="A82" i="182"/>
  <c r="A83" i="182"/>
  <c r="A84" i="182"/>
  <c r="A85" i="182"/>
  <c r="A86" i="182"/>
  <c r="A87" i="182"/>
  <c r="A88" i="182"/>
  <c r="A89" i="182"/>
  <c r="A90" i="182"/>
  <c r="A91" i="182"/>
  <c r="A92" i="182"/>
  <c r="A93" i="182"/>
  <c r="A94" i="182"/>
  <c r="A95" i="182"/>
  <c r="A96" i="182"/>
  <c r="A97" i="182"/>
  <c r="A98" i="182"/>
  <c r="A99" i="182"/>
  <c r="A100" i="182"/>
  <c r="A101" i="182"/>
  <c r="A102" i="182"/>
  <c r="A103" i="182"/>
  <c r="A104" i="182"/>
  <c r="A105" i="182"/>
  <c r="A106" i="182"/>
  <c r="A107" i="182"/>
  <c r="A108" i="182"/>
  <c r="A109" i="182"/>
  <c r="A110" i="182"/>
  <c r="A111" i="182"/>
  <c r="A112" i="182"/>
  <c r="A113" i="182"/>
  <c r="A114" i="182"/>
  <c r="A115" i="182"/>
  <c r="A116" i="182"/>
  <c r="A117" i="182"/>
  <c r="A118" i="182"/>
  <c r="A119" i="182"/>
  <c r="A120" i="182"/>
  <c r="A121" i="182"/>
  <c r="A122" i="182"/>
  <c r="A123" i="182"/>
  <c r="A124" i="182"/>
  <c r="A125" i="182"/>
  <c r="A126" i="182"/>
  <c r="A127" i="182"/>
  <c r="A128" i="182"/>
  <c r="A129" i="182"/>
  <c r="A130" i="182"/>
  <c r="A131" i="182"/>
  <c r="A132" i="182"/>
  <c r="A133" i="182"/>
  <c r="A134" i="182"/>
  <c r="A135" i="182"/>
  <c r="A136" i="182"/>
  <c r="A137" i="182"/>
  <c r="A138" i="182"/>
  <c r="A139" i="182"/>
  <c r="A140" i="182"/>
  <c r="A141" i="182"/>
  <c r="A142" i="182"/>
  <c r="A143" i="182"/>
  <c r="A144" i="182"/>
  <c r="A145" i="182"/>
  <c r="A146" i="182"/>
  <c r="A147" i="182"/>
  <c r="A148" i="182"/>
  <c r="A149" i="182"/>
  <c r="A150" i="182"/>
  <c r="A151" i="182"/>
  <c r="A152" i="182"/>
  <c r="A153" i="182"/>
  <c r="A154" i="182"/>
  <c r="A155" i="182"/>
  <c r="A156" i="182"/>
  <c r="A157" i="182"/>
  <c r="A158" i="182"/>
  <c r="A159" i="182"/>
  <c r="A160" i="182"/>
  <c r="A161" i="182"/>
  <c r="A162" i="182"/>
  <c r="A163" i="182"/>
  <c r="A164" i="182"/>
  <c r="A165" i="182"/>
  <c r="A166" i="182"/>
  <c r="A167" i="182"/>
  <c r="A168" i="182"/>
  <c r="A169" i="182"/>
  <c r="A170" i="182"/>
  <c r="A171" i="182"/>
  <c r="A172" i="182"/>
  <c r="A173" i="182"/>
  <c r="A174" i="182"/>
  <c r="A175" i="182"/>
  <c r="A176" i="182"/>
  <c r="A177" i="182"/>
  <c r="A178" i="182"/>
  <c r="A179" i="182"/>
  <c r="A180" i="182"/>
  <c r="A181" i="182"/>
  <c r="A182" i="182"/>
  <c r="A183" i="182"/>
  <c r="A184" i="182"/>
  <c r="A185" i="182"/>
  <c r="A186" i="182"/>
  <c r="A187" i="182"/>
  <c r="A188" i="182"/>
  <c r="A189" i="182"/>
  <c r="A190" i="182"/>
  <c r="A191" i="182"/>
  <c r="A192" i="182"/>
  <c r="A193" i="182"/>
  <c r="A194" i="182"/>
  <c r="A195" i="182"/>
  <c r="A196" i="182"/>
  <c r="A197" i="182"/>
  <c r="A198" i="182"/>
  <c r="A199" i="182"/>
  <c r="A200" i="182"/>
  <c r="A201" i="182"/>
  <c r="A202" i="182"/>
  <c r="A203" i="182"/>
  <c r="A204" i="182"/>
  <c r="A205" i="182"/>
  <c r="A206" i="182"/>
  <c r="A207" i="182"/>
  <c r="A208" i="182"/>
  <c r="A209" i="182"/>
  <c r="A210" i="182"/>
  <c r="A211" i="182"/>
  <c r="A212" i="182"/>
  <c r="A213" i="182"/>
  <c r="A214" i="182"/>
  <c r="A215" i="182"/>
  <c r="A216" i="182"/>
  <c r="A217" i="182"/>
  <c r="A218" i="182"/>
  <c r="A219" i="182"/>
  <c r="A220" i="182"/>
  <c r="M19" i="159" l="1"/>
  <c r="M17" i="159"/>
  <c r="T17" i="159"/>
  <c r="S17" i="159"/>
  <c r="R17" i="159"/>
  <c r="P17" i="159"/>
  <c r="O17" i="159"/>
  <c r="E181" i="182"/>
  <c r="O18" i="144" l="1"/>
  <c r="O19" i="144"/>
  <c r="O20" i="144"/>
  <c r="O21" i="144"/>
  <c r="O22" i="144"/>
  <c r="O23" i="144"/>
  <c r="O24" i="144"/>
  <c r="O25" i="144"/>
  <c r="O26" i="144"/>
  <c r="O27" i="144"/>
  <c r="O28" i="144"/>
  <c r="O29" i="144"/>
  <c r="O30" i="144"/>
  <c r="O31" i="144"/>
  <c r="O32" i="144"/>
  <c r="O33" i="144"/>
  <c r="O34" i="144"/>
  <c r="O35" i="144"/>
  <c r="O36" i="144"/>
  <c r="O37" i="144"/>
  <c r="O38" i="144"/>
  <c r="O39" i="144"/>
  <c r="O40" i="144"/>
  <c r="O41" i="144"/>
  <c r="O42" i="144"/>
  <c r="O43" i="144"/>
  <c r="O44" i="144"/>
  <c r="O45" i="144"/>
  <c r="O46" i="144"/>
  <c r="O47" i="144"/>
  <c r="O48" i="144"/>
  <c r="O49" i="144"/>
  <c r="O50" i="144"/>
  <c r="O51" i="144"/>
  <c r="O52" i="144"/>
  <c r="O53" i="144"/>
  <c r="O54" i="144"/>
  <c r="O55" i="144"/>
  <c r="O56" i="144"/>
  <c r="O57" i="144"/>
  <c r="O58" i="144"/>
  <c r="O59" i="144"/>
  <c r="O60" i="144"/>
  <c r="O61" i="144"/>
  <c r="O62" i="144"/>
  <c r="O63" i="144"/>
  <c r="O64" i="144"/>
  <c r="O65" i="144"/>
  <c r="O66" i="144"/>
  <c r="O67" i="144"/>
  <c r="O68" i="144"/>
  <c r="O69" i="144"/>
  <c r="O70" i="144"/>
  <c r="O71" i="144"/>
  <c r="O72" i="144"/>
  <c r="O73" i="144"/>
  <c r="O74" i="144"/>
  <c r="O75" i="144"/>
  <c r="O76" i="144"/>
  <c r="O77" i="144"/>
  <c r="O78" i="144"/>
  <c r="O79" i="144"/>
  <c r="O80" i="144"/>
  <c r="O81" i="144"/>
  <c r="O82" i="144"/>
  <c r="O83" i="144"/>
  <c r="O84" i="144"/>
  <c r="O85" i="144"/>
  <c r="O86" i="144"/>
  <c r="O87" i="144"/>
  <c r="O88" i="144"/>
  <c r="O89" i="144"/>
  <c r="O90" i="144"/>
  <c r="O91" i="144"/>
  <c r="O92" i="144"/>
  <c r="O93" i="144"/>
  <c r="O94" i="144"/>
  <c r="O95" i="144"/>
  <c r="O96" i="144"/>
  <c r="O97" i="144"/>
  <c r="O98" i="144"/>
  <c r="O99" i="144"/>
  <c r="O100" i="144"/>
  <c r="O101" i="144"/>
  <c r="O102" i="144"/>
  <c r="O103" i="144"/>
  <c r="O104" i="144"/>
  <c r="O105" i="144"/>
  <c r="O106" i="144"/>
  <c r="O107" i="144"/>
  <c r="O108" i="144"/>
  <c r="O109" i="144"/>
  <c r="O110" i="144"/>
  <c r="O111" i="144"/>
  <c r="O112" i="144"/>
  <c r="O113" i="144"/>
  <c r="O114" i="144"/>
  <c r="O115" i="144"/>
  <c r="O116" i="144"/>
  <c r="O117" i="144"/>
  <c r="O118" i="144"/>
  <c r="O119" i="144"/>
  <c r="O120" i="144"/>
  <c r="O121" i="144"/>
  <c r="O122" i="144"/>
  <c r="O123" i="144"/>
  <c r="O124" i="144"/>
  <c r="O125" i="144"/>
  <c r="O126" i="144"/>
  <c r="O127" i="144"/>
  <c r="O128" i="144"/>
  <c r="O129" i="144"/>
  <c r="O130" i="144"/>
  <c r="O131" i="144"/>
  <c r="O132" i="144"/>
  <c r="O133" i="144"/>
  <c r="O134" i="144"/>
  <c r="O135" i="144"/>
  <c r="O136" i="144"/>
  <c r="O137" i="144"/>
  <c r="O138" i="144"/>
  <c r="O139" i="144"/>
  <c r="O140" i="144"/>
  <c r="O141" i="144"/>
  <c r="O142" i="144"/>
  <c r="O143" i="144"/>
  <c r="O144" i="144"/>
  <c r="O145" i="144"/>
  <c r="O146" i="144"/>
  <c r="O147" i="144"/>
  <c r="O148" i="144"/>
  <c r="O149" i="144"/>
  <c r="O150" i="144"/>
  <c r="O151" i="144"/>
  <c r="O152" i="144"/>
  <c r="O153" i="144"/>
  <c r="O154" i="144"/>
  <c r="O155" i="144"/>
  <c r="O156" i="144"/>
  <c r="O157" i="144"/>
  <c r="O158" i="144"/>
  <c r="O159" i="144"/>
  <c r="O160" i="144"/>
  <c r="O161" i="144"/>
  <c r="O162" i="144"/>
  <c r="O163" i="144"/>
  <c r="O164" i="144"/>
  <c r="O165" i="144"/>
  <c r="O166" i="144"/>
  <c r="O167" i="144"/>
  <c r="O168" i="144"/>
  <c r="O169" i="144"/>
  <c r="O170" i="144"/>
  <c r="O171" i="144"/>
  <c r="O172" i="144"/>
  <c r="O173" i="144"/>
  <c r="O174" i="144"/>
  <c r="O175" i="144"/>
  <c r="O176" i="144"/>
  <c r="O177" i="144"/>
  <c r="O178" i="144"/>
  <c r="O179" i="144"/>
  <c r="O180" i="144"/>
  <c r="O181" i="144"/>
  <c r="O182" i="144"/>
  <c r="O183" i="144"/>
  <c r="O184" i="144"/>
  <c r="O185" i="144"/>
  <c r="O186" i="144"/>
  <c r="O187" i="144"/>
  <c r="O188" i="144"/>
  <c r="O189" i="144"/>
  <c r="O190" i="144"/>
  <c r="O191" i="144"/>
  <c r="O192" i="144"/>
  <c r="O193" i="144"/>
  <c r="O194" i="144"/>
  <c r="O195" i="144"/>
  <c r="O196" i="144"/>
  <c r="O197" i="144"/>
  <c r="O198" i="144"/>
  <c r="O199" i="144"/>
  <c r="O200" i="144"/>
  <c r="O201" i="144"/>
  <c r="O202" i="144"/>
  <c r="O203" i="144"/>
  <c r="O204" i="144"/>
  <c r="O205" i="144"/>
  <c r="O206" i="144"/>
  <c r="O207" i="144"/>
  <c r="O208" i="144"/>
  <c r="O209" i="144"/>
  <c r="O210" i="144"/>
  <c r="O211" i="144"/>
  <c r="O212" i="144"/>
  <c r="O213" i="144"/>
  <c r="O214" i="144"/>
  <c r="O215" i="144"/>
  <c r="O216" i="144"/>
  <c r="O217" i="144"/>
  <c r="O218" i="144"/>
  <c r="O219" i="144"/>
  <c r="O220" i="144"/>
  <c r="O221" i="144"/>
  <c r="O222" i="144"/>
  <c r="O223" i="144"/>
  <c r="O224" i="144"/>
  <c r="O225" i="144"/>
  <c r="O226" i="144"/>
  <c r="O227" i="144"/>
  <c r="O228" i="144"/>
  <c r="O229" i="144"/>
  <c r="O230" i="144"/>
  <c r="O231" i="144"/>
  <c r="O232" i="144"/>
  <c r="O233" i="144"/>
  <c r="O234" i="144"/>
  <c r="O235" i="144"/>
  <c r="O236" i="144"/>
  <c r="O237" i="144"/>
  <c r="O238" i="144"/>
  <c r="O239" i="144"/>
  <c r="O240" i="144"/>
  <c r="O241" i="144"/>
  <c r="O242" i="144"/>
  <c r="O243" i="144"/>
  <c r="O245" i="144"/>
  <c r="O246" i="144"/>
  <c r="O247" i="144"/>
  <c r="O248" i="144"/>
  <c r="O249" i="144"/>
  <c r="O17" i="144"/>
  <c r="C148" i="182"/>
  <c r="C147" i="182"/>
  <c r="C146" i="182"/>
  <c r="C145" i="182"/>
  <c r="O244" i="144" l="1"/>
  <c r="B22" i="140" s="1"/>
  <c r="B21" i="140"/>
  <c r="C21" i="140"/>
  <c r="BC60" i="140"/>
  <c r="AX310" i="140" s="1"/>
  <c r="BC59" i="140"/>
  <c r="AX309" i="140" s="1"/>
  <c r="BC56" i="140"/>
  <c r="AX306" i="140" s="1"/>
  <c r="BC55" i="140"/>
  <c r="AX305" i="140" s="1"/>
  <c r="AT76" i="140"/>
  <c r="AT75" i="140"/>
  <c r="AT74" i="140"/>
  <c r="AT73" i="140"/>
  <c r="AT72" i="140"/>
  <c r="AT71" i="140"/>
  <c r="AT70" i="140"/>
  <c r="AT69" i="140"/>
  <c r="AT68" i="140"/>
  <c r="AT67" i="140"/>
  <c r="AT66" i="140"/>
  <c r="AT65" i="140"/>
  <c r="AT64" i="140"/>
  <c r="AT63" i="140"/>
  <c r="AT62" i="140"/>
  <c r="AT61" i="140"/>
  <c r="M61" i="140"/>
  <c r="AT60" i="140"/>
  <c r="BE60" i="140"/>
  <c r="AX410" i="140" s="1"/>
  <c r="BD60" i="140"/>
  <c r="AX360" i="140" s="1"/>
  <c r="BA60" i="140"/>
  <c r="AX210" i="140" s="1"/>
  <c r="AZ60" i="140"/>
  <c r="AX160" i="140" s="1"/>
  <c r="AT59" i="140"/>
  <c r="BE59" i="140"/>
  <c r="AX409" i="140" s="1"/>
  <c r="BD59" i="140"/>
  <c r="AX359" i="140" s="1"/>
  <c r="BA59" i="140"/>
  <c r="AX209" i="140" s="1"/>
  <c r="AX59" i="140"/>
  <c r="BE58" i="140"/>
  <c r="AX408" i="140" s="1"/>
  <c r="BD58" i="140"/>
  <c r="AX358" i="140" s="1"/>
  <c r="BC58" i="140"/>
  <c r="AX308" i="140" s="1"/>
  <c r="AT58" i="140"/>
  <c r="BA58" i="140"/>
  <c r="AX208" i="140" s="1"/>
  <c r="AZ58" i="140"/>
  <c r="AX158" i="140" s="1"/>
  <c r="AX58" i="140"/>
  <c r="BE57" i="140"/>
  <c r="AX407" i="140" s="1"/>
  <c r="BD57" i="140"/>
  <c r="AX357" i="140" s="1"/>
  <c r="BC57" i="140"/>
  <c r="AX307" i="140" s="1"/>
  <c r="AT57" i="140"/>
  <c r="BA57" i="140"/>
  <c r="AX207" i="140" s="1"/>
  <c r="AZ57" i="140"/>
  <c r="AX157" i="140" s="1"/>
  <c r="AX57" i="140"/>
  <c r="AT56" i="140"/>
  <c r="BE56" i="140"/>
  <c r="AX406" i="140" s="1"/>
  <c r="BD56" i="140"/>
  <c r="AX356" i="140" s="1"/>
  <c r="AX56" i="140"/>
  <c r="AT55" i="140"/>
  <c r="BE55" i="140"/>
  <c r="AX405" i="140" s="1"/>
  <c r="BD55" i="140"/>
  <c r="AX355" i="140" s="1"/>
  <c r="AX55" i="140"/>
  <c r="Q17" i="159" l="1"/>
  <c r="AY58" i="140"/>
  <c r="AX108" i="140" s="1"/>
  <c r="AY57" i="140"/>
  <c r="AX107" i="140" s="1"/>
  <c r="BB58" i="140"/>
  <c r="AX258" i="140" s="1"/>
  <c r="BB59" i="140"/>
  <c r="AX259" i="140" s="1"/>
  <c r="BB60" i="140"/>
  <c r="AX260" i="140" s="1"/>
  <c r="BB57" i="140"/>
  <c r="AX257" i="140" s="1"/>
  <c r="BB56" i="140"/>
  <c r="AX256" i="140" s="1"/>
  <c r="BB55" i="140"/>
  <c r="AX255" i="140" s="1"/>
  <c r="AT77" i="140"/>
  <c r="AX60" i="140"/>
  <c r="AZ59" i="140"/>
  <c r="AX159" i="140" s="1"/>
  <c r="BC54" i="140"/>
  <c r="AX304" i="140" s="1"/>
  <c r="BB54" i="140"/>
  <c r="AX254" i="140" s="1"/>
  <c r="AY54" i="140"/>
  <c r="AX104" i="140" s="1"/>
  <c r="AT54" i="140"/>
  <c r="BE54" i="140"/>
  <c r="AX404" i="140" s="1"/>
  <c r="BD54" i="140"/>
  <c r="AX354" i="140" s="1"/>
  <c r="AZ54" i="140"/>
  <c r="AX154" i="140" s="1"/>
  <c r="AX54" i="140"/>
  <c r="M58" i="140" l="1"/>
  <c r="M57" i="140"/>
  <c r="BB53" i="140"/>
  <c r="AX253" i="140" s="1"/>
  <c r="AT53" i="140"/>
  <c r="BE53" i="140"/>
  <c r="AX403" i="140" s="1"/>
  <c r="BD53" i="140"/>
  <c r="AX353" i="140" s="1"/>
  <c r="BC53" i="140"/>
  <c r="AX303" i="140" s="1"/>
  <c r="AX53" i="140"/>
  <c r="BB52" i="140"/>
  <c r="AX252" i="140" s="1"/>
  <c r="AT52" i="140"/>
  <c r="BE52" i="140"/>
  <c r="AX402" i="140" s="1"/>
  <c r="BD52" i="140"/>
  <c r="AX352" i="140" s="1"/>
  <c r="BC52" i="140"/>
  <c r="AX302" i="140" s="1"/>
  <c r="AX52" i="140"/>
  <c r="AT51" i="140" l="1"/>
  <c r="BB50" i="140" l="1"/>
  <c r="AX250" i="140" s="1"/>
  <c r="AT50" i="140"/>
  <c r="BE50" i="140"/>
  <c r="AX400" i="140" s="1"/>
  <c r="BD50" i="140"/>
  <c r="AX350" i="140" s="1"/>
  <c r="BC50" i="140"/>
  <c r="AX300" i="140" s="1"/>
  <c r="AX50" i="140"/>
  <c r="BB49" i="140"/>
  <c r="AX249" i="140" s="1"/>
  <c r="AY49" i="140"/>
  <c r="AX99" i="140" s="1"/>
  <c r="AT49" i="140"/>
  <c r="BE49" i="140"/>
  <c r="AX399" i="140" s="1"/>
  <c r="BD49" i="140"/>
  <c r="AX349" i="140" s="1"/>
  <c r="BC49" i="140"/>
  <c r="AX299" i="140" s="1"/>
  <c r="AX49" i="140"/>
  <c r="BB48" i="140" l="1"/>
  <c r="AX248" i="140" s="1"/>
  <c r="AY48" i="140"/>
  <c r="AX98" i="140" s="1"/>
  <c r="AT48" i="140"/>
  <c r="BE48" i="140"/>
  <c r="AX398" i="140" s="1"/>
  <c r="BD48" i="140"/>
  <c r="AX348" i="140" s="1"/>
  <c r="BC48" i="140"/>
  <c r="AX298" i="140" s="1"/>
  <c r="AX48" i="140"/>
  <c r="BB47" i="140" l="1"/>
  <c r="AX247" i="140" s="1"/>
  <c r="AT47" i="140"/>
  <c r="BE47" i="140"/>
  <c r="AX397" i="140" s="1"/>
  <c r="BD47" i="140"/>
  <c r="AX347" i="140" s="1"/>
  <c r="BC47" i="140"/>
  <c r="AX297" i="140" s="1"/>
  <c r="AX47" i="140"/>
  <c r="BB46" i="140" l="1"/>
  <c r="AX246" i="140" s="1"/>
  <c r="AT46" i="140"/>
  <c r="BE46" i="140"/>
  <c r="AX396" i="140" s="1"/>
  <c r="BD46" i="140"/>
  <c r="AX346" i="140" s="1"/>
  <c r="BC46" i="140"/>
  <c r="AX296" i="140" s="1"/>
  <c r="AX46" i="140"/>
  <c r="BE45" i="140" l="1"/>
  <c r="AX395" i="140" s="1"/>
  <c r="BD45" i="140"/>
  <c r="AX345" i="140" s="1"/>
  <c r="BC45" i="140"/>
  <c r="AX295" i="140" s="1"/>
  <c r="BB45" i="140"/>
  <c r="AX245" i="140" s="1"/>
  <c r="AY45" i="140"/>
  <c r="AX95" i="140" s="1"/>
  <c r="AT45" i="140"/>
  <c r="AX45" i="140"/>
  <c r="BB44" i="140" l="1"/>
  <c r="AX244" i="140" s="1"/>
  <c r="AT44" i="140"/>
  <c r="BE44" i="140"/>
  <c r="AX394" i="140" s="1"/>
  <c r="BD44" i="140"/>
  <c r="AX344" i="140" s="1"/>
  <c r="BC44" i="140"/>
  <c r="AX294" i="140" s="1"/>
  <c r="AX44" i="140"/>
  <c r="BE43" i="140" l="1"/>
  <c r="AX393" i="140" s="1"/>
  <c r="BD43" i="140"/>
  <c r="AX343" i="140" s="1"/>
  <c r="BC43" i="140"/>
  <c r="AX293" i="140" s="1"/>
  <c r="BB43" i="140"/>
  <c r="AX243" i="140" s="1"/>
  <c r="AY43" i="140"/>
  <c r="AX93" i="140" s="1"/>
  <c r="AT43" i="140"/>
  <c r="AX43" i="140"/>
  <c r="BB42" i="140" l="1"/>
  <c r="AX242" i="140" s="1"/>
  <c r="AT42" i="140"/>
  <c r="BE42" i="140"/>
  <c r="AX392" i="140" s="1"/>
  <c r="BD42" i="140"/>
  <c r="AX342" i="140" s="1"/>
  <c r="BC42" i="140"/>
  <c r="AX292" i="140" s="1"/>
  <c r="AX42" i="140"/>
  <c r="BB41" i="140" l="1"/>
  <c r="AX241" i="140" s="1"/>
  <c r="AT41" i="140"/>
  <c r="BE41" i="140"/>
  <c r="AX391" i="140" s="1"/>
  <c r="BD41" i="140"/>
  <c r="AX341" i="140" s="1"/>
  <c r="BC41" i="140"/>
  <c r="AX291" i="140" s="1"/>
  <c r="AX41" i="140"/>
  <c r="BB40" i="140" l="1"/>
  <c r="AX240" i="140" s="1"/>
  <c r="AT40" i="140"/>
  <c r="BE40" i="140"/>
  <c r="AX390" i="140" s="1"/>
  <c r="BD40" i="140"/>
  <c r="AX340" i="140" s="1"/>
  <c r="BC40" i="140"/>
  <c r="AX290" i="140" s="1"/>
  <c r="AX40" i="140"/>
  <c r="BB39" i="140" l="1"/>
  <c r="AX239" i="140" s="1"/>
  <c r="AT39" i="140"/>
  <c r="BE39" i="140"/>
  <c r="AX389" i="140" s="1"/>
  <c r="BD39" i="140"/>
  <c r="AX339" i="140" s="1"/>
  <c r="BC39" i="140"/>
  <c r="AX289" i="140" s="1"/>
  <c r="AX39" i="140"/>
  <c r="BB38" i="140" l="1"/>
  <c r="AX238" i="140" s="1"/>
  <c r="AT38" i="140"/>
  <c r="BE38" i="140"/>
  <c r="AX388" i="140" s="1"/>
  <c r="BD38" i="140"/>
  <c r="AX338" i="140" s="1"/>
  <c r="BC38" i="140"/>
  <c r="AX288" i="140" s="1"/>
  <c r="AX38" i="140"/>
  <c r="BD37" i="140"/>
  <c r="AX337" i="140" s="1"/>
  <c r="BC37" i="140"/>
  <c r="AX287" i="140" s="1"/>
  <c r="BB37" i="140"/>
  <c r="AX237" i="140" s="1"/>
  <c r="AT37" i="140"/>
  <c r="BE37" i="140"/>
  <c r="AX387" i="140" s="1"/>
  <c r="AX37" i="140"/>
  <c r="BC36" i="140" l="1"/>
  <c r="AX286" i="140" s="1"/>
  <c r="BB36" i="140"/>
  <c r="AX236" i="140" s="1"/>
  <c r="AT36" i="140"/>
  <c r="BE36" i="140"/>
  <c r="AX386" i="140" s="1"/>
  <c r="BD36" i="140"/>
  <c r="AX336" i="140" s="1"/>
  <c r="AX36" i="140"/>
  <c r="BB35" i="140" l="1"/>
  <c r="AX235" i="140" s="1"/>
  <c r="AT35" i="140"/>
  <c r="BE35" i="140"/>
  <c r="AX385" i="140" s="1"/>
  <c r="BD35" i="140"/>
  <c r="AX335" i="140" s="1"/>
  <c r="BC35" i="140"/>
  <c r="AX285" i="140" s="1"/>
  <c r="AX35" i="140"/>
  <c r="BB34" i="140" l="1"/>
  <c r="AX234" i="140" s="1"/>
  <c r="AT34" i="140"/>
  <c r="BE34" i="140"/>
  <c r="AX384" i="140" s="1"/>
  <c r="BD34" i="140"/>
  <c r="AX334" i="140" s="1"/>
  <c r="BC34" i="140"/>
  <c r="AX284" i="140" s="1"/>
  <c r="AX34" i="140"/>
  <c r="BB33" i="140" l="1"/>
  <c r="AX233" i="140" s="1"/>
  <c r="AT33" i="140"/>
  <c r="BE33" i="140"/>
  <c r="AX383" i="140" s="1"/>
  <c r="BD33" i="140"/>
  <c r="AX333" i="140" s="1"/>
  <c r="BC33" i="140"/>
  <c r="AX283" i="140" s="1"/>
  <c r="AX33" i="140"/>
  <c r="BB32" i="140" l="1"/>
  <c r="AX232" i="140" s="1"/>
  <c r="AT32" i="140"/>
  <c r="BE32" i="140"/>
  <c r="AX382" i="140" s="1"/>
  <c r="BD32" i="140"/>
  <c r="AX332" i="140" s="1"/>
  <c r="BC32" i="140"/>
  <c r="AX282" i="140" s="1"/>
  <c r="AX32" i="140"/>
  <c r="BB31" i="140" l="1"/>
  <c r="AX231" i="140" s="1"/>
  <c r="AT31" i="140"/>
  <c r="BE31" i="140"/>
  <c r="AX381" i="140" s="1"/>
  <c r="BD31" i="140"/>
  <c r="AX331" i="140" s="1"/>
  <c r="BC31" i="140"/>
  <c r="AX281" i="140" s="1"/>
  <c r="AX31" i="140"/>
  <c r="BB30" i="140" l="1"/>
  <c r="AX230" i="140" s="1"/>
  <c r="AT30" i="140"/>
  <c r="BE30" i="140"/>
  <c r="AX380" i="140" s="1"/>
  <c r="BD30" i="140"/>
  <c r="AX330" i="140" s="1"/>
  <c r="BC30" i="140"/>
  <c r="AX280" i="140" s="1"/>
  <c r="AX30" i="140"/>
  <c r="BE29" i="140" l="1"/>
  <c r="AX379" i="140" s="1"/>
  <c r="BD29" i="140"/>
  <c r="AX329" i="140" s="1"/>
  <c r="BC29" i="140"/>
  <c r="AX279" i="140" s="1"/>
  <c r="BB29" i="140"/>
  <c r="AX229" i="140" s="1"/>
  <c r="AY29" i="140"/>
  <c r="AX79" i="140" s="1"/>
  <c r="AT29" i="140"/>
  <c r="AX29" i="140"/>
  <c r="BE28" i="140" l="1"/>
  <c r="AX378" i="140" s="1"/>
  <c r="BD28" i="140"/>
  <c r="AX328" i="140" s="1"/>
  <c r="BC28" i="140"/>
  <c r="AX278" i="140" s="1"/>
  <c r="BB28" i="140"/>
  <c r="AX228" i="140" s="1"/>
  <c r="AY28" i="140"/>
  <c r="AX78" i="140" s="1"/>
  <c r="AT28" i="140"/>
  <c r="AX28" i="140"/>
  <c r="BE27" i="140" l="1"/>
  <c r="AX377" i="140" s="1"/>
  <c r="BD27" i="140"/>
  <c r="AX327" i="140" s="1"/>
  <c r="BC27" i="140"/>
  <c r="AX277" i="140" s="1"/>
  <c r="BB27" i="140"/>
  <c r="AX227" i="140" s="1"/>
  <c r="AY27" i="140"/>
  <c r="AX77" i="140" s="1"/>
  <c r="AT27" i="140"/>
  <c r="AX27" i="140"/>
  <c r="BE26" i="140" l="1"/>
  <c r="AX376" i="140" s="1"/>
  <c r="BD26" i="140"/>
  <c r="AX326" i="140" s="1"/>
  <c r="BC26" i="140"/>
  <c r="AX276" i="140" s="1"/>
  <c r="BB26" i="140"/>
  <c r="AX226" i="140" s="1"/>
  <c r="AY26" i="140"/>
  <c r="AX76" i="140" s="1"/>
  <c r="AT26" i="140"/>
  <c r="AX26" i="140"/>
  <c r="BB25" i="140" l="1"/>
  <c r="AX225" i="140" s="1"/>
  <c r="AT25" i="140"/>
  <c r="BE25" i="140"/>
  <c r="AX375" i="140" s="1"/>
  <c r="BD25" i="140"/>
  <c r="AX325" i="140" s="1"/>
  <c r="BC25" i="140"/>
  <c r="AX275" i="140" s="1"/>
  <c r="AX25" i="140"/>
  <c r="BE24" i="140" l="1"/>
  <c r="AX374" i="140" s="1"/>
  <c r="BD24" i="140"/>
  <c r="AX324" i="140" s="1"/>
  <c r="BC24" i="140"/>
  <c r="AX274" i="140" s="1"/>
  <c r="BB24" i="140"/>
  <c r="AX224" i="140" s="1"/>
  <c r="AY24" i="140"/>
  <c r="AX74" i="140" s="1"/>
  <c r="M74" i="140" s="1"/>
  <c r="AT24" i="140"/>
  <c r="AX24" i="140"/>
  <c r="BB23" i="140" l="1"/>
  <c r="AX223" i="140" s="1"/>
  <c r="AT23" i="140"/>
  <c r="BE23" i="140"/>
  <c r="AX373" i="140" s="1"/>
  <c r="BD23" i="140"/>
  <c r="AX323" i="140" s="1"/>
  <c r="BC23" i="140"/>
  <c r="AX273" i="140" s="1"/>
  <c r="AX23" i="140"/>
  <c r="BB22" i="140" l="1"/>
  <c r="AX222" i="140" s="1"/>
  <c r="AT22" i="140"/>
  <c r="BE22" i="140"/>
  <c r="AX372" i="140" s="1"/>
  <c r="BD22" i="140"/>
  <c r="AX322" i="140" s="1"/>
  <c r="BC22" i="140"/>
  <c r="AX272" i="140" s="1"/>
  <c r="AX22" i="140"/>
  <c r="BB21" i="140" l="1"/>
  <c r="AX221" i="140" s="1"/>
  <c r="AT21" i="140"/>
  <c r="BE21" i="140"/>
  <c r="AX371" i="140" s="1"/>
  <c r="BD21" i="140"/>
  <c r="AX321" i="140" s="1"/>
  <c r="BC21" i="140"/>
  <c r="AX271" i="140" s="1"/>
  <c r="AX21" i="140"/>
  <c r="BC20" i="140" l="1"/>
  <c r="AX270" i="140" s="1"/>
  <c r="BB20" i="140"/>
  <c r="AX220" i="140" s="1"/>
  <c r="AT20" i="140"/>
  <c r="BE20" i="140"/>
  <c r="AX370" i="140" s="1"/>
  <c r="BD20" i="140"/>
  <c r="AX320" i="140" s="1"/>
  <c r="AX20" i="140"/>
  <c r="BB19" i="140" l="1"/>
  <c r="AX219" i="140" s="1"/>
  <c r="AT19" i="140"/>
  <c r="BE19" i="140"/>
  <c r="AX369" i="140" s="1"/>
  <c r="BD19" i="140"/>
  <c r="AX319" i="140" s="1"/>
  <c r="BC19" i="140"/>
  <c r="AX269" i="140" s="1"/>
  <c r="AX19" i="140"/>
  <c r="BB18" i="140" l="1"/>
  <c r="AX218" i="140" s="1"/>
  <c r="AT18" i="140"/>
  <c r="BE18" i="140"/>
  <c r="AX368" i="140" s="1"/>
  <c r="BD18" i="140"/>
  <c r="AX318" i="140" s="1"/>
  <c r="BC18" i="140"/>
  <c r="AX268" i="140" s="1"/>
  <c r="AX18" i="140"/>
  <c r="BB17" i="140" l="1"/>
  <c r="AX217" i="140" s="1"/>
  <c r="AT17" i="140"/>
  <c r="BE17" i="140"/>
  <c r="AX367" i="140" s="1"/>
  <c r="BD17" i="140"/>
  <c r="AX317" i="140" s="1"/>
  <c r="BC17" i="140"/>
  <c r="AX267" i="140" s="1"/>
  <c r="AX17" i="140"/>
  <c r="BB16" i="140" l="1"/>
  <c r="AX216" i="140" s="1"/>
  <c r="AT16" i="140"/>
  <c r="BE16" i="140"/>
  <c r="AX366" i="140" s="1"/>
  <c r="BD16" i="140"/>
  <c r="AX316" i="140" s="1"/>
  <c r="BC16" i="140"/>
  <c r="AX266" i="140" s="1"/>
  <c r="AX16" i="140"/>
  <c r="BB15" i="140" l="1"/>
  <c r="AX215" i="140" s="1"/>
  <c r="AT15" i="140"/>
  <c r="BE15" i="140"/>
  <c r="AX365" i="140" s="1"/>
  <c r="BD15" i="140"/>
  <c r="AX315" i="140" s="1"/>
  <c r="BC15" i="140"/>
  <c r="AX265" i="140" s="1"/>
  <c r="AX15" i="140"/>
  <c r="BB14" i="140" l="1"/>
  <c r="AX214" i="140" s="1"/>
  <c r="AT14" i="140"/>
  <c r="BE14" i="140"/>
  <c r="AX364" i="140" s="1"/>
  <c r="BD14" i="140"/>
  <c r="AX314" i="140" s="1"/>
  <c r="BC14" i="140"/>
  <c r="AX264" i="140" s="1"/>
  <c r="AX14" i="140"/>
  <c r="BB13" i="140" l="1"/>
  <c r="AX213" i="140" s="1"/>
  <c r="AT13" i="140"/>
  <c r="BE13" i="140"/>
  <c r="AX363" i="140" s="1"/>
  <c r="BD13" i="140"/>
  <c r="AX313" i="140" s="1"/>
  <c r="BC13" i="140"/>
  <c r="AX263" i="140" s="1"/>
  <c r="AX13" i="140"/>
  <c r="BB12" i="140" l="1"/>
  <c r="AX212" i="140" s="1"/>
  <c r="AT12" i="140"/>
  <c r="BE12" i="140"/>
  <c r="AX362" i="140" s="1"/>
  <c r="BD12" i="140"/>
  <c r="AX312" i="140" s="1"/>
  <c r="BC12" i="140"/>
  <c r="AX262" i="140" s="1"/>
  <c r="AX12" i="140" l="1"/>
  <c r="C27" i="179" l="1"/>
  <c r="D27" i="179"/>
  <c r="E27" i="179"/>
  <c r="F27" i="179"/>
  <c r="G27" i="179"/>
  <c r="H27" i="179"/>
  <c r="I27" i="179"/>
  <c r="J27" i="179"/>
  <c r="K27" i="179"/>
  <c r="B27" i="179"/>
  <c r="BM1" i="179"/>
  <c r="BN1" i="179"/>
  <c r="BO1" i="179"/>
  <c r="BP1" i="179"/>
  <c r="BQ1" i="179"/>
  <c r="BR1" i="179"/>
  <c r="BS1" i="179"/>
  <c r="BT1" i="179"/>
  <c r="BU1" i="179"/>
  <c r="BL1" i="179"/>
  <c r="B2" i="179"/>
  <c r="Z66" i="179"/>
  <c r="T66" i="179"/>
  <c r="Z65" i="179"/>
  <c r="T65" i="179"/>
  <c r="Z64" i="179"/>
  <c r="T64" i="179"/>
  <c r="Z63" i="179"/>
  <c r="T63" i="179"/>
  <c r="Z62" i="179"/>
  <c r="T62" i="179"/>
  <c r="Z61" i="179"/>
  <c r="T61" i="179"/>
  <c r="Z60" i="179"/>
  <c r="T60" i="179"/>
  <c r="Z59" i="179"/>
  <c r="T59" i="179"/>
  <c r="Z58" i="179"/>
  <c r="T58" i="179"/>
  <c r="Z57" i="179"/>
  <c r="T57" i="179"/>
  <c r="Z56" i="179"/>
  <c r="T56" i="179"/>
  <c r="Z55" i="179"/>
  <c r="T55" i="179"/>
  <c r="Z54" i="179"/>
  <c r="T54" i="179"/>
  <c r="Z53" i="179"/>
  <c r="T53" i="179"/>
  <c r="Z52" i="179"/>
  <c r="T52" i="179"/>
  <c r="Z51" i="179"/>
  <c r="T51" i="179"/>
  <c r="Z50" i="179"/>
  <c r="T50" i="179"/>
  <c r="Z49" i="179"/>
  <c r="T49" i="179"/>
  <c r="Z48" i="179"/>
  <c r="T48" i="179"/>
  <c r="Z47" i="179"/>
  <c r="T47" i="179"/>
  <c r="Z46" i="179"/>
  <c r="T46" i="179"/>
  <c r="Z45" i="179"/>
  <c r="T45" i="179"/>
  <c r="Z44" i="179"/>
  <c r="T44" i="179"/>
  <c r="Z43" i="179"/>
  <c r="T43" i="179"/>
  <c r="Z42" i="179"/>
  <c r="T42" i="179"/>
  <c r="Z41" i="179"/>
  <c r="T41" i="179"/>
  <c r="Z40" i="179"/>
  <c r="T40" i="179"/>
  <c r="Z39" i="179"/>
  <c r="T39" i="179"/>
  <c r="Z38" i="179"/>
  <c r="T38" i="179"/>
  <c r="Z37" i="179"/>
  <c r="T37" i="179"/>
  <c r="Z36" i="179"/>
  <c r="T36" i="179"/>
  <c r="Z35" i="179"/>
  <c r="T35" i="179"/>
  <c r="Z34" i="179"/>
  <c r="T34" i="179"/>
  <c r="Z33" i="179"/>
  <c r="T33" i="179"/>
  <c r="Z32" i="179"/>
  <c r="T32" i="179"/>
  <c r="Z31" i="179"/>
  <c r="T31" i="179"/>
  <c r="Z30" i="179"/>
  <c r="T30" i="179"/>
  <c r="Z29" i="179"/>
  <c r="T29" i="179"/>
  <c r="Z28" i="179"/>
  <c r="T28" i="179"/>
  <c r="Z27" i="179"/>
  <c r="T27" i="179"/>
  <c r="Z26" i="179"/>
  <c r="T26" i="179"/>
  <c r="Z25" i="179"/>
  <c r="T25" i="179"/>
  <c r="Z24" i="179"/>
  <c r="T24" i="179"/>
  <c r="Z23" i="179"/>
  <c r="T23" i="179"/>
  <c r="Z22" i="179"/>
  <c r="T22" i="179"/>
  <c r="Z21" i="179"/>
  <c r="T21" i="179"/>
  <c r="Z20" i="179"/>
  <c r="T20" i="179"/>
  <c r="Z19" i="179"/>
  <c r="T19" i="179"/>
  <c r="Z18" i="179"/>
  <c r="T18" i="179"/>
  <c r="Z17" i="179"/>
  <c r="T17" i="179"/>
  <c r="Z16" i="179"/>
  <c r="T16" i="179"/>
  <c r="Z15" i="179"/>
  <c r="T15" i="179"/>
  <c r="Z14" i="179"/>
  <c r="T14" i="179"/>
  <c r="Z13" i="179"/>
  <c r="T13" i="179"/>
  <c r="Z12" i="179"/>
  <c r="T12" i="179"/>
  <c r="Z11" i="179"/>
  <c r="T11" i="179"/>
  <c r="Z10" i="179"/>
  <c r="T10" i="179"/>
  <c r="Z9" i="179"/>
  <c r="T9" i="179"/>
  <c r="Z8" i="179"/>
  <c r="T8" i="179"/>
  <c r="Z7" i="179"/>
  <c r="T7" i="179"/>
  <c r="Z6" i="179"/>
  <c r="T6" i="179"/>
  <c r="Z5" i="179"/>
  <c r="T5" i="179"/>
  <c r="Z4" i="179"/>
  <c r="T4" i="179"/>
  <c r="Z3" i="179"/>
  <c r="T3" i="179"/>
  <c r="Z2" i="179"/>
  <c r="T2" i="179"/>
  <c r="JM1" i="179"/>
  <c r="JL1" i="179"/>
  <c r="JK1" i="179"/>
  <c r="JJ1" i="179"/>
  <c r="JI1" i="179"/>
  <c r="JH1" i="179"/>
  <c r="JG1" i="179"/>
  <c r="JF1" i="179"/>
  <c r="JE1" i="179"/>
  <c r="U68" i="179" l="1"/>
  <c r="T68" i="179"/>
  <c r="V28" i="121" l="1"/>
  <c r="V37" i="140" l="1"/>
  <c r="V41" i="140"/>
  <c r="V43" i="140"/>
  <c r="V52" i="140"/>
  <c r="V51" i="140"/>
  <c r="V53" i="140"/>
  <c r="V50" i="140"/>
  <c r="AZ50" i="140" s="1"/>
  <c r="AX150" i="140" s="1"/>
  <c r="V47" i="140"/>
  <c r="V46" i="140"/>
  <c r="V42" i="140"/>
  <c r="V40" i="140"/>
  <c r="V39" i="140"/>
  <c r="V29" i="140"/>
  <c r="V25" i="140"/>
  <c r="W48" i="175"/>
  <c r="W47" i="175"/>
  <c r="E47" i="175"/>
  <c r="W46" i="175"/>
  <c r="E46" i="175"/>
  <c r="W45" i="175"/>
  <c r="E45" i="175"/>
  <c r="W44" i="175"/>
  <c r="E44" i="175"/>
  <c r="W43" i="175"/>
  <c r="E43" i="175"/>
  <c r="D43" i="175"/>
  <c r="D44" i="175" s="1"/>
  <c r="D45" i="175" s="1"/>
  <c r="D46" i="175" s="1"/>
  <c r="D47" i="175" s="1"/>
  <c r="W42" i="175"/>
  <c r="E42" i="175"/>
  <c r="W41" i="175"/>
  <c r="E41" i="175"/>
  <c r="W40" i="175"/>
  <c r="E40" i="175"/>
  <c r="W39" i="175"/>
  <c r="E39" i="175"/>
  <c r="D39" i="175"/>
  <c r="W38" i="175"/>
  <c r="E38" i="175"/>
  <c r="W37" i="175"/>
  <c r="E37" i="175"/>
  <c r="W36" i="175"/>
  <c r="E36" i="175"/>
  <c r="W35" i="175"/>
  <c r="E35" i="175"/>
  <c r="D35" i="175"/>
  <c r="W34" i="175"/>
  <c r="E34" i="175"/>
  <c r="W33" i="175"/>
  <c r="E33" i="175"/>
  <c r="W32" i="175"/>
  <c r="E32" i="175"/>
  <c r="W31" i="175"/>
  <c r="E31" i="175"/>
  <c r="D31" i="175"/>
  <c r="W30" i="175"/>
  <c r="E30" i="175"/>
  <c r="W29" i="175"/>
  <c r="E29" i="175"/>
  <c r="W28" i="175"/>
  <c r="E28" i="175"/>
  <c r="W27" i="175"/>
  <c r="E27" i="175"/>
  <c r="D27" i="175"/>
  <c r="W26" i="175"/>
  <c r="E26" i="175"/>
  <c r="W25" i="175"/>
  <c r="E25" i="175"/>
  <c r="W24" i="175"/>
  <c r="E24" i="175"/>
  <c r="W23" i="175"/>
  <c r="E23" i="175"/>
  <c r="D23" i="175"/>
  <c r="W22" i="175"/>
  <c r="E22" i="175"/>
  <c r="W21" i="175"/>
  <c r="E21" i="175"/>
  <c r="W20" i="175"/>
  <c r="E20" i="175"/>
  <c r="W19" i="175"/>
  <c r="E19" i="175"/>
  <c r="D19" i="175"/>
  <c r="W18" i="175"/>
  <c r="E18" i="175"/>
  <c r="W17" i="175"/>
  <c r="E17" i="175"/>
  <c r="W16" i="175"/>
  <c r="E16" i="175"/>
  <c r="W15" i="175"/>
  <c r="E15" i="175"/>
  <c r="D15" i="175"/>
  <c r="W14" i="175"/>
  <c r="E14" i="175"/>
  <c r="W13" i="175"/>
  <c r="E13" i="175"/>
  <c r="W12" i="175"/>
  <c r="E12" i="175"/>
  <c r="W11" i="175"/>
  <c r="E11" i="175"/>
  <c r="D11" i="175"/>
  <c r="W10" i="175"/>
  <c r="E10" i="175"/>
  <c r="W9" i="175"/>
  <c r="E9" i="175"/>
  <c r="W8" i="175"/>
  <c r="E8" i="175"/>
  <c r="AZ7" i="175"/>
  <c r="B54" i="175" s="1"/>
  <c r="W7" i="175"/>
  <c r="E7" i="175"/>
  <c r="D7" i="175"/>
  <c r="D6" i="175" s="1"/>
  <c r="D5" i="175" s="1"/>
  <c r="D4" i="175" s="1"/>
  <c r="W6" i="175"/>
  <c r="E6" i="175"/>
  <c r="AB5" i="175"/>
  <c r="AE5" i="175" s="1"/>
  <c r="W5" i="175"/>
  <c r="E5" i="175"/>
  <c r="AB4" i="175"/>
  <c r="AE4" i="175" s="1"/>
  <c r="AA4" i="175"/>
  <c r="W4" i="175"/>
  <c r="E4" i="175"/>
  <c r="AG3" i="175"/>
  <c r="AH3" i="175" s="1"/>
  <c r="Z3" i="175" s="1"/>
  <c r="AB3" i="175"/>
  <c r="AE3" i="175" s="1"/>
  <c r="AA3" i="175"/>
  <c r="E3" i="175"/>
  <c r="E2" i="175"/>
  <c r="B3" i="174"/>
  <c r="B4" i="174"/>
  <c r="B5" i="174"/>
  <c r="B6" i="174"/>
  <c r="B7" i="174"/>
  <c r="B8" i="174"/>
  <c r="B9" i="174"/>
  <c r="B10" i="174"/>
  <c r="B11" i="174"/>
  <c r="B12" i="174"/>
  <c r="B13" i="174"/>
  <c r="B14" i="174"/>
  <c r="B15" i="174"/>
  <c r="B16" i="174"/>
  <c r="B17" i="174"/>
  <c r="B18" i="174"/>
  <c r="B19" i="174"/>
  <c r="B20" i="174"/>
  <c r="B21" i="174"/>
  <c r="B2" i="174"/>
  <c r="D4" i="174"/>
  <c r="D5" i="174" s="1"/>
  <c r="D6" i="174" s="1"/>
  <c r="D7" i="174" s="1"/>
  <c r="D8" i="174" s="1"/>
  <c r="D9" i="174" s="1"/>
  <c r="D10" i="174" s="1"/>
  <c r="D11" i="174" s="1"/>
  <c r="D12" i="174" s="1"/>
  <c r="D13" i="174" s="1"/>
  <c r="D14" i="174" s="1"/>
  <c r="D15" i="174" s="1"/>
  <c r="D16" i="174" s="1"/>
  <c r="D17" i="174" s="1"/>
  <c r="D18" i="174" s="1"/>
  <c r="D19" i="174" s="1"/>
  <c r="D20" i="174" s="1"/>
  <c r="D21" i="174" s="1"/>
  <c r="D22" i="174" s="1"/>
  <c r="D23" i="174" s="1"/>
  <c r="D24" i="174" s="1"/>
  <c r="D25" i="174" s="1"/>
  <c r="D26" i="174" s="1"/>
  <c r="D27" i="174" s="1"/>
  <c r="D28" i="174" s="1"/>
  <c r="D29" i="174" s="1"/>
  <c r="D30" i="174" s="1"/>
  <c r="D31" i="174" s="1"/>
  <c r="D32" i="174" s="1"/>
  <c r="D33" i="174" s="1"/>
  <c r="D34" i="174" s="1"/>
  <c r="D35" i="174" s="1"/>
  <c r="D36" i="174" s="1"/>
  <c r="D37" i="174" s="1"/>
  <c r="D38" i="174" s="1"/>
  <c r="D39" i="174" s="1"/>
  <c r="D40" i="174" s="1"/>
  <c r="D41" i="174" s="1"/>
  <c r="D42" i="174" s="1"/>
  <c r="D43" i="174" s="1"/>
  <c r="D44" i="174" s="1"/>
  <c r="D45" i="174" s="1"/>
  <c r="D46" i="174" s="1"/>
  <c r="D47" i="174" s="1"/>
  <c r="D48" i="174" s="1"/>
  <c r="D49" i="174" s="1"/>
  <c r="D50" i="174" s="1"/>
  <c r="D51" i="174" s="1"/>
  <c r="D52" i="174" s="1"/>
  <c r="D53" i="174" s="1"/>
  <c r="D54" i="174" s="1"/>
  <c r="D55" i="174" s="1"/>
  <c r="D56" i="174" s="1"/>
  <c r="D57" i="174" s="1"/>
  <c r="D58" i="174" s="1"/>
  <c r="D59" i="174" s="1"/>
  <c r="D60" i="174" s="1"/>
  <c r="D61" i="174" s="1"/>
  <c r="D62" i="174" s="1"/>
  <c r="D63" i="174" s="1"/>
  <c r="D64" i="174" s="1"/>
  <c r="D65" i="174" s="1"/>
  <c r="D66" i="174" s="1"/>
  <c r="D67" i="174" s="1"/>
  <c r="D68" i="174" s="1"/>
  <c r="D69" i="174" s="1"/>
  <c r="D70" i="174" s="1"/>
  <c r="D71" i="174" s="1"/>
  <c r="D72" i="174" s="1"/>
  <c r="D73" i="174" s="1"/>
  <c r="D74" i="174" s="1"/>
  <c r="D75" i="174" s="1"/>
  <c r="D76" i="174" s="1"/>
  <c r="D77" i="174" s="1"/>
  <c r="D78" i="174" s="1"/>
  <c r="D79" i="174" s="1"/>
  <c r="D80" i="174" s="1"/>
  <c r="D81" i="174" s="1"/>
  <c r="D3" i="174"/>
  <c r="W32" i="140" a="1"/>
  <c r="W48" i="140" a="1"/>
  <c r="W55" i="140" a="1"/>
  <c r="W51" i="140" a="1"/>
  <c r="W34" i="140" a="1"/>
  <c r="W28" i="140" a="1"/>
  <c r="W23" i="140" a="1"/>
  <c r="W20" i="140" a="1"/>
  <c r="W24" i="140" a="1"/>
  <c r="W43" i="140" a="1"/>
  <c r="W45" i="140" a="1"/>
  <c r="W36" i="140" a="1"/>
  <c r="W29" i="140" a="1"/>
  <c r="W15" i="140" a="1"/>
  <c r="W39" i="140" a="1"/>
  <c r="W53" i="140" a="1"/>
  <c r="W49" i="140" a="1"/>
  <c r="W12" i="140" a="1"/>
  <c r="W17" i="140" a="1"/>
  <c r="W27" i="140" a="1"/>
  <c r="W25" i="140" a="1"/>
  <c r="W50" i="140" a="1"/>
  <c r="W40" i="140" a="1"/>
  <c r="W47" i="140" a="1"/>
  <c r="W35" i="140" a="1"/>
  <c r="W14" i="140" a="1"/>
  <c r="W18" i="140" a="1"/>
  <c r="W16" i="140" a="1"/>
  <c r="W44" i="140" a="1"/>
  <c r="W30" i="140" a="1"/>
  <c r="W13" i="140" a="1"/>
  <c r="W21" i="140" a="1"/>
  <c r="W42" i="140" a="1"/>
  <c r="W41" i="140" a="1"/>
  <c r="W33" i="140" a="1"/>
  <c r="W37" i="140" a="1"/>
  <c r="W31" i="140" a="1"/>
  <c r="W22" i="140" a="1"/>
  <c r="W26" i="140" a="1"/>
  <c r="W19" i="140" a="1"/>
  <c r="W52" i="140" a="1"/>
  <c r="V56" i="140" l="1"/>
  <c r="W56" i="140"/>
  <c r="V38" i="140"/>
  <c r="W25" i="140"/>
  <c r="W41" i="140"/>
  <c r="W36" i="140"/>
  <c r="W35" i="140"/>
  <c r="W34" i="140"/>
  <c r="W33" i="140"/>
  <c r="W32" i="140"/>
  <c r="W31" i="140"/>
  <c r="W30" i="140"/>
  <c r="W39" i="140"/>
  <c r="W42" i="140"/>
  <c r="W45" i="140"/>
  <c r="W44" i="140"/>
  <c r="W52" i="140"/>
  <c r="W37" i="140"/>
  <c r="W43" i="140"/>
  <c r="W55" i="140"/>
  <c r="W49" i="140"/>
  <c r="W48" i="140"/>
  <c r="W24" i="140"/>
  <c r="W23" i="140"/>
  <c r="W50" i="140"/>
  <c r="W22" i="140"/>
  <c r="W21" i="140"/>
  <c r="W20" i="140"/>
  <c r="W53" i="140"/>
  <c r="W28" i="140"/>
  <c r="W27" i="140"/>
  <c r="W26" i="140"/>
  <c r="W40" i="140"/>
  <c r="W51" i="140"/>
  <c r="W47" i="140"/>
  <c r="W29" i="140"/>
  <c r="W19" i="140"/>
  <c r="W18" i="140"/>
  <c r="W17" i="140"/>
  <c r="W16" i="140"/>
  <c r="W15" i="140"/>
  <c r="W14" i="140"/>
  <c r="W13" i="140"/>
  <c r="W12" i="140"/>
  <c r="AZ40" i="140"/>
  <c r="AX140" i="140" s="1"/>
  <c r="V22" i="140"/>
  <c r="V21" i="140"/>
  <c r="V20" i="140"/>
  <c r="V49" i="140"/>
  <c r="V48" i="140"/>
  <c r="AZ42" i="140"/>
  <c r="AX142" i="140" s="1"/>
  <c r="AZ52" i="140"/>
  <c r="AX152" i="140" s="1"/>
  <c r="AZ37" i="140"/>
  <c r="AX137" i="140" s="1"/>
  <c r="AZ46" i="140"/>
  <c r="AX146" i="140" s="1"/>
  <c r="V24" i="140"/>
  <c r="V23" i="140"/>
  <c r="V28" i="140"/>
  <c r="V27" i="140"/>
  <c r="V26" i="140"/>
  <c r="V55" i="140"/>
  <c r="V54" i="140"/>
  <c r="AZ41" i="140"/>
  <c r="AX141" i="140" s="1"/>
  <c r="AZ29" i="140"/>
  <c r="AX129" i="140" s="1"/>
  <c r="AZ47" i="140"/>
  <c r="AX147" i="140" s="1"/>
  <c r="AZ53" i="140"/>
  <c r="AX153" i="140" s="1"/>
  <c r="V36" i="140"/>
  <c r="V35" i="140"/>
  <c r="V34" i="140"/>
  <c r="V33" i="140"/>
  <c r="V32" i="140"/>
  <c r="V31" i="140"/>
  <c r="V30" i="140"/>
  <c r="V45" i="140"/>
  <c r="V44" i="140"/>
  <c r="AZ43" i="140"/>
  <c r="AX143" i="140" s="1"/>
  <c r="AZ25" i="140"/>
  <c r="AX125" i="140" s="1"/>
  <c r="AZ39" i="140"/>
  <c r="AX139" i="140" s="1"/>
  <c r="V19" i="140"/>
  <c r="V18" i="140"/>
  <c r="V17" i="140"/>
  <c r="V16" i="140"/>
  <c r="V15" i="140"/>
  <c r="V14" i="140"/>
  <c r="V13" i="140"/>
  <c r="V12" i="140"/>
  <c r="D36" i="175"/>
  <c r="D37" i="175" s="1"/>
  <c r="D38" i="175" s="1"/>
  <c r="D16" i="175"/>
  <c r="D17" i="175" s="1"/>
  <c r="D18" i="175" s="1"/>
  <c r="D24" i="175"/>
  <c r="D25" i="175" s="1"/>
  <c r="D26" i="175" s="1"/>
  <c r="D12" i="175"/>
  <c r="D13" i="175" s="1"/>
  <c r="D14" i="175" s="1"/>
  <c r="D32" i="175"/>
  <c r="D33" i="175" s="1"/>
  <c r="D34" i="175" s="1"/>
  <c r="D20" i="175"/>
  <c r="D21" i="175" s="1"/>
  <c r="D22" i="175" s="1"/>
  <c r="D28" i="175"/>
  <c r="D29" i="175" s="1"/>
  <c r="D30" i="175" s="1"/>
  <c r="AF4" i="175"/>
  <c r="AG4" i="175" s="1"/>
  <c r="AF5" i="175"/>
  <c r="D8" i="175"/>
  <c r="D9" i="175" s="1"/>
  <c r="D10" i="175" s="1"/>
  <c r="AZ11" i="175"/>
  <c r="D40" i="175"/>
  <c r="D41" i="175" s="1"/>
  <c r="D42" i="175" s="1"/>
  <c r="BA45" i="140" l="1"/>
  <c r="AX195" i="140" s="1"/>
  <c r="BA38" i="140"/>
  <c r="AX188" i="140" s="1"/>
  <c r="BA56" i="140"/>
  <c r="AX206" i="140" s="1"/>
  <c r="BA21" i="140"/>
  <c r="AX171" i="140" s="1"/>
  <c r="BA33" i="140"/>
  <c r="AX183" i="140" s="1"/>
  <c r="BA53" i="140"/>
  <c r="AX203" i="140" s="1"/>
  <c r="BA39" i="140"/>
  <c r="AX189" i="140" s="1"/>
  <c r="BA22" i="140"/>
  <c r="AX172" i="140" s="1"/>
  <c r="BA31" i="140"/>
  <c r="AX181" i="140" s="1"/>
  <c r="BA16" i="140"/>
  <c r="AX166" i="140" s="1"/>
  <c r="BA17" i="140"/>
  <c r="AX167" i="140" s="1"/>
  <c r="BA18" i="140"/>
  <c r="AX168" i="140" s="1"/>
  <c r="BA19" i="140"/>
  <c r="AX169" i="140" s="1"/>
  <c r="BA49" i="140"/>
  <c r="AX199" i="140" s="1"/>
  <c r="BA29" i="140"/>
  <c r="AX179" i="140" s="1"/>
  <c r="BA36" i="140"/>
  <c r="AX186" i="140" s="1"/>
  <c r="BA47" i="140"/>
  <c r="AX197" i="140" s="1"/>
  <c r="BA43" i="140"/>
  <c r="AX193" i="140" s="1"/>
  <c r="BA48" i="140"/>
  <c r="AX198" i="140" s="1"/>
  <c r="BA35" i="140"/>
  <c r="AX185" i="140" s="1"/>
  <c r="BA37" i="140"/>
  <c r="AX187" i="140" s="1"/>
  <c r="BA20" i="140"/>
  <c r="AX170" i="140" s="1"/>
  <c r="BA13" i="140"/>
  <c r="AX163" i="140" s="1"/>
  <c r="BA14" i="140"/>
  <c r="AX164" i="140" s="1"/>
  <c r="BA32" i="140"/>
  <c r="AX182" i="140" s="1"/>
  <c r="BA34" i="140"/>
  <c r="AX184" i="140" s="1"/>
  <c r="BA25" i="140"/>
  <c r="AX175" i="140" s="1"/>
  <c r="BA26" i="140"/>
  <c r="AX176" i="140" s="1"/>
  <c r="BA27" i="140"/>
  <c r="AX177" i="140" s="1"/>
  <c r="BA52" i="140"/>
  <c r="AX202" i="140" s="1"/>
  <c r="BA42" i="140"/>
  <c r="AX192" i="140" s="1"/>
  <c r="BA30" i="140"/>
  <c r="AX180" i="140" s="1"/>
  <c r="BA15" i="140"/>
  <c r="AX165" i="140" s="1"/>
  <c r="BA23" i="140"/>
  <c r="AX173" i="140" s="1"/>
  <c r="BA24" i="140"/>
  <c r="AX174" i="140" s="1"/>
  <c r="BA41" i="140"/>
  <c r="AX191" i="140" s="1"/>
  <c r="BA55" i="140"/>
  <c r="AX205" i="140" s="1"/>
  <c r="BA40" i="140"/>
  <c r="AX190" i="140" s="1"/>
  <c r="BA28" i="140"/>
  <c r="AX178" i="140" s="1"/>
  <c r="BA44" i="140"/>
  <c r="AX194" i="140" s="1"/>
  <c r="AZ38" i="140"/>
  <c r="AX138" i="140" s="1"/>
  <c r="AZ56" i="140"/>
  <c r="AX156" i="140" s="1"/>
  <c r="AZ24" i="140"/>
  <c r="AX124" i="140" s="1"/>
  <c r="AZ36" i="140"/>
  <c r="AX136" i="140" s="1"/>
  <c r="AZ55" i="140"/>
  <c r="AX155" i="140" s="1"/>
  <c r="AZ26" i="140"/>
  <c r="AX126" i="140" s="1"/>
  <c r="AZ28" i="140"/>
  <c r="AX128" i="140" s="1"/>
  <c r="AZ21" i="140"/>
  <c r="AX121" i="140" s="1"/>
  <c r="AZ34" i="140"/>
  <c r="AX134" i="140" s="1"/>
  <c r="AZ30" i="140"/>
  <c r="AX130" i="140" s="1"/>
  <c r="AZ32" i="140"/>
  <c r="AX132" i="140" s="1"/>
  <c r="AZ23" i="140"/>
  <c r="AX123" i="140" s="1"/>
  <c r="AZ31" i="140"/>
  <c r="AX131" i="140" s="1"/>
  <c r="AZ27" i="140"/>
  <c r="AX127" i="140" s="1"/>
  <c r="AZ33" i="140"/>
  <c r="AX133" i="140" s="1"/>
  <c r="AZ35" i="140"/>
  <c r="AX135" i="140" s="1"/>
  <c r="AZ20" i="140"/>
  <c r="AX120" i="140" s="1"/>
  <c r="AZ22" i="140"/>
  <c r="AX122" i="140" s="1"/>
  <c r="AZ44" i="140"/>
  <c r="AX144" i="140" s="1"/>
  <c r="AZ48" i="140"/>
  <c r="AX148" i="140" s="1"/>
  <c r="AZ45" i="140"/>
  <c r="AX145" i="140" s="1"/>
  <c r="AZ49" i="140"/>
  <c r="AX149" i="140" s="1"/>
  <c r="AZ17" i="140"/>
  <c r="AX117" i="140" s="1"/>
  <c r="AZ13" i="140"/>
  <c r="AX113" i="140" s="1"/>
  <c r="AZ19" i="140"/>
  <c r="AX119" i="140" s="1"/>
  <c r="AZ12" i="140"/>
  <c r="AX112" i="140" s="1"/>
  <c r="AZ14" i="140"/>
  <c r="AX114" i="140" s="1"/>
  <c r="AZ16" i="140"/>
  <c r="AX116" i="140" s="1"/>
  <c r="AZ15" i="140"/>
  <c r="AX115" i="140" s="1"/>
  <c r="AZ18" i="140"/>
  <c r="AX118" i="140" s="1"/>
  <c r="C54" i="175"/>
  <c r="AZ15" i="175"/>
  <c r="AH4" i="175"/>
  <c r="AG5" i="175"/>
  <c r="BA54" i="140" l="1"/>
  <c r="AX204" i="140" s="1"/>
  <c r="M45" i="140"/>
  <c r="BA12" i="140"/>
  <c r="AX162" i="140" s="1"/>
  <c r="M48" i="140"/>
  <c r="M29" i="140"/>
  <c r="BA50" i="140"/>
  <c r="AX200" i="140" s="1"/>
  <c r="M49" i="140"/>
  <c r="M24" i="140"/>
  <c r="M27" i="140"/>
  <c r="M28" i="140"/>
  <c r="M26" i="140"/>
  <c r="BA46" i="140"/>
  <c r="AX196" i="140" s="1"/>
  <c r="M43" i="140"/>
  <c r="Z4" i="175"/>
  <c r="AH5" i="175"/>
  <c r="Z5" i="175" s="1"/>
  <c r="D54" i="175"/>
  <c r="AZ19" i="175"/>
  <c r="E54" i="175" l="1"/>
  <c r="AZ23" i="175"/>
  <c r="F54" i="175" l="1"/>
  <c r="AZ27" i="175"/>
  <c r="G54" i="175" l="1"/>
  <c r="AZ31" i="175"/>
  <c r="H54" i="175" s="1"/>
  <c r="G11" i="151" l="1"/>
  <c r="B2" i="79" l="1"/>
  <c r="B3" i="79"/>
  <c r="B4" i="79"/>
  <c r="B5" i="79"/>
  <c r="B6" i="79"/>
  <c r="B7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33" i="79"/>
  <c r="B34" i="79"/>
  <c r="B35" i="79"/>
  <c r="B36" i="79"/>
  <c r="B37" i="79"/>
  <c r="B38" i="79"/>
  <c r="B39" i="79"/>
  <c r="B40" i="79"/>
  <c r="B41" i="79"/>
  <c r="B42" i="79"/>
  <c r="B43" i="79"/>
  <c r="B44" i="79"/>
  <c r="B45" i="79"/>
  <c r="B46" i="79"/>
  <c r="B47" i="79"/>
  <c r="B48" i="79"/>
  <c r="B49" i="79"/>
  <c r="B50" i="79"/>
  <c r="B51" i="79"/>
  <c r="B52" i="79"/>
  <c r="B53" i="79"/>
  <c r="B54" i="79"/>
  <c r="B55" i="79"/>
  <c r="B56" i="79"/>
  <c r="B57" i="79"/>
  <c r="B58" i="79"/>
  <c r="B59" i="79"/>
  <c r="B60" i="79"/>
  <c r="B61" i="79"/>
  <c r="B62" i="79"/>
  <c r="B63" i="79"/>
  <c r="B64" i="79"/>
  <c r="B65" i="79"/>
  <c r="B66" i="79"/>
  <c r="B67" i="79"/>
  <c r="B68" i="79"/>
  <c r="B69" i="79"/>
  <c r="B70" i="79"/>
  <c r="B71" i="79"/>
  <c r="B72" i="79"/>
  <c r="B73" i="79"/>
  <c r="B74" i="79"/>
  <c r="B75" i="79"/>
  <c r="B76" i="79"/>
  <c r="B77" i="79"/>
  <c r="B78" i="79"/>
  <c r="B79" i="79"/>
  <c r="B80" i="79"/>
  <c r="B81" i="79"/>
  <c r="B82" i="79"/>
  <c r="B83" i="79"/>
  <c r="B84" i="79"/>
  <c r="B85" i="79"/>
  <c r="B86" i="79"/>
  <c r="B87" i="79"/>
  <c r="B88" i="79"/>
  <c r="B89" i="79"/>
  <c r="B90" i="79"/>
  <c r="B91" i="79"/>
  <c r="B92" i="79"/>
  <c r="B93" i="79"/>
  <c r="B94" i="79"/>
  <c r="B95" i="79"/>
  <c r="B96" i="79"/>
  <c r="B97" i="79"/>
  <c r="B98" i="79"/>
  <c r="B99" i="79"/>
  <c r="B100" i="79"/>
  <c r="B101" i="79"/>
  <c r="B102" i="79"/>
  <c r="B103" i="79"/>
  <c r="B104" i="79"/>
  <c r="B105" i="79"/>
  <c r="B106" i="79"/>
  <c r="B107" i="79"/>
  <c r="B108" i="79"/>
  <c r="B109" i="79"/>
  <c r="B110" i="79"/>
  <c r="B111" i="79"/>
  <c r="B112" i="79"/>
  <c r="B113" i="79"/>
  <c r="B114" i="79"/>
  <c r="B115" i="79"/>
  <c r="B116" i="79"/>
  <c r="B117" i="79"/>
  <c r="B118" i="79"/>
  <c r="B119" i="79"/>
  <c r="B120" i="79"/>
  <c r="B121" i="79"/>
  <c r="B122" i="79"/>
  <c r="B123" i="79"/>
  <c r="B124" i="79"/>
  <c r="B125" i="79"/>
  <c r="B126" i="79"/>
  <c r="B127" i="79"/>
  <c r="B128" i="79"/>
  <c r="B129" i="79"/>
  <c r="B130" i="79"/>
  <c r="B131" i="79"/>
  <c r="B132" i="79"/>
  <c r="B133" i="79"/>
  <c r="B134" i="79"/>
  <c r="B135" i="79"/>
  <c r="B136" i="79"/>
  <c r="B137" i="79"/>
  <c r="B138" i="79"/>
  <c r="B139" i="79"/>
  <c r="B140" i="79"/>
  <c r="B141" i="79"/>
  <c r="B142" i="79"/>
  <c r="B143" i="79"/>
  <c r="B144" i="79"/>
  <c r="B145" i="79"/>
  <c r="B146" i="79"/>
  <c r="B147" i="79"/>
  <c r="B148" i="79"/>
  <c r="B149" i="79"/>
  <c r="B150" i="79"/>
  <c r="B151" i="79"/>
  <c r="B152" i="79"/>
  <c r="B153" i="79"/>
  <c r="B154" i="79"/>
  <c r="B155" i="79"/>
  <c r="B156" i="79"/>
  <c r="B157" i="79"/>
  <c r="B158" i="79"/>
  <c r="B159" i="79"/>
  <c r="B160" i="79"/>
  <c r="B161" i="79"/>
  <c r="B162" i="79"/>
  <c r="B163" i="79"/>
  <c r="B164" i="79"/>
  <c r="B165" i="79"/>
  <c r="B166" i="79"/>
  <c r="B167" i="79"/>
  <c r="B168" i="79"/>
  <c r="B169" i="79"/>
  <c r="B170" i="79"/>
  <c r="B171" i="79"/>
  <c r="B172" i="79"/>
  <c r="B173" i="79"/>
  <c r="B174" i="79"/>
  <c r="B175" i="79"/>
  <c r="B176" i="79"/>
  <c r="B177" i="79"/>
  <c r="B178" i="79"/>
  <c r="B179" i="79"/>
  <c r="B180" i="79"/>
  <c r="B181" i="79"/>
  <c r="B182" i="79"/>
  <c r="B183" i="79"/>
  <c r="B184" i="79"/>
  <c r="B185" i="79"/>
  <c r="B186" i="79"/>
  <c r="B187" i="79"/>
  <c r="B188" i="79"/>
  <c r="B189" i="79"/>
  <c r="B190" i="79"/>
  <c r="B191" i="79"/>
  <c r="B192" i="79"/>
  <c r="B193" i="79"/>
  <c r="C236" i="79"/>
  <c r="C237" i="79" s="1"/>
  <c r="E236" i="79"/>
  <c r="E237" i="79" s="1"/>
  <c r="B13" i="133"/>
  <c r="C2" i="152"/>
  <c r="B46" i="185"/>
  <c r="C3" i="152"/>
  <c r="B47" i="185"/>
  <c r="C4" i="152"/>
  <c r="B48" i="185"/>
  <c r="C5" i="152"/>
  <c r="B49" i="185"/>
  <c r="C6" i="152"/>
  <c r="B50" i="185"/>
  <c r="C7" i="152"/>
  <c r="B51" i="185"/>
  <c r="C8" i="152"/>
  <c r="B52" i="185"/>
  <c r="C9" i="152"/>
  <c r="B53" i="185"/>
  <c r="C10" i="152"/>
  <c r="C11" i="152"/>
  <c r="I11" i="152"/>
  <c r="I12" i="152" s="1"/>
  <c r="J11" i="152"/>
  <c r="J12" i="152" s="1"/>
  <c r="C12" i="152"/>
  <c r="B5" i="151"/>
  <c r="B36" i="185" s="1"/>
  <c r="B8" i="151"/>
  <c r="B39" i="185" s="1"/>
  <c r="G12" i="151"/>
  <c r="L12" i="151" s="1"/>
  <c r="M12" i="151" s="1"/>
  <c r="G13" i="151"/>
  <c r="L13" i="151" s="1"/>
  <c r="M13" i="151" s="1"/>
  <c r="G14" i="151"/>
  <c r="L14" i="151" s="1"/>
  <c r="M14" i="151" s="1"/>
  <c r="G15" i="151"/>
  <c r="L15" i="151" s="1"/>
  <c r="M15" i="151" s="1"/>
  <c r="G16" i="151"/>
  <c r="G17" i="151"/>
  <c r="L17" i="151" s="1"/>
  <c r="M17" i="151" s="1"/>
  <c r="G18" i="151"/>
  <c r="L18" i="151" s="1"/>
  <c r="M18" i="151" s="1"/>
  <c r="G19" i="151"/>
  <c r="L19" i="151" s="1"/>
  <c r="M19" i="151" s="1"/>
  <c r="G20" i="151"/>
  <c r="L20" i="151" s="1"/>
  <c r="M20" i="151" s="1"/>
  <c r="G21" i="151"/>
  <c r="L21" i="151" s="1"/>
  <c r="M21" i="151" s="1"/>
  <c r="G22" i="151"/>
  <c r="L22" i="151" s="1"/>
  <c r="M22" i="151" s="1"/>
  <c r="G23" i="151"/>
  <c r="L23" i="151" s="1"/>
  <c r="M23" i="151" s="1"/>
  <c r="G24" i="151"/>
  <c r="G25" i="151"/>
  <c r="L25" i="151" s="1"/>
  <c r="M25" i="151" s="1"/>
  <c r="G26" i="151"/>
  <c r="L26" i="151" s="1"/>
  <c r="M26" i="151" s="1"/>
  <c r="G27" i="151"/>
  <c r="L27" i="151" s="1"/>
  <c r="M27" i="151" s="1"/>
  <c r="G28" i="151"/>
  <c r="G29" i="151"/>
  <c r="L29" i="151" s="1"/>
  <c r="G30" i="151"/>
  <c r="L30" i="151" s="1"/>
  <c r="G31" i="151"/>
  <c r="L31" i="151" s="1"/>
  <c r="M31" i="151" s="1"/>
  <c r="G32" i="151"/>
  <c r="L32" i="151" s="1"/>
  <c r="M32" i="151" s="1"/>
  <c r="G33" i="151"/>
  <c r="G34" i="151"/>
  <c r="L34" i="151" s="1"/>
  <c r="M34" i="151" s="1"/>
  <c r="G35" i="151"/>
  <c r="L35" i="151" s="1"/>
  <c r="M35" i="151" s="1"/>
  <c r="G36" i="151"/>
  <c r="L36" i="151" s="1"/>
  <c r="M36" i="151" s="1"/>
  <c r="G37" i="151"/>
  <c r="L37" i="151" s="1"/>
  <c r="M37" i="151" s="1"/>
  <c r="G38" i="151"/>
  <c r="L38" i="151" s="1"/>
  <c r="M38" i="151" s="1"/>
  <c r="G39" i="151"/>
  <c r="L39" i="151" s="1"/>
  <c r="M39" i="151" s="1"/>
  <c r="G40" i="151"/>
  <c r="G41" i="151"/>
  <c r="G42" i="151"/>
  <c r="L42" i="151" s="1"/>
  <c r="M42" i="151" s="1"/>
  <c r="G43" i="151"/>
  <c r="L43" i="151" s="1"/>
  <c r="M43" i="151" s="1"/>
  <c r="G44" i="151"/>
  <c r="L44" i="151" s="1"/>
  <c r="M44" i="151" s="1"/>
  <c r="G45" i="151"/>
  <c r="L45" i="151" s="1"/>
  <c r="M45" i="151" s="1"/>
  <c r="G46" i="151"/>
  <c r="G47" i="151"/>
  <c r="L47" i="151" s="1"/>
  <c r="M47" i="151" s="1"/>
  <c r="G48" i="151"/>
  <c r="L48" i="151" s="1"/>
  <c r="M48" i="151" s="1"/>
  <c r="G49" i="151"/>
  <c r="L49" i="151" s="1"/>
  <c r="M49" i="151" s="1"/>
  <c r="G50" i="151"/>
  <c r="L50" i="151" s="1"/>
  <c r="M50" i="151" s="1"/>
  <c r="G51" i="151"/>
  <c r="L51" i="151" s="1"/>
  <c r="M51" i="151" s="1"/>
  <c r="G52" i="151"/>
  <c r="L52" i="151" s="1"/>
  <c r="M52" i="151" s="1"/>
  <c r="G53" i="151"/>
  <c r="L53" i="151" s="1"/>
  <c r="M53" i="151" s="1"/>
  <c r="G54" i="151"/>
  <c r="G55" i="151"/>
  <c r="L55" i="151" s="1"/>
  <c r="M55" i="151" s="1"/>
  <c r="G56" i="151"/>
  <c r="L56" i="151" s="1"/>
  <c r="G57" i="151"/>
  <c r="G58" i="151"/>
  <c r="L58" i="151" s="1"/>
  <c r="M58" i="151" s="1"/>
  <c r="G59" i="151"/>
  <c r="J59" i="151" s="1"/>
  <c r="G60" i="151"/>
  <c r="L60" i="151" s="1"/>
  <c r="M60" i="151" s="1"/>
  <c r="G61" i="151"/>
  <c r="L61" i="151" s="1"/>
  <c r="M61" i="151" s="1"/>
  <c r="G62" i="151"/>
  <c r="L62" i="151" s="1"/>
  <c r="M62" i="151" s="1"/>
  <c r="G63" i="151"/>
  <c r="G64" i="151"/>
  <c r="G65" i="151"/>
  <c r="L65" i="151" s="1"/>
  <c r="M65" i="151" s="1"/>
  <c r="G66" i="151"/>
  <c r="L66" i="151" s="1"/>
  <c r="M66" i="151" s="1"/>
  <c r="G67" i="151"/>
  <c r="L67" i="151" s="1"/>
  <c r="M67" i="151" s="1"/>
  <c r="G68" i="151"/>
  <c r="L68" i="151" s="1"/>
  <c r="M68" i="151" s="1"/>
  <c r="G69" i="151"/>
  <c r="L69" i="151" s="1"/>
  <c r="M69" i="151" s="1"/>
  <c r="G70" i="151"/>
  <c r="L70" i="151" s="1"/>
  <c r="M70" i="151" s="1"/>
  <c r="G71" i="151"/>
  <c r="G72" i="151"/>
  <c r="L72" i="151" s="1"/>
  <c r="M72" i="151" s="1"/>
  <c r="G73" i="151"/>
  <c r="G74" i="151"/>
  <c r="L74" i="151" s="1"/>
  <c r="M74" i="151" s="1"/>
  <c r="G75" i="151"/>
  <c r="L75" i="151" s="1"/>
  <c r="M75" i="151" s="1"/>
  <c r="H83" i="151"/>
  <c r="B3" i="133"/>
  <c r="Y3" i="133" s="1"/>
  <c r="B4" i="133"/>
  <c r="P3" i="133"/>
  <c r="Q3" i="133"/>
  <c r="B5" i="133"/>
  <c r="P4" i="133"/>
  <c r="Q4" i="133"/>
  <c r="B6" i="133"/>
  <c r="B7" i="133"/>
  <c r="B8" i="133"/>
  <c r="Y4" i="133" l="1"/>
  <c r="AI7" i="133"/>
  <c r="G52" i="133" s="1"/>
  <c r="B32" i="133"/>
  <c r="Y32" i="133" s="1"/>
  <c r="B45" i="185"/>
  <c r="B17" i="133"/>
  <c r="B31" i="133"/>
  <c r="Y31" i="133" s="1"/>
  <c r="B39" i="133"/>
  <c r="B36" i="133"/>
  <c r="Y36" i="133" s="1"/>
  <c r="B43" i="133"/>
  <c r="B25" i="133"/>
  <c r="Y25" i="133" s="1"/>
  <c r="B12" i="133"/>
  <c r="Y12" i="133" s="1"/>
  <c r="B47" i="133"/>
  <c r="B24" i="133"/>
  <c r="Y24" i="133" s="1"/>
  <c r="B28" i="133"/>
  <c r="Y6" i="133"/>
  <c r="Y7" i="133"/>
  <c r="J56" i="151"/>
  <c r="J25" i="151"/>
  <c r="J23" i="151"/>
  <c r="J27" i="151"/>
  <c r="L59" i="151"/>
  <c r="M59" i="151" s="1"/>
  <c r="L57" i="151"/>
  <c r="M57" i="151" s="1"/>
  <c r="J68" i="151"/>
  <c r="J47" i="151"/>
  <c r="G83" i="151"/>
  <c r="J83" i="151" s="1"/>
  <c r="J73" i="151"/>
  <c r="J60" i="151"/>
  <c r="J57" i="151"/>
  <c r="J40" i="151"/>
  <c r="J32" i="151"/>
  <c r="J15" i="151"/>
  <c r="J35" i="151"/>
  <c r="J13" i="151"/>
  <c r="J19" i="151"/>
  <c r="H12" i="152"/>
  <c r="B12" i="152" s="1"/>
  <c r="B29" i="133"/>
  <c r="B22" i="133"/>
  <c r="B18" i="133"/>
  <c r="B48" i="133"/>
  <c r="B37" i="133"/>
  <c r="B14" i="133"/>
  <c r="B26" i="133"/>
  <c r="B10" i="133"/>
  <c r="B41" i="133"/>
  <c r="B19" i="133"/>
  <c r="B34" i="133"/>
  <c r="H82" i="151"/>
  <c r="H76" i="151" s="1"/>
  <c r="B40" i="133"/>
  <c r="B9" i="133"/>
  <c r="B33" i="133"/>
  <c r="B44" i="133"/>
  <c r="B30" i="133"/>
  <c r="B23" i="133"/>
  <c r="B45" i="133"/>
  <c r="B38" i="133"/>
  <c r="B27" i="133"/>
  <c r="B15" i="133"/>
  <c r="B11" i="133"/>
  <c r="B10" i="151"/>
  <c r="B42" i="133"/>
  <c r="B20" i="133"/>
  <c r="B46" i="133"/>
  <c r="B35" i="133"/>
  <c r="B16" i="133"/>
  <c r="M30" i="151"/>
  <c r="J71" i="151"/>
  <c r="L71" i="151"/>
  <c r="M71" i="151" s="1"/>
  <c r="J66" i="151"/>
  <c r="J33" i="151"/>
  <c r="J16" i="151"/>
  <c r="L11" i="151"/>
  <c r="J20" i="151"/>
  <c r="G76" i="151"/>
  <c r="J12" i="151"/>
  <c r="J21" i="151"/>
  <c r="J49" i="151"/>
  <c r="Y5" i="133"/>
  <c r="J67" i="151"/>
  <c r="J72" i="151"/>
  <c r="J54" i="151"/>
  <c r="L54" i="151"/>
  <c r="M54" i="151" s="1"/>
  <c r="J75" i="151"/>
  <c r="J53" i="151"/>
  <c r="J61" i="151"/>
  <c r="J11" i="151"/>
  <c r="J70" i="151"/>
  <c r="J65" i="151"/>
  <c r="J43" i="151"/>
  <c r="J69" i="151"/>
  <c r="L64" i="151"/>
  <c r="M64" i="151" s="1"/>
  <c r="J48" i="151"/>
  <c r="J26" i="151"/>
  <c r="J39" i="151"/>
  <c r="J17" i="151"/>
  <c r="J22" i="151"/>
  <c r="Y13" i="133"/>
  <c r="Y8" i="133"/>
  <c r="AF8" i="133" s="1"/>
  <c r="J64" i="151"/>
  <c r="J31" i="151"/>
  <c r="J14" i="151"/>
  <c r="J28" i="151"/>
  <c r="J34" i="151"/>
  <c r="J44" i="151"/>
  <c r="J74" i="151"/>
  <c r="J63" i="151"/>
  <c r="J41" i="151"/>
  <c r="L41" i="151"/>
  <c r="M41" i="151" s="1"/>
  <c r="J58" i="151"/>
  <c r="J36" i="151"/>
  <c r="L73" i="151"/>
  <c r="M73" i="151" s="1"/>
  <c r="J62" i="151"/>
  <c r="J46" i="151"/>
  <c r="L40" i="151"/>
  <c r="M40" i="151" s="1"/>
  <c r="M56" i="151"/>
  <c r="L28" i="151"/>
  <c r="M28" i="151" s="1"/>
  <c r="J37" i="151"/>
  <c r="J50" i="151"/>
  <c r="J29" i="151"/>
  <c r="J42" i="151"/>
  <c r="J38" i="151"/>
  <c r="J55" i="151"/>
  <c r="J52" i="151"/>
  <c r="J30" i="151"/>
  <c r="J24" i="151"/>
  <c r="L24" i="151"/>
  <c r="M24" i="151" s="1"/>
  <c r="J51" i="151"/>
  <c r="J45" i="151"/>
  <c r="J18" i="151"/>
  <c r="M29" i="151"/>
  <c r="L63" i="151"/>
  <c r="M63" i="151" s="1"/>
  <c r="L46" i="151"/>
  <c r="M46" i="151" s="1"/>
  <c r="L33" i="151"/>
  <c r="M33" i="151" s="1"/>
  <c r="L16" i="151"/>
  <c r="M16" i="151" s="1"/>
  <c r="H11" i="152"/>
  <c r="B11" i="152" s="1"/>
  <c r="AI11" i="133" l="1"/>
  <c r="H52" i="133" s="1"/>
  <c r="Y17" i="133"/>
  <c r="AF17" i="133" s="1"/>
  <c r="Y39" i="133"/>
  <c r="B41" i="185"/>
  <c r="B28" i="185"/>
  <c r="Y28" i="133"/>
  <c r="Y21" i="133"/>
  <c r="Y43" i="133"/>
  <c r="Y47" i="133"/>
  <c r="AF12" i="133"/>
  <c r="B7" i="151"/>
  <c r="B38" i="185" s="1"/>
  <c r="B2" i="151"/>
  <c r="B33" i="185" s="1"/>
  <c r="Y15" i="133"/>
  <c r="Y14" i="133"/>
  <c r="Y38" i="133"/>
  <c r="Y30" i="133"/>
  <c r="Y29" i="133"/>
  <c r="Y22" i="133"/>
  <c r="Y44" i="133"/>
  <c r="Y45" i="133"/>
  <c r="Y33" i="133"/>
  <c r="Y18" i="133"/>
  <c r="Y9" i="133"/>
  <c r="AF13" i="133" s="1"/>
  <c r="Y40" i="133"/>
  <c r="Y37" i="133"/>
  <c r="Y16" i="133"/>
  <c r="AF16" i="133" s="1"/>
  <c r="Y46" i="133"/>
  <c r="Y35" i="133"/>
  <c r="Y20" i="133"/>
  <c r="Y34" i="133"/>
  <c r="Y23" i="133"/>
  <c r="Y19" i="133"/>
  <c r="Y42" i="133"/>
  <c r="Y41" i="133"/>
  <c r="Y10" i="133"/>
  <c r="AF10" i="133" s="1"/>
  <c r="Y27" i="133"/>
  <c r="Y26" i="133"/>
  <c r="B3" i="151"/>
  <c r="B34" i="185" s="1"/>
  <c r="B9" i="151"/>
  <c r="B40" i="185" s="1"/>
  <c r="B4" i="151"/>
  <c r="B35" i="185" s="1"/>
  <c r="Y11" i="133"/>
  <c r="Y48" i="133"/>
  <c r="B22" i="185"/>
  <c r="J76" i="151"/>
  <c r="L76" i="151"/>
  <c r="M76" i="151" s="1"/>
  <c r="M11" i="151"/>
  <c r="B1" i="151"/>
  <c r="B32" i="185" s="1"/>
  <c r="B6" i="151"/>
  <c r="B37" i="185" s="1"/>
  <c r="ED56" i="164"/>
  <c r="B23" i="185" l="1"/>
  <c r="AF9" i="133"/>
  <c r="AF14" i="133"/>
  <c r="AI15" i="133"/>
  <c r="L83" i="151"/>
  <c r="M83" i="151"/>
  <c r="AF11" i="133"/>
  <c r="AF15" i="133"/>
  <c r="ED2" i="164"/>
  <c r="ED3" i="164"/>
  <c r="ED4" i="164"/>
  <c r="ED5" i="164"/>
  <c r="ED6" i="164"/>
  <c r="ED7" i="164"/>
  <c r="ED8" i="164"/>
  <c r="ED9" i="164"/>
  <c r="ED10" i="164"/>
  <c r="ED11" i="164"/>
  <c r="ED12" i="164"/>
  <c r="ED13" i="164"/>
  <c r="ED14" i="164"/>
  <c r="ED15" i="164"/>
  <c r="ED16" i="164"/>
  <c r="ED17" i="164"/>
  <c r="ED18" i="164"/>
  <c r="ED19" i="164"/>
  <c r="ED20" i="164"/>
  <c r="ED21" i="164"/>
  <c r="ED22" i="164"/>
  <c r="ED23" i="164"/>
  <c r="ED24" i="164"/>
  <c r="ED25" i="164"/>
  <c r="ED26" i="164"/>
  <c r="ED27" i="164"/>
  <c r="ED28" i="164"/>
  <c r="ED29" i="164"/>
  <c r="ED30" i="164"/>
  <c r="ED31" i="164"/>
  <c r="ED32" i="164"/>
  <c r="ED33" i="164"/>
  <c r="ED34" i="164"/>
  <c r="ED35" i="164"/>
  <c r="ED36" i="164"/>
  <c r="ED37" i="164"/>
  <c r="ED38" i="164"/>
  <c r="ED39" i="164"/>
  <c r="ED40" i="164"/>
  <c r="ED41" i="164"/>
  <c r="ED42" i="164"/>
  <c r="ED43" i="164"/>
  <c r="ED44" i="164"/>
  <c r="ED45" i="164"/>
  <c r="ED46" i="164"/>
  <c r="ED47" i="164"/>
  <c r="ED48" i="164"/>
  <c r="ED49" i="164"/>
  <c r="ED50" i="164"/>
  <c r="ED51" i="164"/>
  <c r="ED52" i="164"/>
  <c r="ED53" i="164"/>
  <c r="ED54" i="164"/>
  <c r="ED55" i="164"/>
  <c r="ED57" i="164"/>
  <c r="ED58" i="164"/>
  <c r="ED59" i="164"/>
  <c r="ED60" i="164"/>
  <c r="ED61" i="164"/>
  <c r="ED62" i="164"/>
  <c r="ED63" i="164"/>
  <c r="ED64" i="164"/>
  <c r="ED65" i="164"/>
  <c r="ED66" i="164"/>
  <c r="ED67" i="164"/>
  <c r="ED68" i="164"/>
  <c r="ED69" i="164"/>
  <c r="ED70" i="164"/>
  <c r="ED71" i="164"/>
  <c r="ED72" i="164"/>
  <c r="ED73" i="164"/>
  <c r="ED74" i="164"/>
  <c r="ED75" i="164"/>
  <c r="ED76" i="164"/>
  <c r="ED77" i="164"/>
  <c r="ED78" i="164"/>
  <c r="ED79" i="164"/>
  <c r="ED80" i="164"/>
  <c r="ED81" i="164"/>
  <c r="ED82" i="164"/>
  <c r="ED83" i="164"/>
  <c r="ED84" i="164"/>
  <c r="ED85" i="164"/>
  <c r="ED86" i="164"/>
  <c r="ED87" i="164"/>
  <c r="ED88" i="164"/>
  <c r="ED89" i="164"/>
  <c r="ED90" i="164"/>
  <c r="ED91" i="164"/>
  <c r="ED92" i="164"/>
  <c r="ED93" i="164"/>
  <c r="ED94" i="164"/>
  <c r="ED95" i="164"/>
  <c r="ED96" i="164"/>
  <c r="ED97" i="164"/>
  <c r="ED98" i="164"/>
  <c r="ED99" i="164"/>
  <c r="ED100" i="164"/>
  <c r="ED101" i="164"/>
  <c r="ED102" i="164"/>
  <c r="ED103" i="164"/>
  <c r="ED104" i="164"/>
  <c r="ED105" i="164"/>
  <c r="ED106" i="164"/>
  <c r="ED107" i="164"/>
  <c r="ED108" i="164"/>
  <c r="ED109" i="164"/>
  <c r="ED110" i="164"/>
  <c r="ED111" i="164"/>
  <c r="ED112" i="164"/>
  <c r="ED113" i="164"/>
  <c r="ED114" i="164"/>
  <c r="ED115" i="164"/>
  <c r="ED116" i="164"/>
  <c r="ED117" i="164"/>
  <c r="ED118" i="164"/>
  <c r="ED119" i="164"/>
  <c r="ED120" i="164"/>
  <c r="ED121" i="164"/>
  <c r="ED122" i="164"/>
  <c r="ED123" i="164"/>
  <c r="ED124" i="164"/>
  <c r="ED125" i="164"/>
  <c r="ED126" i="164"/>
  <c r="ED127" i="164"/>
  <c r="ED128" i="164"/>
  <c r="ED129" i="164"/>
  <c r="ED130" i="164"/>
  <c r="ED131" i="164"/>
  <c r="ED132" i="164"/>
  <c r="ED133" i="164"/>
  <c r="ED134" i="164"/>
  <c r="ED135" i="164"/>
  <c r="ED136" i="164"/>
  <c r="ED137" i="164"/>
  <c r="ED138" i="164"/>
  <c r="ED139" i="164"/>
  <c r="ED140" i="164"/>
  <c r="ED141" i="164"/>
  <c r="ED142" i="164"/>
  <c r="ED143" i="164"/>
  <c r="ED144" i="164"/>
  <c r="ED145" i="164"/>
  <c r="ED146" i="164"/>
  <c r="ED147" i="164"/>
  <c r="ED148" i="164"/>
  <c r="ED149" i="164"/>
  <c r="ED150" i="164"/>
  <c r="ED151" i="164"/>
  <c r="ED152" i="164"/>
  <c r="ED153" i="164"/>
  <c r="ED154" i="164"/>
  <c r="ED155" i="164"/>
  <c r="ED156" i="164"/>
  <c r="ED157" i="164"/>
  <c r="ED158" i="164"/>
  <c r="ED159" i="164"/>
  <c r="ED160" i="164"/>
  <c r="ED161" i="164"/>
  <c r="ED162" i="164"/>
  <c r="ED163" i="164"/>
  <c r="ED164" i="164"/>
  <c r="ED165" i="164"/>
  <c r="ED166" i="164"/>
  <c r="ED167" i="164"/>
  <c r="AI19" i="133" l="1"/>
  <c r="J52" i="133" s="1"/>
  <c r="I52" i="133"/>
  <c r="AI23" i="133" l="1"/>
  <c r="K52" i="133" s="1"/>
  <c r="Q94" i="160"/>
  <c r="R95" i="160" s="1"/>
  <c r="S96" i="160" s="1"/>
  <c r="T97" i="160" s="1"/>
  <c r="U98" i="160" s="1"/>
  <c r="V99" i="160" s="1"/>
  <c r="Q95" i="160"/>
  <c r="R96" i="160" s="1"/>
  <c r="S97" i="160" s="1"/>
  <c r="T98" i="160" s="1"/>
  <c r="U99" i="160" s="1"/>
  <c r="V100" i="160" s="1"/>
  <c r="Q51" i="160"/>
  <c r="R52" i="160" s="1"/>
  <c r="S53" i="160" s="1"/>
  <c r="T54" i="160" s="1"/>
  <c r="U55" i="160" s="1"/>
  <c r="V56" i="160" s="1"/>
  <c r="Q52" i="160"/>
  <c r="R53" i="160" s="1"/>
  <c r="S54" i="160" s="1"/>
  <c r="T55" i="160" s="1"/>
  <c r="U56" i="160" s="1"/>
  <c r="V57" i="160" s="1"/>
  <c r="Q53" i="160"/>
  <c r="R54" i="160" s="1"/>
  <c r="S55" i="160" s="1"/>
  <c r="T56" i="160" s="1"/>
  <c r="U57" i="160" s="1"/>
  <c r="V58" i="160" s="1"/>
  <c r="Q54" i="160"/>
  <c r="R55" i="160" s="1"/>
  <c r="S56" i="160" s="1"/>
  <c r="T57" i="160" s="1"/>
  <c r="U58" i="160" s="1"/>
  <c r="V59" i="160" s="1"/>
  <c r="Q55" i="160"/>
  <c r="R56" i="160" s="1"/>
  <c r="S57" i="160" s="1"/>
  <c r="T58" i="160" s="1"/>
  <c r="U59" i="160" s="1"/>
  <c r="V60" i="160" s="1"/>
  <c r="Q56" i="160"/>
  <c r="R57" i="160" s="1"/>
  <c r="S58" i="160" s="1"/>
  <c r="T59" i="160" s="1"/>
  <c r="U60" i="160" s="1"/>
  <c r="V61" i="160" s="1"/>
  <c r="Q57" i="160"/>
  <c r="R58" i="160" s="1"/>
  <c r="S59" i="160" s="1"/>
  <c r="T60" i="160" s="1"/>
  <c r="U61" i="160" s="1"/>
  <c r="V62" i="160" s="1"/>
  <c r="Q58" i="160"/>
  <c r="R59" i="160" s="1"/>
  <c r="S60" i="160" s="1"/>
  <c r="T61" i="160" s="1"/>
  <c r="U62" i="160" s="1"/>
  <c r="V63" i="160" s="1"/>
  <c r="Q59" i="160"/>
  <c r="R60" i="160" s="1"/>
  <c r="S61" i="160" s="1"/>
  <c r="T62" i="160" s="1"/>
  <c r="U63" i="160" s="1"/>
  <c r="V64" i="160" s="1"/>
  <c r="Q60" i="160"/>
  <c r="R61" i="160" s="1"/>
  <c r="S62" i="160" s="1"/>
  <c r="T63" i="160" s="1"/>
  <c r="U64" i="160" s="1"/>
  <c r="V65" i="160" s="1"/>
  <c r="Q61" i="160"/>
  <c r="R62" i="160" s="1"/>
  <c r="S63" i="160" s="1"/>
  <c r="T64" i="160" s="1"/>
  <c r="U65" i="160" s="1"/>
  <c r="V66" i="160" s="1"/>
  <c r="Q62" i="160"/>
  <c r="R63" i="160" s="1"/>
  <c r="S64" i="160" s="1"/>
  <c r="T65" i="160" s="1"/>
  <c r="U66" i="160" s="1"/>
  <c r="V67" i="160" s="1"/>
  <c r="Q63" i="160"/>
  <c r="R64" i="160" s="1"/>
  <c r="S65" i="160" s="1"/>
  <c r="T66" i="160" s="1"/>
  <c r="U67" i="160" s="1"/>
  <c r="V68" i="160" s="1"/>
  <c r="Q64" i="160"/>
  <c r="R65" i="160" s="1"/>
  <c r="S66" i="160" s="1"/>
  <c r="T67" i="160" s="1"/>
  <c r="U68" i="160" s="1"/>
  <c r="V69" i="160" s="1"/>
  <c r="Q65" i="160"/>
  <c r="R66" i="160" s="1"/>
  <c r="S67" i="160" s="1"/>
  <c r="T68" i="160" s="1"/>
  <c r="U69" i="160" s="1"/>
  <c r="V70" i="160" s="1"/>
  <c r="Q66" i="160"/>
  <c r="R67" i="160" s="1"/>
  <c r="S68" i="160" s="1"/>
  <c r="T69" i="160" s="1"/>
  <c r="U70" i="160" s="1"/>
  <c r="V71" i="160" s="1"/>
  <c r="Q67" i="160"/>
  <c r="R68" i="160" s="1"/>
  <c r="S69" i="160" s="1"/>
  <c r="T70" i="160" s="1"/>
  <c r="U71" i="160" s="1"/>
  <c r="V72" i="160" s="1"/>
  <c r="Q68" i="160"/>
  <c r="R69" i="160" s="1"/>
  <c r="S70" i="160" s="1"/>
  <c r="T71" i="160" s="1"/>
  <c r="U72" i="160" s="1"/>
  <c r="V73" i="160" s="1"/>
  <c r="Q69" i="160"/>
  <c r="R70" i="160" s="1"/>
  <c r="S71" i="160" s="1"/>
  <c r="T72" i="160" s="1"/>
  <c r="U73" i="160" s="1"/>
  <c r="V74" i="160" s="1"/>
  <c r="Q70" i="160"/>
  <c r="R71" i="160" s="1"/>
  <c r="S72" i="160" s="1"/>
  <c r="T73" i="160" s="1"/>
  <c r="U74" i="160" s="1"/>
  <c r="V75" i="160" s="1"/>
  <c r="Q71" i="160"/>
  <c r="R72" i="160" s="1"/>
  <c r="S73" i="160" s="1"/>
  <c r="T74" i="160" s="1"/>
  <c r="U75" i="160" s="1"/>
  <c r="V76" i="160" s="1"/>
  <c r="Q72" i="160"/>
  <c r="R73" i="160" s="1"/>
  <c r="S74" i="160" s="1"/>
  <c r="T75" i="160" s="1"/>
  <c r="U76" i="160" s="1"/>
  <c r="V77" i="160" s="1"/>
  <c r="Q73" i="160"/>
  <c r="R74" i="160" s="1"/>
  <c r="S75" i="160" s="1"/>
  <c r="T76" i="160" s="1"/>
  <c r="U77" i="160" s="1"/>
  <c r="V78" i="160" s="1"/>
  <c r="Q74" i="160"/>
  <c r="R75" i="160" s="1"/>
  <c r="S76" i="160" s="1"/>
  <c r="T77" i="160" s="1"/>
  <c r="U78" i="160" s="1"/>
  <c r="V79" i="160" s="1"/>
  <c r="Q75" i="160"/>
  <c r="R76" i="160" s="1"/>
  <c r="S77" i="160" s="1"/>
  <c r="T78" i="160" s="1"/>
  <c r="U79" i="160" s="1"/>
  <c r="V80" i="160" s="1"/>
  <c r="Q76" i="160"/>
  <c r="R77" i="160" s="1"/>
  <c r="S78" i="160" s="1"/>
  <c r="T79" i="160" s="1"/>
  <c r="U80" i="160" s="1"/>
  <c r="V81" i="160" s="1"/>
  <c r="Q77" i="160"/>
  <c r="R78" i="160" s="1"/>
  <c r="S79" i="160" s="1"/>
  <c r="T80" i="160" s="1"/>
  <c r="U81" i="160" s="1"/>
  <c r="V82" i="160" s="1"/>
  <c r="Q78" i="160"/>
  <c r="R79" i="160" s="1"/>
  <c r="S80" i="160" s="1"/>
  <c r="T81" i="160" s="1"/>
  <c r="U82" i="160" s="1"/>
  <c r="V83" i="160" s="1"/>
  <c r="Q79" i="160"/>
  <c r="R80" i="160" s="1"/>
  <c r="S81" i="160" s="1"/>
  <c r="T82" i="160" s="1"/>
  <c r="U83" i="160" s="1"/>
  <c r="V84" i="160" s="1"/>
  <c r="Q80" i="160"/>
  <c r="R81" i="160" s="1"/>
  <c r="S82" i="160" s="1"/>
  <c r="T83" i="160" s="1"/>
  <c r="U84" i="160" s="1"/>
  <c r="V85" i="160" s="1"/>
  <c r="Q81" i="160"/>
  <c r="R82" i="160" s="1"/>
  <c r="S83" i="160" s="1"/>
  <c r="T84" i="160" s="1"/>
  <c r="U85" i="160" s="1"/>
  <c r="V86" i="160" s="1"/>
  <c r="Q82" i="160"/>
  <c r="R83" i="160" s="1"/>
  <c r="S84" i="160" s="1"/>
  <c r="T85" i="160" s="1"/>
  <c r="U86" i="160" s="1"/>
  <c r="V87" i="160" s="1"/>
  <c r="Q83" i="160"/>
  <c r="R84" i="160" s="1"/>
  <c r="S85" i="160" s="1"/>
  <c r="T86" i="160" s="1"/>
  <c r="U87" i="160" s="1"/>
  <c r="V88" i="160" s="1"/>
  <c r="Q84" i="160"/>
  <c r="R85" i="160" s="1"/>
  <c r="S86" i="160" s="1"/>
  <c r="T87" i="160" s="1"/>
  <c r="U88" i="160" s="1"/>
  <c r="V89" i="160" s="1"/>
  <c r="Q85" i="160"/>
  <c r="R86" i="160" s="1"/>
  <c r="S87" i="160" s="1"/>
  <c r="T88" i="160" s="1"/>
  <c r="U89" i="160" s="1"/>
  <c r="V90" i="160" s="1"/>
  <c r="Q86" i="160"/>
  <c r="R87" i="160" s="1"/>
  <c r="S88" i="160" s="1"/>
  <c r="T89" i="160" s="1"/>
  <c r="U90" i="160" s="1"/>
  <c r="V91" i="160" s="1"/>
  <c r="Q87" i="160"/>
  <c r="R88" i="160" s="1"/>
  <c r="S89" i="160" s="1"/>
  <c r="T90" i="160" s="1"/>
  <c r="U91" i="160" s="1"/>
  <c r="V92" i="160" s="1"/>
  <c r="Q88" i="160"/>
  <c r="R89" i="160" s="1"/>
  <c r="S90" i="160" s="1"/>
  <c r="T91" i="160" s="1"/>
  <c r="U92" i="160" s="1"/>
  <c r="V93" i="160" s="1"/>
  <c r="Q89" i="160"/>
  <c r="R90" i="160" s="1"/>
  <c r="S91" i="160" s="1"/>
  <c r="T92" i="160" s="1"/>
  <c r="U93" i="160" s="1"/>
  <c r="V94" i="160" s="1"/>
  <c r="Q90" i="160"/>
  <c r="R91" i="160" s="1"/>
  <c r="S92" i="160" s="1"/>
  <c r="T93" i="160" s="1"/>
  <c r="U94" i="160" s="1"/>
  <c r="V95" i="160" s="1"/>
  <c r="Q91" i="160"/>
  <c r="R92" i="160" s="1"/>
  <c r="S93" i="160" s="1"/>
  <c r="T94" i="160" s="1"/>
  <c r="U95" i="160" s="1"/>
  <c r="V96" i="160" s="1"/>
  <c r="Q92" i="160"/>
  <c r="R93" i="160" s="1"/>
  <c r="S94" i="160" s="1"/>
  <c r="T95" i="160" s="1"/>
  <c r="U96" i="160" s="1"/>
  <c r="V97" i="160" s="1"/>
  <c r="Q93" i="160"/>
  <c r="R94" i="160" s="1"/>
  <c r="S95" i="160" s="1"/>
  <c r="T96" i="160" s="1"/>
  <c r="U97" i="160" s="1"/>
  <c r="V98" i="160" s="1"/>
  <c r="Q23" i="160"/>
  <c r="R24" i="160" s="1"/>
  <c r="S25" i="160" s="1"/>
  <c r="T26" i="160" s="1"/>
  <c r="U27" i="160" s="1"/>
  <c r="V28" i="160" s="1"/>
  <c r="Q24" i="160"/>
  <c r="R25" i="160" s="1"/>
  <c r="S26" i="160" s="1"/>
  <c r="T27" i="160" s="1"/>
  <c r="U28" i="160" s="1"/>
  <c r="V29" i="160" s="1"/>
  <c r="Q25" i="160"/>
  <c r="R26" i="160" s="1"/>
  <c r="S27" i="160" s="1"/>
  <c r="T28" i="160" s="1"/>
  <c r="U29" i="160" s="1"/>
  <c r="V30" i="160" s="1"/>
  <c r="Q26" i="160"/>
  <c r="R27" i="160" s="1"/>
  <c r="Q27" i="160"/>
  <c r="R28" i="160" s="1"/>
  <c r="S29" i="160" s="1"/>
  <c r="T30" i="160" s="1"/>
  <c r="U31" i="160" s="1"/>
  <c r="V32" i="160" s="1"/>
  <c r="Q28" i="160"/>
  <c r="R29" i="160" s="1"/>
  <c r="S30" i="160" s="1"/>
  <c r="T31" i="160" s="1"/>
  <c r="U32" i="160" s="1"/>
  <c r="V33" i="160" s="1"/>
  <c r="Q29" i="160"/>
  <c r="R30" i="160" s="1"/>
  <c r="S31" i="160" s="1"/>
  <c r="T32" i="160" s="1"/>
  <c r="U33" i="160" s="1"/>
  <c r="V34" i="160" s="1"/>
  <c r="Q30" i="160"/>
  <c r="R31" i="160" s="1"/>
  <c r="S32" i="160" s="1"/>
  <c r="T33" i="160" s="1"/>
  <c r="U34" i="160" s="1"/>
  <c r="V35" i="160" s="1"/>
  <c r="Q31" i="160"/>
  <c r="R32" i="160" s="1"/>
  <c r="S33" i="160" s="1"/>
  <c r="T34" i="160" s="1"/>
  <c r="U35" i="160" s="1"/>
  <c r="V36" i="160" s="1"/>
  <c r="Q32" i="160"/>
  <c r="R33" i="160" s="1"/>
  <c r="S34" i="160" s="1"/>
  <c r="T35" i="160" s="1"/>
  <c r="U36" i="160" s="1"/>
  <c r="V37" i="160" s="1"/>
  <c r="Q33" i="160"/>
  <c r="R34" i="160" s="1"/>
  <c r="S35" i="160" s="1"/>
  <c r="T36" i="160" s="1"/>
  <c r="U37" i="160" s="1"/>
  <c r="V38" i="160" s="1"/>
  <c r="Q34" i="160"/>
  <c r="R35" i="160" s="1"/>
  <c r="S36" i="160" s="1"/>
  <c r="T37" i="160" s="1"/>
  <c r="U38" i="160" s="1"/>
  <c r="V39" i="160" s="1"/>
  <c r="Q35" i="160"/>
  <c r="R36" i="160" s="1"/>
  <c r="S37" i="160" s="1"/>
  <c r="T38" i="160" s="1"/>
  <c r="U39" i="160" s="1"/>
  <c r="V40" i="160" s="1"/>
  <c r="Q36" i="160"/>
  <c r="R37" i="160" s="1"/>
  <c r="S38" i="160" s="1"/>
  <c r="T39" i="160" s="1"/>
  <c r="U40" i="160" s="1"/>
  <c r="V41" i="160" s="1"/>
  <c r="Q37" i="160"/>
  <c r="R38" i="160" s="1"/>
  <c r="S39" i="160" s="1"/>
  <c r="T40" i="160" s="1"/>
  <c r="U41" i="160" s="1"/>
  <c r="V42" i="160" s="1"/>
  <c r="Q38" i="160"/>
  <c r="R39" i="160" s="1"/>
  <c r="S40" i="160" s="1"/>
  <c r="T41" i="160" s="1"/>
  <c r="U42" i="160" s="1"/>
  <c r="V43" i="160" s="1"/>
  <c r="Q39" i="160"/>
  <c r="R40" i="160" s="1"/>
  <c r="S41" i="160" s="1"/>
  <c r="T42" i="160" s="1"/>
  <c r="U43" i="160" s="1"/>
  <c r="V44" i="160" s="1"/>
  <c r="Q40" i="160"/>
  <c r="R41" i="160" s="1"/>
  <c r="S42" i="160" s="1"/>
  <c r="T43" i="160" s="1"/>
  <c r="U44" i="160" s="1"/>
  <c r="V45" i="160" s="1"/>
  <c r="Q41" i="160"/>
  <c r="R42" i="160" s="1"/>
  <c r="S43" i="160" s="1"/>
  <c r="T44" i="160" s="1"/>
  <c r="U45" i="160" s="1"/>
  <c r="V46" i="160" s="1"/>
  <c r="Q42" i="160"/>
  <c r="R43" i="160" s="1"/>
  <c r="S44" i="160" s="1"/>
  <c r="T45" i="160" s="1"/>
  <c r="U46" i="160" s="1"/>
  <c r="V47" i="160" s="1"/>
  <c r="Q43" i="160"/>
  <c r="R44" i="160" s="1"/>
  <c r="S45" i="160" s="1"/>
  <c r="T46" i="160" s="1"/>
  <c r="U47" i="160" s="1"/>
  <c r="V48" i="160" s="1"/>
  <c r="Q44" i="160"/>
  <c r="R45" i="160" s="1"/>
  <c r="S46" i="160" s="1"/>
  <c r="T47" i="160" s="1"/>
  <c r="U48" i="160" s="1"/>
  <c r="V49" i="160" s="1"/>
  <c r="Q45" i="160"/>
  <c r="R46" i="160" s="1"/>
  <c r="S47" i="160" s="1"/>
  <c r="T48" i="160" s="1"/>
  <c r="U49" i="160" s="1"/>
  <c r="V50" i="160" s="1"/>
  <c r="Q46" i="160"/>
  <c r="R47" i="160" s="1"/>
  <c r="S48" i="160" s="1"/>
  <c r="T49" i="160" s="1"/>
  <c r="U50" i="160" s="1"/>
  <c r="V51" i="160" s="1"/>
  <c r="Q47" i="160"/>
  <c r="R48" i="160" s="1"/>
  <c r="S49" i="160" s="1"/>
  <c r="T50" i="160" s="1"/>
  <c r="U51" i="160" s="1"/>
  <c r="V52" i="160" s="1"/>
  <c r="Q48" i="160"/>
  <c r="R49" i="160" s="1"/>
  <c r="S50" i="160" s="1"/>
  <c r="T51" i="160" s="1"/>
  <c r="U52" i="160" s="1"/>
  <c r="V53" i="160" s="1"/>
  <c r="Q49" i="160"/>
  <c r="R50" i="160" s="1"/>
  <c r="S51" i="160" s="1"/>
  <c r="T52" i="160" s="1"/>
  <c r="U53" i="160" s="1"/>
  <c r="V54" i="160" s="1"/>
  <c r="Q50" i="160"/>
  <c r="R51" i="160" s="1"/>
  <c r="S52" i="160" s="1"/>
  <c r="T53" i="160" s="1"/>
  <c r="U54" i="160" s="1"/>
  <c r="V55" i="160" s="1"/>
  <c r="Q22" i="160"/>
  <c r="R23" i="160" s="1"/>
  <c r="S24" i="160" s="1"/>
  <c r="T25" i="160" s="1"/>
  <c r="U26" i="160" s="1"/>
  <c r="V27" i="160" s="1"/>
  <c r="B9" i="160"/>
  <c r="AI27" i="133" l="1"/>
  <c r="AI31" i="133" s="1"/>
  <c r="AI35" i="133" s="1"/>
  <c r="AA5" i="175"/>
  <c r="S28" i="160"/>
  <c r="T29" i="160" s="1"/>
  <c r="U30" i="160" s="1"/>
  <c r="V31" i="160" s="1"/>
  <c r="Q96" i="160" a="1"/>
  <c r="Q96" i="160" s="1"/>
  <c r="L52" i="133" l="1"/>
  <c r="M52" i="133"/>
  <c r="R97" i="160"/>
  <c r="Q97" i="160" l="1" a="1"/>
  <c r="Q97" i="160" s="1"/>
  <c r="S98" i="160"/>
  <c r="T99" i="160" s="1"/>
  <c r="U100" i="160" s="1"/>
  <c r="V101" i="160" s="1"/>
  <c r="R98" i="160" l="1"/>
  <c r="S99" i="160" l="1"/>
  <c r="T100" i="160" s="1"/>
  <c r="U101" i="160" s="1"/>
  <c r="V102" i="160" s="1"/>
  <c r="Q98" i="160" a="1"/>
  <c r="Q98" i="160" s="1"/>
  <c r="R99" i="160" l="1"/>
  <c r="S100" i="160" l="1"/>
  <c r="T101" i="160" s="1"/>
  <c r="U102" i="160" s="1"/>
  <c r="V103" i="160" s="1"/>
  <c r="Q99" i="160" a="1"/>
  <c r="Q99" i="160" s="1"/>
  <c r="R100" i="160" l="1"/>
  <c r="Q100" i="160" l="1" a="1"/>
  <c r="Q100" i="160" s="1"/>
  <c r="S101" i="160"/>
  <c r="T102" i="160" s="1"/>
  <c r="U103" i="160" s="1"/>
  <c r="V104" i="160" s="1"/>
  <c r="R101" i="160" l="1"/>
  <c r="Q101" i="160" l="1" a="1"/>
  <c r="Q101" i="160" s="1"/>
  <c r="S102" i="160"/>
  <c r="T103" i="160" s="1"/>
  <c r="U104" i="160" s="1"/>
  <c r="V105" i="160" s="1"/>
  <c r="R102" i="160" l="1"/>
  <c r="Q102" i="160" l="1" a="1"/>
  <c r="Q102" i="160" s="1"/>
  <c r="S103" i="160"/>
  <c r="T104" i="160" s="1"/>
  <c r="U105" i="160" s="1"/>
  <c r="V106" i="160" s="1"/>
  <c r="R103" i="160" l="1"/>
  <c r="Q103" i="160" l="1" a="1"/>
  <c r="Q103" i="160" s="1"/>
  <c r="S104" i="160"/>
  <c r="T105" i="160" s="1"/>
  <c r="U106" i="160" s="1"/>
  <c r="V107" i="160" s="1"/>
  <c r="R104" i="160" l="1"/>
  <c r="Q104" i="160" l="1" a="1"/>
  <c r="Q104" i="160" s="1"/>
  <c r="S105" i="160"/>
  <c r="T106" i="160" s="1"/>
  <c r="U107" i="160" s="1"/>
  <c r="V108" i="160" s="1"/>
  <c r="R105" i="160" l="1"/>
  <c r="Q105" i="160" l="1" a="1"/>
  <c r="Q105" i="160" s="1"/>
  <c r="S106" i="160"/>
  <c r="T107" i="160" s="1"/>
  <c r="U108" i="160" s="1"/>
  <c r="V109" i="160" s="1"/>
  <c r="R106" i="160" l="1"/>
  <c r="Q106" i="160" l="1" a="1"/>
  <c r="Q106" i="160" s="1"/>
  <c r="S107" i="160"/>
  <c r="T108" i="160" s="1"/>
  <c r="U109" i="160" s="1"/>
  <c r="V110" i="160" s="1"/>
  <c r="R107" i="160" l="1"/>
  <c r="Q107" i="160" l="1" a="1"/>
  <c r="Q107" i="160" s="1"/>
  <c r="S108" i="160"/>
  <c r="T109" i="160" s="1"/>
  <c r="U110" i="160" s="1"/>
  <c r="V111" i="160" s="1"/>
  <c r="R108" i="160" l="1"/>
  <c r="Q108" i="160" l="1" a="1"/>
  <c r="Q108" i="160" s="1"/>
  <c r="S109" i="160"/>
  <c r="T110" i="160" s="1"/>
  <c r="U111" i="160" s="1"/>
  <c r="V112" i="160" s="1"/>
  <c r="R109" i="160" l="1"/>
  <c r="Q109" i="160" l="1" a="1"/>
  <c r="Q109" i="160" s="1"/>
  <c r="S110" i="160"/>
  <c r="T111" i="160" s="1"/>
  <c r="U112" i="160" s="1"/>
  <c r="V113" i="160" s="1"/>
  <c r="R110" i="160" l="1"/>
  <c r="Q110" i="160" l="1" a="1"/>
  <c r="Q110" i="160" s="1"/>
  <c r="S111" i="160"/>
  <c r="T112" i="160" s="1"/>
  <c r="U113" i="160" s="1"/>
  <c r="V114" i="160" s="1"/>
  <c r="R111" i="160" l="1"/>
  <c r="Q111" i="160" l="1" a="1"/>
  <c r="Q111" i="160" s="1"/>
  <c r="S112" i="160"/>
  <c r="T113" i="160" s="1"/>
  <c r="U114" i="160" s="1"/>
  <c r="V115" i="160" s="1"/>
  <c r="Q112" i="160" l="1" a="1"/>
  <c r="Q112" i="160" s="1"/>
  <c r="R112" i="160"/>
  <c r="S113" i="160" l="1"/>
  <c r="T114" i="160" s="1"/>
  <c r="U115" i="160" s="1"/>
  <c r="V116" i="160" s="1"/>
  <c r="R113" i="160" l="1"/>
  <c r="Q113" i="160" s="1" a="1"/>
  <c r="Q113" i="160" s="1"/>
  <c r="S114" i="160" l="1"/>
  <c r="T115" i="160" s="1"/>
  <c r="U116" i="160" s="1"/>
  <c r="V117" i="160" s="1"/>
  <c r="R114" i="160" l="1"/>
  <c r="Q114" i="160" s="1" a="1"/>
  <c r="Q114" i="160" s="1"/>
  <c r="S115" i="160" l="1"/>
  <c r="T116" i="160" s="1"/>
  <c r="U117" i="160" s="1"/>
  <c r="V118" i="160" s="1"/>
  <c r="R115" i="160" l="1"/>
  <c r="Q115" i="160" s="1" a="1"/>
  <c r="Q115" i="160" s="1"/>
  <c r="S116" i="160" l="1"/>
  <c r="T117" i="160" s="1"/>
  <c r="U118" i="160" s="1"/>
  <c r="V119" i="160" s="1"/>
  <c r="R116" i="160" l="1"/>
  <c r="Q116" i="160" s="1" a="1"/>
  <c r="Q116" i="160" s="1"/>
  <c r="S117" i="160" l="1"/>
  <c r="T118" i="160" s="1"/>
  <c r="U119" i="160" s="1"/>
  <c r="V120" i="160" s="1"/>
  <c r="R117" i="160" l="1"/>
  <c r="Q117" i="160" s="1" a="1"/>
  <c r="Q117" i="160" s="1"/>
  <c r="S118" i="160" l="1"/>
  <c r="T119" i="160" s="1"/>
  <c r="U120" i="160" s="1"/>
  <c r="V121" i="160" s="1"/>
  <c r="R118" i="160" l="1"/>
  <c r="Q118" i="160" s="1" a="1"/>
  <c r="Q118" i="160" s="1"/>
  <c r="S119" i="160" l="1"/>
  <c r="T120" i="160" s="1"/>
  <c r="U121" i="160" s="1"/>
  <c r="V122" i="160" s="1"/>
  <c r="R119" i="160" l="1"/>
  <c r="Q119" i="160" s="1" a="1"/>
  <c r="Q119" i="160" s="1"/>
  <c r="S120" i="160" l="1"/>
  <c r="T121" i="160" s="1"/>
  <c r="U122" i="160" s="1"/>
  <c r="V123" i="160" s="1"/>
  <c r="R120" i="160" l="1"/>
  <c r="Q120" i="160" s="1" a="1"/>
  <c r="Q120" i="160" s="1"/>
  <c r="S121" i="160" l="1"/>
  <c r="T122" i="160" s="1"/>
  <c r="U123" i="160" s="1"/>
  <c r="V124" i="160" s="1"/>
  <c r="R121" i="160" l="1"/>
  <c r="Q121" i="160" s="1" a="1"/>
  <c r="Q121" i="160" s="1"/>
  <c r="S122" i="160" l="1"/>
  <c r="T123" i="160" s="1"/>
  <c r="U124" i="160" s="1"/>
  <c r="V125" i="160" s="1"/>
  <c r="R122" i="160" l="1"/>
  <c r="Q122" i="160" s="1" a="1"/>
  <c r="Q122" i="160" s="1"/>
  <c r="S123" i="160" l="1"/>
  <c r="T124" i="160" s="1"/>
  <c r="U125" i="160" s="1"/>
  <c r="V126" i="160" s="1"/>
  <c r="R123" i="160" l="1"/>
  <c r="Q123" i="160" s="1" a="1"/>
  <c r="Q123" i="160" s="1"/>
  <c r="S124" i="160" l="1"/>
  <c r="T125" i="160" s="1"/>
  <c r="U126" i="160" s="1"/>
  <c r="V127" i="160" s="1"/>
  <c r="R124" i="160" l="1"/>
  <c r="Q124" i="160" s="1" a="1"/>
  <c r="Q124" i="160" s="1"/>
  <c r="S125" i="160" l="1"/>
  <c r="T126" i="160" s="1"/>
  <c r="U127" i="160" s="1"/>
  <c r="V128" i="160" s="1"/>
  <c r="R125" i="160" l="1"/>
  <c r="Q125" i="160" s="1" a="1"/>
  <c r="Q125" i="160" s="1"/>
  <c r="S126" i="160" l="1"/>
  <c r="T127" i="160" s="1"/>
  <c r="U128" i="160" s="1"/>
  <c r="V129" i="160" s="1"/>
  <c r="R126" i="160" l="1"/>
  <c r="Q126" i="160" s="1" a="1"/>
  <c r="Q126" i="160" s="1"/>
  <c r="S127" i="160" l="1"/>
  <c r="T128" i="160" s="1"/>
  <c r="U129" i="160" s="1"/>
  <c r="V130" i="160" s="1"/>
  <c r="R127" i="160" l="1"/>
  <c r="Q127" i="160" s="1" a="1"/>
  <c r="Q127" i="160" s="1"/>
  <c r="S128" i="160" l="1"/>
  <c r="T129" i="160" s="1"/>
  <c r="U130" i="160" s="1"/>
  <c r="V131" i="160" s="1"/>
  <c r="R128" i="160" l="1"/>
  <c r="Q128" i="160" s="1" a="1"/>
  <c r="Q128" i="160" s="1"/>
  <c r="S129" i="160" l="1"/>
  <c r="T130" i="160" s="1"/>
  <c r="U131" i="160" s="1"/>
  <c r="V132" i="160" s="1"/>
  <c r="O20" i="159"/>
  <c r="P20" i="159"/>
  <c r="Q20" i="159"/>
  <c r="R20" i="159"/>
  <c r="S20" i="159"/>
  <c r="T20" i="159"/>
  <c r="M20" i="159"/>
  <c r="Q14" i="159"/>
  <c r="N14" i="159"/>
  <c r="BE51" i="140" l="1"/>
  <c r="AX401" i="140" s="1"/>
  <c r="BD51" i="140"/>
  <c r="AX351" i="140" s="1"/>
  <c r="AX51" i="140"/>
  <c r="BB51" i="140"/>
  <c r="AX251" i="140" s="1"/>
  <c r="BC51" i="140"/>
  <c r="AX301" i="140" s="1"/>
  <c r="R129" i="160"/>
  <c r="Q129" i="160" s="1" a="1"/>
  <c r="Q129" i="160" s="1"/>
  <c r="BA51" i="140" l="1"/>
  <c r="AX201" i="140" s="1"/>
  <c r="AN10" i="140"/>
  <c r="AZ51" i="140"/>
  <c r="AX151" i="140" s="1"/>
  <c r="S130" i="160"/>
  <c r="T131" i="160" s="1"/>
  <c r="U132" i="160" s="1"/>
  <c r="V133" i="160" s="1"/>
  <c r="R130" i="160" l="1"/>
  <c r="Q130" i="160" s="1" a="1"/>
  <c r="Q130" i="160" s="1"/>
  <c r="S131" i="160" l="1"/>
  <c r="T132" i="160" s="1"/>
  <c r="U133" i="160" s="1"/>
  <c r="V134" i="160" s="1"/>
  <c r="I9" i="118"/>
  <c r="J9" i="118"/>
  <c r="I18" i="118"/>
  <c r="J18" i="118"/>
  <c r="B27" i="118"/>
  <c r="C27" i="118"/>
  <c r="D27" i="118"/>
  <c r="E27" i="118"/>
  <c r="F27" i="118"/>
  <c r="G27" i="118"/>
  <c r="R131" i="160" l="1"/>
  <c r="Q131" i="160" s="1" a="1"/>
  <c r="Q131" i="160" s="1"/>
  <c r="S132" i="160" l="1"/>
  <c r="T133" i="160" s="1"/>
  <c r="U134" i="160" s="1"/>
  <c r="V135" i="160" s="1"/>
  <c r="R132" i="160" l="1"/>
  <c r="Q132" i="160" s="1" a="1"/>
  <c r="Q132" i="160" s="1"/>
  <c r="D18" i="144"/>
  <c r="D19" i="144"/>
  <c r="D20" i="144"/>
  <c r="D21" i="144"/>
  <c r="D22" i="144"/>
  <c r="D23" i="144"/>
  <c r="D24" i="144"/>
  <c r="D25" i="144"/>
  <c r="D26" i="144"/>
  <c r="D27" i="144"/>
  <c r="D28" i="144"/>
  <c r="D29" i="144"/>
  <c r="D30" i="144"/>
  <c r="D31" i="144"/>
  <c r="D32" i="144"/>
  <c r="D33" i="144"/>
  <c r="D34" i="144"/>
  <c r="D35" i="144"/>
  <c r="D36" i="144"/>
  <c r="D37" i="144"/>
  <c r="D38" i="144"/>
  <c r="D39" i="144"/>
  <c r="D40" i="144"/>
  <c r="D41" i="144"/>
  <c r="D42" i="144"/>
  <c r="D43" i="144"/>
  <c r="D44" i="144"/>
  <c r="D45" i="144"/>
  <c r="D46" i="144"/>
  <c r="D47" i="144"/>
  <c r="D48" i="144"/>
  <c r="D49" i="144"/>
  <c r="D50" i="144"/>
  <c r="D51" i="144"/>
  <c r="D52" i="144"/>
  <c r="D53" i="144"/>
  <c r="D54" i="144"/>
  <c r="D55" i="144"/>
  <c r="D56" i="144"/>
  <c r="D57" i="144"/>
  <c r="D58" i="144"/>
  <c r="D59" i="144"/>
  <c r="D60" i="144"/>
  <c r="D61" i="144"/>
  <c r="D62" i="144"/>
  <c r="D63" i="144"/>
  <c r="D64" i="144"/>
  <c r="D65" i="144"/>
  <c r="D66" i="144"/>
  <c r="D67" i="144"/>
  <c r="D68" i="144"/>
  <c r="D69" i="144"/>
  <c r="D70" i="144"/>
  <c r="D71" i="144"/>
  <c r="D72" i="144"/>
  <c r="D73" i="144"/>
  <c r="D74" i="144"/>
  <c r="D75" i="144"/>
  <c r="D76" i="144"/>
  <c r="D77" i="144"/>
  <c r="D78" i="144"/>
  <c r="D79" i="144"/>
  <c r="D80" i="144"/>
  <c r="D81" i="144"/>
  <c r="D82" i="144"/>
  <c r="D83" i="144"/>
  <c r="D84" i="144"/>
  <c r="D85" i="144"/>
  <c r="D86" i="144"/>
  <c r="D87" i="144"/>
  <c r="D88" i="144"/>
  <c r="D89" i="144"/>
  <c r="D90" i="144"/>
  <c r="D91" i="144"/>
  <c r="D92" i="144"/>
  <c r="D93" i="144"/>
  <c r="D94" i="144"/>
  <c r="D95" i="144"/>
  <c r="D96" i="144"/>
  <c r="D97" i="144"/>
  <c r="D98" i="144"/>
  <c r="D99" i="144"/>
  <c r="D100" i="144"/>
  <c r="D101" i="144"/>
  <c r="D102" i="144"/>
  <c r="D103" i="144"/>
  <c r="D104" i="144"/>
  <c r="D105" i="144"/>
  <c r="D106" i="144"/>
  <c r="D107" i="144"/>
  <c r="D108" i="144"/>
  <c r="D109" i="144"/>
  <c r="D110" i="144"/>
  <c r="D111" i="144"/>
  <c r="D112" i="144"/>
  <c r="D113" i="144"/>
  <c r="D114" i="144"/>
  <c r="D115" i="144"/>
  <c r="D116" i="144"/>
  <c r="D117" i="144"/>
  <c r="D118" i="144"/>
  <c r="D119" i="144"/>
  <c r="D120" i="144"/>
  <c r="D121" i="144"/>
  <c r="D122" i="144"/>
  <c r="D123" i="144"/>
  <c r="D124" i="144"/>
  <c r="D125" i="144"/>
  <c r="D126" i="144"/>
  <c r="D127" i="144"/>
  <c r="D128" i="144"/>
  <c r="D129" i="144"/>
  <c r="D130" i="144"/>
  <c r="D131" i="144"/>
  <c r="D132" i="144"/>
  <c r="D133" i="144"/>
  <c r="D134" i="144"/>
  <c r="D135" i="144"/>
  <c r="D136" i="144"/>
  <c r="D137" i="144"/>
  <c r="D138" i="144"/>
  <c r="D139" i="144"/>
  <c r="D140" i="144"/>
  <c r="D141" i="144"/>
  <c r="D142" i="144"/>
  <c r="D143" i="144"/>
  <c r="D144" i="144"/>
  <c r="D145" i="144"/>
  <c r="D146" i="144"/>
  <c r="D147" i="144"/>
  <c r="D148" i="144"/>
  <c r="D149" i="144"/>
  <c r="D150" i="144"/>
  <c r="D151" i="144"/>
  <c r="D152" i="144"/>
  <c r="D153" i="144"/>
  <c r="D154" i="144"/>
  <c r="D155" i="144"/>
  <c r="D156" i="144"/>
  <c r="D157" i="144"/>
  <c r="D158" i="144"/>
  <c r="D159" i="144"/>
  <c r="D160" i="144"/>
  <c r="D161" i="144"/>
  <c r="D162" i="144"/>
  <c r="D163" i="144"/>
  <c r="D164" i="144"/>
  <c r="D165" i="144"/>
  <c r="D166" i="144"/>
  <c r="D167" i="144"/>
  <c r="D168" i="144"/>
  <c r="D169" i="144"/>
  <c r="D170" i="144"/>
  <c r="D171" i="144"/>
  <c r="D172" i="144"/>
  <c r="D173" i="144"/>
  <c r="D174" i="144"/>
  <c r="D175" i="144"/>
  <c r="D176" i="144"/>
  <c r="D177" i="144"/>
  <c r="D178" i="144"/>
  <c r="D179" i="144"/>
  <c r="D180" i="144"/>
  <c r="D181" i="144"/>
  <c r="D182" i="144"/>
  <c r="D183" i="144"/>
  <c r="D184" i="144"/>
  <c r="D185" i="144"/>
  <c r="D186" i="144"/>
  <c r="D187" i="144"/>
  <c r="D188" i="144"/>
  <c r="D189" i="144"/>
  <c r="D190" i="144"/>
  <c r="D191" i="144"/>
  <c r="D192" i="144"/>
  <c r="D193" i="144"/>
  <c r="D194" i="144"/>
  <c r="D195" i="144"/>
  <c r="D196" i="144"/>
  <c r="D197" i="144"/>
  <c r="D198" i="144"/>
  <c r="D199" i="144"/>
  <c r="D200" i="144"/>
  <c r="D201" i="144"/>
  <c r="D202" i="144"/>
  <c r="D203" i="144"/>
  <c r="D204" i="144"/>
  <c r="D205" i="144"/>
  <c r="D206" i="144"/>
  <c r="D207" i="144"/>
  <c r="D208" i="144"/>
  <c r="D209" i="144"/>
  <c r="D210" i="144"/>
  <c r="D211" i="144"/>
  <c r="D212" i="144"/>
  <c r="D213" i="144"/>
  <c r="D214" i="144"/>
  <c r="D215" i="144"/>
  <c r="D216" i="144"/>
  <c r="D217" i="144"/>
  <c r="D218" i="144"/>
  <c r="D219" i="144"/>
  <c r="D220" i="144"/>
  <c r="D221" i="144"/>
  <c r="D222" i="144"/>
  <c r="D223" i="144"/>
  <c r="D224" i="144"/>
  <c r="D225" i="144"/>
  <c r="D226" i="144"/>
  <c r="D227" i="144"/>
  <c r="D228" i="144"/>
  <c r="D229" i="144"/>
  <c r="D230" i="144"/>
  <c r="D231" i="144"/>
  <c r="D232" i="144"/>
  <c r="D233" i="144"/>
  <c r="D234" i="144"/>
  <c r="D235" i="144"/>
  <c r="D236" i="144"/>
  <c r="D237" i="144"/>
  <c r="D238" i="144"/>
  <c r="D239" i="144"/>
  <c r="D240" i="144"/>
  <c r="D241" i="144"/>
  <c r="D242" i="144"/>
  <c r="D243" i="144"/>
  <c r="D244" i="144"/>
  <c r="D245" i="144"/>
  <c r="D246" i="144"/>
  <c r="D247" i="144"/>
  <c r="D248" i="144"/>
  <c r="D249" i="144"/>
  <c r="D250" i="144"/>
  <c r="D251" i="144"/>
  <c r="D17" i="144"/>
  <c r="S133" i="160" l="1"/>
  <c r="T134" i="160" s="1"/>
  <c r="U135" i="160" s="1"/>
  <c r="V136" i="160" s="1"/>
  <c r="R133" i="160" l="1"/>
  <c r="Q133" i="160" s="1" a="1"/>
  <c r="Q133" i="160" s="1"/>
  <c r="S134" i="160" l="1"/>
  <c r="T135" i="160" s="1"/>
  <c r="U136" i="160" s="1"/>
  <c r="V137" i="160" s="1"/>
  <c r="R134" i="160" l="1"/>
  <c r="Q134" i="160" s="1" a="1"/>
  <c r="Q134" i="160" s="1"/>
  <c r="B253" i="144"/>
  <c r="L18" i="144"/>
  <c r="L19" i="144"/>
  <c r="L20" i="144"/>
  <c r="L21" i="144"/>
  <c r="L22" i="144"/>
  <c r="L23" i="144"/>
  <c r="L24" i="144"/>
  <c r="L25" i="144"/>
  <c r="L26" i="144"/>
  <c r="L27" i="144"/>
  <c r="L28" i="144"/>
  <c r="L29" i="144"/>
  <c r="L30" i="144"/>
  <c r="L31" i="144"/>
  <c r="L32" i="144"/>
  <c r="L33" i="144"/>
  <c r="L34" i="144"/>
  <c r="L35" i="144"/>
  <c r="L36" i="144"/>
  <c r="L37" i="144"/>
  <c r="L38" i="144"/>
  <c r="L39" i="144"/>
  <c r="L40" i="144"/>
  <c r="L41" i="144"/>
  <c r="L42" i="144"/>
  <c r="L43" i="144"/>
  <c r="L44" i="144"/>
  <c r="L45" i="144"/>
  <c r="L46" i="144"/>
  <c r="L47" i="144"/>
  <c r="L48" i="144"/>
  <c r="L49" i="144"/>
  <c r="L50" i="144"/>
  <c r="L51" i="144"/>
  <c r="L52" i="144"/>
  <c r="L53" i="144"/>
  <c r="L54" i="144"/>
  <c r="L55" i="144"/>
  <c r="L56" i="144"/>
  <c r="L57" i="144"/>
  <c r="L58" i="144"/>
  <c r="L59" i="144"/>
  <c r="L60" i="144"/>
  <c r="L61" i="144"/>
  <c r="L62" i="144"/>
  <c r="L63" i="144"/>
  <c r="L64" i="144"/>
  <c r="L65" i="144"/>
  <c r="L66" i="144"/>
  <c r="L67" i="144"/>
  <c r="L68" i="144"/>
  <c r="L69" i="144"/>
  <c r="L70" i="144"/>
  <c r="L71" i="144"/>
  <c r="L72" i="144"/>
  <c r="L73" i="144"/>
  <c r="L74" i="144"/>
  <c r="L75" i="144"/>
  <c r="L76" i="144"/>
  <c r="L77" i="144"/>
  <c r="L78" i="144"/>
  <c r="L79" i="144"/>
  <c r="L80" i="144"/>
  <c r="L81" i="144"/>
  <c r="L82" i="144"/>
  <c r="L83" i="144"/>
  <c r="L84" i="144"/>
  <c r="L85" i="144"/>
  <c r="L86" i="144"/>
  <c r="L87" i="144"/>
  <c r="L88" i="144"/>
  <c r="L89" i="144"/>
  <c r="L90" i="144"/>
  <c r="L91" i="144"/>
  <c r="L92" i="144"/>
  <c r="L93" i="144"/>
  <c r="L94" i="144"/>
  <c r="L95" i="144"/>
  <c r="L96" i="144"/>
  <c r="L97" i="144"/>
  <c r="L98" i="144"/>
  <c r="L99" i="144"/>
  <c r="L100" i="144"/>
  <c r="L101" i="144"/>
  <c r="L102" i="144"/>
  <c r="L103" i="144"/>
  <c r="L104" i="144"/>
  <c r="L105" i="144"/>
  <c r="L106" i="144"/>
  <c r="L107" i="144"/>
  <c r="L108" i="144"/>
  <c r="L109" i="144"/>
  <c r="L110" i="144"/>
  <c r="L111" i="144"/>
  <c r="L112" i="144"/>
  <c r="L113" i="144"/>
  <c r="L114" i="144"/>
  <c r="L115" i="144"/>
  <c r="L116" i="144"/>
  <c r="L117" i="144"/>
  <c r="L118" i="144"/>
  <c r="L119" i="144"/>
  <c r="L120" i="144"/>
  <c r="L121" i="144"/>
  <c r="L122" i="144"/>
  <c r="L123" i="144"/>
  <c r="L124" i="144"/>
  <c r="L125" i="144"/>
  <c r="L126" i="144"/>
  <c r="L127" i="144"/>
  <c r="L128" i="144"/>
  <c r="L129" i="144"/>
  <c r="L130" i="144"/>
  <c r="L131" i="144"/>
  <c r="L132" i="144"/>
  <c r="L133" i="144"/>
  <c r="L134" i="144"/>
  <c r="L135" i="144"/>
  <c r="L136" i="144"/>
  <c r="L137" i="144"/>
  <c r="L138" i="144"/>
  <c r="L139" i="144"/>
  <c r="L140" i="144"/>
  <c r="L141" i="144"/>
  <c r="L142" i="144"/>
  <c r="L143" i="144"/>
  <c r="L144" i="144"/>
  <c r="L145" i="144"/>
  <c r="L146" i="144"/>
  <c r="L147" i="144"/>
  <c r="L148" i="144"/>
  <c r="L149" i="144"/>
  <c r="L150" i="144"/>
  <c r="L151" i="144"/>
  <c r="L152" i="144"/>
  <c r="L153" i="144"/>
  <c r="L154" i="144"/>
  <c r="L155" i="144"/>
  <c r="L156" i="144"/>
  <c r="L157" i="144"/>
  <c r="L158" i="144"/>
  <c r="L159" i="144"/>
  <c r="L160" i="144"/>
  <c r="L161" i="144"/>
  <c r="L162" i="144"/>
  <c r="L163" i="144"/>
  <c r="L164" i="144"/>
  <c r="L165" i="144"/>
  <c r="L166" i="144"/>
  <c r="L167" i="144"/>
  <c r="L168" i="144"/>
  <c r="L169" i="144"/>
  <c r="L170" i="144"/>
  <c r="L171" i="144"/>
  <c r="L172" i="144"/>
  <c r="L173" i="144"/>
  <c r="L174" i="144"/>
  <c r="L175" i="144"/>
  <c r="L176" i="144"/>
  <c r="L177" i="144"/>
  <c r="L178" i="144"/>
  <c r="L179" i="144"/>
  <c r="L180" i="144"/>
  <c r="L181" i="144"/>
  <c r="L182" i="144"/>
  <c r="L183" i="144"/>
  <c r="L184" i="144"/>
  <c r="L185" i="144"/>
  <c r="L186" i="144"/>
  <c r="L187" i="144"/>
  <c r="L188" i="144"/>
  <c r="L189" i="144"/>
  <c r="L190" i="144"/>
  <c r="L191" i="144"/>
  <c r="L192" i="144"/>
  <c r="L193" i="144"/>
  <c r="L194" i="144"/>
  <c r="L195" i="144"/>
  <c r="L196" i="144"/>
  <c r="L197" i="144"/>
  <c r="L198" i="144"/>
  <c r="L199" i="144"/>
  <c r="L200" i="144"/>
  <c r="L201" i="144"/>
  <c r="L202" i="144"/>
  <c r="L203" i="144"/>
  <c r="L204" i="144"/>
  <c r="L205" i="144"/>
  <c r="L206" i="144"/>
  <c r="L207" i="144"/>
  <c r="L208" i="144"/>
  <c r="L209" i="144"/>
  <c r="L210" i="144"/>
  <c r="L211" i="144"/>
  <c r="L212" i="144"/>
  <c r="L213" i="144"/>
  <c r="L214" i="144"/>
  <c r="L215" i="144"/>
  <c r="L216" i="144"/>
  <c r="L217" i="144"/>
  <c r="L218" i="144"/>
  <c r="L219" i="144"/>
  <c r="L220" i="144"/>
  <c r="L221" i="144"/>
  <c r="L222" i="144"/>
  <c r="L223" i="144"/>
  <c r="L224" i="144"/>
  <c r="L225" i="144"/>
  <c r="L226" i="144"/>
  <c r="L227" i="144"/>
  <c r="L228" i="144"/>
  <c r="L229" i="144"/>
  <c r="L230" i="144"/>
  <c r="L231" i="144"/>
  <c r="L232" i="144"/>
  <c r="L233" i="144"/>
  <c r="L234" i="144"/>
  <c r="L235" i="144"/>
  <c r="L236" i="144"/>
  <c r="L237" i="144"/>
  <c r="L238" i="144"/>
  <c r="L239" i="144"/>
  <c r="L240" i="144"/>
  <c r="L241" i="144"/>
  <c r="L242" i="144"/>
  <c r="L243" i="144"/>
  <c r="L244" i="144"/>
  <c r="L245" i="144"/>
  <c r="L246" i="144"/>
  <c r="L247" i="144"/>
  <c r="L248" i="144"/>
  <c r="L249" i="144"/>
  <c r="L17" i="144"/>
  <c r="C18" i="144"/>
  <c r="C19" i="144"/>
  <c r="C20" i="144"/>
  <c r="C21" i="144"/>
  <c r="C22" i="144"/>
  <c r="C23" i="144"/>
  <c r="C24" i="144"/>
  <c r="C25" i="144"/>
  <c r="C26" i="144"/>
  <c r="C27" i="144"/>
  <c r="C29" i="144"/>
  <c r="C30" i="144"/>
  <c r="C31" i="144"/>
  <c r="C32" i="144"/>
  <c r="C33" i="144"/>
  <c r="C34" i="144"/>
  <c r="C36" i="144"/>
  <c r="C37" i="144"/>
  <c r="C38" i="144"/>
  <c r="C39" i="144"/>
  <c r="C40" i="144"/>
  <c r="C41" i="144"/>
  <c r="C42" i="144"/>
  <c r="C43" i="144"/>
  <c r="C44" i="144"/>
  <c r="C45" i="144"/>
  <c r="C46" i="144"/>
  <c r="C48" i="144"/>
  <c r="C49" i="144"/>
  <c r="C50" i="144"/>
  <c r="C51" i="144"/>
  <c r="C52" i="144"/>
  <c r="C53" i="144"/>
  <c r="C55" i="144"/>
  <c r="C56" i="144"/>
  <c r="C57" i="144"/>
  <c r="C58" i="144"/>
  <c r="C59" i="144"/>
  <c r="C112" i="144" s="1"/>
  <c r="C60" i="144"/>
  <c r="C61" i="144"/>
  <c r="C62" i="144"/>
  <c r="C63" i="144"/>
  <c r="C64" i="144"/>
  <c r="C65" i="144"/>
  <c r="C66" i="144"/>
  <c r="C67" i="144"/>
  <c r="C68" i="144"/>
  <c r="C70" i="144"/>
  <c r="C71" i="144"/>
  <c r="C75" i="144"/>
  <c r="C76" i="144"/>
  <c r="C77" i="144"/>
  <c r="C78" i="144"/>
  <c r="C79" i="144"/>
  <c r="C80" i="144"/>
  <c r="C81" i="144"/>
  <c r="C82" i="144"/>
  <c r="C84" i="144"/>
  <c r="C85" i="144"/>
  <c r="C86" i="144"/>
  <c r="C87" i="144"/>
  <c r="C88" i="144"/>
  <c r="C91" i="144"/>
  <c r="C92" i="144"/>
  <c r="C93" i="144"/>
  <c r="C94" i="144"/>
  <c r="C95" i="144"/>
  <c r="C96" i="144"/>
  <c r="C97" i="144"/>
  <c r="C99" i="144"/>
  <c r="C100" i="144"/>
  <c r="C102" i="144"/>
  <c r="C103" i="144"/>
  <c r="C104" i="144"/>
  <c r="C105" i="144"/>
  <c r="C106" i="144"/>
  <c r="C107" i="144"/>
  <c r="C108" i="144"/>
  <c r="C109" i="144"/>
  <c r="C110" i="144"/>
  <c r="C111" i="144"/>
  <c r="C114" i="144"/>
  <c r="C115" i="144"/>
  <c r="C116" i="144"/>
  <c r="C117" i="144"/>
  <c r="C118" i="144"/>
  <c r="C120" i="144"/>
  <c r="C122" i="144"/>
  <c r="C123" i="144"/>
  <c r="C124" i="144"/>
  <c r="C125" i="144"/>
  <c r="C126" i="144"/>
  <c r="C127" i="144"/>
  <c r="C128" i="144"/>
  <c r="C129" i="144"/>
  <c r="C130" i="144"/>
  <c r="C131" i="144"/>
  <c r="C132" i="144"/>
  <c r="C133" i="144"/>
  <c r="C135" i="144"/>
  <c r="C136" i="144"/>
  <c r="C137" i="144"/>
  <c r="C138" i="144"/>
  <c r="C139" i="144"/>
  <c r="C142" i="144"/>
  <c r="C143" i="144"/>
  <c r="C144" i="144"/>
  <c r="C145" i="144"/>
  <c r="C146" i="144"/>
  <c r="C147" i="144"/>
  <c r="C149" i="144"/>
  <c r="C150" i="144"/>
  <c r="C151" i="144"/>
  <c r="C152" i="144"/>
  <c r="C153" i="144"/>
  <c r="C155" i="144"/>
  <c r="C156" i="144"/>
  <c r="C157" i="144"/>
  <c r="C158" i="144"/>
  <c r="C159" i="144"/>
  <c r="C160" i="144"/>
  <c r="C161" i="144"/>
  <c r="C162" i="144"/>
  <c r="C163" i="144"/>
  <c r="C164" i="144"/>
  <c r="C165" i="144"/>
  <c r="C167" i="144"/>
  <c r="C168" i="144"/>
  <c r="C169" i="144"/>
  <c r="C170" i="144"/>
  <c r="C171" i="144"/>
  <c r="C172" i="144"/>
  <c r="C173" i="144"/>
  <c r="C174" i="144"/>
  <c r="C175" i="144"/>
  <c r="C176" i="144"/>
  <c r="C177" i="144"/>
  <c r="C178" i="144"/>
  <c r="C179" i="144"/>
  <c r="C180" i="144"/>
  <c r="C181" i="144"/>
  <c r="C182" i="144"/>
  <c r="C183" i="144"/>
  <c r="C184" i="144"/>
  <c r="C187" i="144"/>
  <c r="C188" i="144"/>
  <c r="C190" i="144"/>
  <c r="C191" i="144"/>
  <c r="C192" i="144"/>
  <c r="C193" i="144"/>
  <c r="C194" i="144"/>
  <c r="C195" i="144"/>
  <c r="C196" i="144"/>
  <c r="C197" i="144"/>
  <c r="C198" i="144"/>
  <c r="C199" i="144"/>
  <c r="C200" i="144"/>
  <c r="C201" i="144"/>
  <c r="C204" i="144"/>
  <c r="C205" i="144"/>
  <c r="C206" i="144"/>
  <c r="C207" i="144"/>
  <c r="C209" i="144"/>
  <c r="C210" i="144"/>
  <c r="C211" i="144"/>
  <c r="C212" i="144"/>
  <c r="C213" i="144"/>
  <c r="C214" i="144"/>
  <c r="C215" i="144"/>
  <c r="C216" i="144"/>
  <c r="C217" i="144"/>
  <c r="C219" i="144"/>
  <c r="C220" i="144"/>
  <c r="C221" i="144"/>
  <c r="C222" i="144"/>
  <c r="C223" i="144"/>
  <c r="C224" i="144"/>
  <c r="C225" i="144"/>
  <c r="C226" i="144"/>
  <c r="C227" i="144"/>
  <c r="C228" i="144"/>
  <c r="C229" i="144"/>
  <c r="C230" i="144"/>
  <c r="C231" i="144"/>
  <c r="C232" i="144"/>
  <c r="C233" i="144"/>
  <c r="C234" i="144"/>
  <c r="C235" i="144"/>
  <c r="C236" i="144"/>
  <c r="C237" i="144"/>
  <c r="C238" i="144"/>
  <c r="C239" i="144"/>
  <c r="C240" i="144"/>
  <c r="C241" i="144"/>
  <c r="C242" i="144"/>
  <c r="C243" i="144"/>
  <c r="C244" i="144"/>
  <c r="C245" i="144"/>
  <c r="C246" i="144"/>
  <c r="C247" i="144"/>
  <c r="C248" i="144"/>
  <c r="C249" i="144"/>
  <c r="C275" i="144"/>
  <c r="C276" i="144"/>
  <c r="C277" i="144"/>
  <c r="C278" i="144"/>
  <c r="C279" i="144"/>
  <c r="C280" i="144"/>
  <c r="C281" i="144"/>
  <c r="C282" i="144"/>
  <c r="C283" i="144"/>
  <c r="C284" i="144"/>
  <c r="C285" i="144"/>
  <c r="C286" i="144"/>
  <c r="C287" i="144"/>
  <c r="C288" i="144"/>
  <c r="C289" i="144"/>
  <c r="C290" i="144"/>
  <c r="C291" i="144"/>
  <c r="C292" i="144"/>
  <c r="C293" i="144"/>
  <c r="C294" i="144"/>
  <c r="C295" i="144"/>
  <c r="C296" i="144"/>
  <c r="C297" i="144"/>
  <c r="C298" i="144"/>
  <c r="C299" i="144"/>
  <c r="C300" i="144"/>
  <c r="C301" i="144"/>
  <c r="C302" i="144"/>
  <c r="C303" i="144"/>
  <c r="C304" i="144"/>
  <c r="C305" i="144"/>
  <c r="C306" i="144"/>
  <c r="C307" i="144"/>
  <c r="C17" i="144"/>
  <c r="C22" i="140" l="1"/>
  <c r="S135" i="160"/>
  <c r="T136" i="160" s="1"/>
  <c r="U137" i="160" s="1"/>
  <c r="V138" i="160" s="1"/>
  <c r="I251" i="144"/>
  <c r="F251" i="144"/>
  <c r="K251" i="144"/>
  <c r="L251" i="144"/>
  <c r="E250" i="144"/>
  <c r="F250" i="144"/>
  <c r="H250" i="144"/>
  <c r="L250" i="144"/>
  <c r="K250" i="144"/>
  <c r="J250" i="144"/>
  <c r="I250" i="144"/>
  <c r="E251" i="144"/>
  <c r="G250" i="144"/>
  <c r="G251" i="144"/>
  <c r="H251" i="144"/>
  <c r="AY21" i="140" l="1"/>
  <c r="AX71" i="140" s="1"/>
  <c r="M71" i="140" s="1"/>
  <c r="AY50" i="140"/>
  <c r="AX100" i="140" s="1"/>
  <c r="AY46" i="140"/>
  <c r="AX96" i="140" s="1"/>
  <c r="M15" i="140"/>
  <c r="AY19" i="140"/>
  <c r="AX69" i="140" s="1"/>
  <c r="M69" i="140" s="1"/>
  <c r="AY38" i="140"/>
  <c r="AX88" i="140" s="1"/>
  <c r="M35" i="140"/>
  <c r="AY30" i="140"/>
  <c r="AX80" i="140" s="1"/>
  <c r="AY33" i="140"/>
  <c r="AX83" i="140" s="1"/>
  <c r="AY40" i="140"/>
  <c r="AX90" i="140" s="1"/>
  <c r="AY13" i="140"/>
  <c r="AX63" i="140" s="1"/>
  <c r="M63" i="140" s="1"/>
  <c r="AY20" i="140"/>
  <c r="AX70" i="140" s="1"/>
  <c r="M70" i="140" s="1"/>
  <c r="AY36" i="140"/>
  <c r="AX86" i="140" s="1"/>
  <c r="M42" i="140"/>
  <c r="AY31" i="140"/>
  <c r="AX81" i="140" s="1"/>
  <c r="AY53" i="140"/>
  <c r="AX103" i="140" s="1"/>
  <c r="AY55" i="140"/>
  <c r="AX105" i="140" s="1"/>
  <c r="AY37" i="140"/>
  <c r="AX87" i="140" s="1"/>
  <c r="AY39" i="140"/>
  <c r="AX89" i="140" s="1"/>
  <c r="AY14" i="140"/>
  <c r="AX64" i="140" s="1"/>
  <c r="M64" i="140" s="1"/>
  <c r="AY18" i="140"/>
  <c r="AX68" i="140" s="1"/>
  <c r="M68" i="140" s="1"/>
  <c r="M47" i="140"/>
  <c r="M56" i="140"/>
  <c r="N17" i="159"/>
  <c r="N20" i="159" s="1"/>
  <c r="M51" i="140" s="1"/>
  <c r="AY25" i="140"/>
  <c r="AX75" i="140" s="1"/>
  <c r="M75" i="140" s="1"/>
  <c r="M52" i="140"/>
  <c r="AY34" i="140"/>
  <c r="AX84" i="140" s="1"/>
  <c r="M32" i="140"/>
  <c r="AY22" i="140"/>
  <c r="AX72" i="140" s="1"/>
  <c r="M72" i="140" s="1"/>
  <c r="M60" i="140"/>
  <c r="M44" i="140"/>
  <c r="AY16" i="140"/>
  <c r="AX66" i="140" s="1"/>
  <c r="M66" i="140" s="1"/>
  <c r="AY23" i="140"/>
  <c r="AX73" i="140" s="1"/>
  <c r="M73" i="140" s="1"/>
  <c r="AY59" i="140"/>
  <c r="AX109" i="140" s="1"/>
  <c r="M59" i="140"/>
  <c r="M21" i="140"/>
  <c r="L253" i="144"/>
  <c r="AY41" i="140"/>
  <c r="AX91" i="140" s="1"/>
  <c r="M41" i="140"/>
  <c r="R135" i="160"/>
  <c r="Q135" i="160" s="1" a="1"/>
  <c r="Q135" i="160" s="1"/>
  <c r="AY60" i="140" l="1"/>
  <c r="AX110" i="140" s="1"/>
  <c r="M46" i="140"/>
  <c r="AY35" i="140"/>
  <c r="AX85" i="140" s="1"/>
  <c r="M50" i="140"/>
  <c r="AY44" i="140"/>
  <c r="AX94" i="140" s="1"/>
  <c r="M38" i="140"/>
  <c r="AY17" i="140"/>
  <c r="AX67" i="140" s="1"/>
  <c r="M67" i="140" s="1"/>
  <c r="AY12" i="140"/>
  <c r="AX62" i="140" s="1"/>
  <c r="M62" i="140" s="1"/>
  <c r="M23" i="140"/>
  <c r="M37" i="140"/>
  <c r="M16" i="140"/>
  <c r="M53" i="140"/>
  <c r="M19" i="140"/>
  <c r="M55" i="140"/>
  <c r="AY15" i="140"/>
  <c r="AX65" i="140" s="1"/>
  <c r="M65" i="140" s="1"/>
  <c r="AY32" i="140"/>
  <c r="AX82" i="140" s="1"/>
  <c r="M33" i="140"/>
  <c r="M22" i="140"/>
  <c r="M31" i="140"/>
  <c r="AY56" i="140"/>
  <c r="AX106" i="140" s="1"/>
  <c r="M40" i="140"/>
  <c r="M30" i="140"/>
  <c r="AY47" i="140"/>
  <c r="AX97" i="140" s="1"/>
  <c r="AY42" i="140"/>
  <c r="AX92" i="140" s="1"/>
  <c r="M14" i="140"/>
  <c r="M20" i="140"/>
  <c r="AY51" i="140"/>
  <c r="AX101" i="140" s="1"/>
  <c r="AY52" i="140"/>
  <c r="AX102" i="140" s="1"/>
  <c r="M25" i="140"/>
  <c r="M34" i="140"/>
  <c r="S136" i="160"/>
  <c r="T137" i="160" s="1"/>
  <c r="U138" i="160" s="1"/>
  <c r="V139" i="160" s="1"/>
  <c r="M10" i="140" l="1"/>
  <c r="R136" i="160"/>
  <c r="Q136" i="160" s="1" a="1"/>
  <c r="Q136" i="160" s="1"/>
  <c r="N39" i="140" l="1"/>
  <c r="N13" i="140"/>
  <c r="N18" i="140"/>
  <c r="S137" i="160"/>
  <c r="T138" i="160" s="1"/>
  <c r="U139" i="160" s="1"/>
  <c r="V140" i="160" s="1"/>
  <c r="R137" i="160" l="1"/>
  <c r="Q137" i="160" s="1" a="1"/>
  <c r="Q137" i="160" s="1"/>
  <c r="S138" i="160" l="1"/>
  <c r="T139" i="160" s="1"/>
  <c r="U140" i="160" s="1"/>
  <c r="V141" i="160" s="1"/>
  <c r="R138" i="160" l="1"/>
  <c r="Q138" i="160" s="1" a="1"/>
  <c r="Q138" i="160" s="1"/>
  <c r="S139" i="160" l="1"/>
  <c r="T140" i="160" s="1"/>
  <c r="U141" i="160" s="1"/>
  <c r="V142" i="160" s="1"/>
  <c r="R139" i="160" l="1"/>
  <c r="Q139" i="160" s="1" a="1"/>
  <c r="Q139" i="160" s="1"/>
  <c r="S140" i="160" l="1"/>
  <c r="T141" i="160" s="1"/>
  <c r="U142" i="160" s="1"/>
  <c r="V143" i="160" s="1"/>
  <c r="R140" i="160" l="1"/>
  <c r="Q140" i="160" s="1" a="1"/>
  <c r="Q140" i="160" s="1"/>
  <c r="S141" i="160" l="1"/>
  <c r="T142" i="160" s="1"/>
  <c r="U143" i="160" s="1"/>
  <c r="V144" i="160" s="1"/>
  <c r="AB43" i="121"/>
  <c r="AD44" i="121" s="1"/>
  <c r="T40" i="121"/>
  <c r="AA39" i="121"/>
  <c r="AA40" i="121" s="1"/>
  <c r="T38" i="121"/>
  <c r="AQ24" i="121"/>
  <c r="AA24" i="121" a="1"/>
  <c r="AA24" i="121" s="1"/>
  <c r="Z24" i="121" a="1"/>
  <c r="Z24" i="121" s="1"/>
  <c r="Y24" i="121" a="1"/>
  <c r="Y24" i="121" s="1"/>
  <c r="X24" i="121" a="1"/>
  <c r="X24" i="121" s="1"/>
  <c r="W24" i="121" a="1"/>
  <c r="W24" i="121" s="1"/>
  <c r="V24" i="121" a="1"/>
  <c r="V24" i="121" s="1"/>
  <c r="AW24" i="121" s="1"/>
  <c r="S24" i="121" a="1"/>
  <c r="S24" i="121" s="1"/>
  <c r="Q24" i="121" a="1"/>
  <c r="Q24" i="121" s="1"/>
  <c r="P24" i="121" a="1"/>
  <c r="P24" i="121" s="1"/>
  <c r="O24" i="121" a="1"/>
  <c r="O24" i="121" s="1"/>
  <c r="N24" i="121" a="1"/>
  <c r="N24" i="121" s="1"/>
  <c r="M24" i="121" a="1"/>
  <c r="M24" i="121" s="1"/>
  <c r="L24" i="121" a="1"/>
  <c r="L24" i="121" s="1"/>
  <c r="K24" i="121" a="1"/>
  <c r="K24" i="121" s="1"/>
  <c r="J24" i="121" a="1"/>
  <c r="J24" i="121" s="1"/>
  <c r="I24" i="121" a="1"/>
  <c r="I24" i="121" s="1"/>
  <c r="H24" i="121" a="1"/>
  <c r="H24" i="121" s="1"/>
  <c r="G24" i="121" a="1"/>
  <c r="G24" i="121" s="1"/>
  <c r="F24" i="121" a="1"/>
  <c r="F24" i="121" s="1"/>
  <c r="E24" i="121" a="1"/>
  <c r="E24" i="121" s="1"/>
  <c r="D24" i="121" a="1"/>
  <c r="D24" i="121" s="1"/>
  <c r="C24" i="121" a="1"/>
  <c r="C24" i="121" s="1"/>
  <c r="AQ23" i="121"/>
  <c r="AA23" i="121" a="1"/>
  <c r="AA23" i="121" s="1"/>
  <c r="Z23" i="121" a="1"/>
  <c r="Z23" i="121" s="1"/>
  <c r="Y23" i="121" a="1"/>
  <c r="Y23" i="121" s="1"/>
  <c r="X23" i="121" a="1"/>
  <c r="X23" i="121" s="1"/>
  <c r="W23" i="121" a="1"/>
  <c r="W23" i="121" s="1"/>
  <c r="V23" i="121" a="1"/>
  <c r="V23" i="121" s="1"/>
  <c r="AW23" i="121" s="1"/>
  <c r="S23" i="121" a="1"/>
  <c r="S23" i="121" s="1"/>
  <c r="Q23" i="121" a="1"/>
  <c r="Q23" i="121" s="1"/>
  <c r="P23" i="121" a="1"/>
  <c r="P23" i="121" s="1"/>
  <c r="O23" i="121" a="1"/>
  <c r="O23" i="121" s="1"/>
  <c r="N23" i="121" a="1"/>
  <c r="N23" i="121" s="1"/>
  <c r="M23" i="121" a="1"/>
  <c r="M23" i="121" s="1"/>
  <c r="L23" i="121" a="1"/>
  <c r="L23" i="121" s="1"/>
  <c r="K23" i="121" a="1"/>
  <c r="K23" i="121" s="1"/>
  <c r="J23" i="121" a="1"/>
  <c r="J23" i="121" s="1"/>
  <c r="I23" i="121" a="1"/>
  <c r="I23" i="121" s="1"/>
  <c r="H23" i="121" a="1"/>
  <c r="H23" i="121" s="1"/>
  <c r="G23" i="121" a="1"/>
  <c r="G23" i="121" s="1"/>
  <c r="F23" i="121" a="1"/>
  <c r="F23" i="121" s="1"/>
  <c r="E23" i="121" a="1"/>
  <c r="E23" i="121" s="1"/>
  <c r="D23" i="121" a="1"/>
  <c r="D23" i="121" s="1"/>
  <c r="C23" i="121" a="1"/>
  <c r="C23" i="121" s="1"/>
  <c r="AQ22" i="121"/>
  <c r="AA22" i="121" a="1"/>
  <c r="AA22" i="121" s="1"/>
  <c r="Z22" i="121" a="1"/>
  <c r="Z22" i="121" s="1"/>
  <c r="Y22" i="121" a="1"/>
  <c r="Y22" i="121" s="1"/>
  <c r="X22" i="121" a="1"/>
  <c r="X22" i="121" s="1"/>
  <c r="W22" i="121" a="1"/>
  <c r="W22" i="121" s="1"/>
  <c r="V22" i="121" a="1"/>
  <c r="V22" i="121" s="1"/>
  <c r="AW22" i="121" s="1"/>
  <c r="S22" i="121" a="1"/>
  <c r="S22" i="121" s="1"/>
  <c r="Q22" i="121" a="1"/>
  <c r="Q22" i="121" s="1"/>
  <c r="P22" i="121" a="1"/>
  <c r="P22" i="121" s="1"/>
  <c r="O22" i="121" a="1"/>
  <c r="O22" i="121" s="1"/>
  <c r="N22" i="121" a="1"/>
  <c r="N22" i="121" s="1"/>
  <c r="M22" i="121" a="1"/>
  <c r="M22" i="121" s="1"/>
  <c r="L22" i="121" a="1"/>
  <c r="L22" i="121" s="1"/>
  <c r="K22" i="121" a="1"/>
  <c r="K22" i="121" s="1"/>
  <c r="J22" i="121" a="1"/>
  <c r="J22" i="121" s="1"/>
  <c r="I22" i="121" a="1"/>
  <c r="I22" i="121" s="1"/>
  <c r="H22" i="121" a="1"/>
  <c r="H22" i="121" s="1"/>
  <c r="G22" i="121" a="1"/>
  <c r="G22" i="121" s="1"/>
  <c r="F22" i="121" a="1"/>
  <c r="F22" i="121" s="1"/>
  <c r="E22" i="121" a="1"/>
  <c r="E22" i="121" s="1"/>
  <c r="D22" i="121" a="1"/>
  <c r="D22" i="121" s="1"/>
  <c r="C22" i="121" a="1"/>
  <c r="C22" i="121" s="1"/>
  <c r="AQ21" i="121"/>
  <c r="AA21" i="121" a="1"/>
  <c r="AA21" i="121" s="1"/>
  <c r="Z21" i="121" a="1"/>
  <c r="Z21" i="121" s="1"/>
  <c r="Y21" i="121" a="1"/>
  <c r="Y21" i="121" s="1"/>
  <c r="X21" i="121" a="1"/>
  <c r="X21" i="121" s="1"/>
  <c r="W21" i="121" a="1"/>
  <c r="W21" i="121" s="1"/>
  <c r="V21" i="121" a="1"/>
  <c r="V21" i="121" s="1"/>
  <c r="AW21" i="121" s="1"/>
  <c r="S21" i="121" a="1"/>
  <c r="S21" i="121" s="1"/>
  <c r="Q21" i="121" a="1"/>
  <c r="Q21" i="121" s="1"/>
  <c r="P21" i="121" a="1"/>
  <c r="P21" i="121" s="1"/>
  <c r="O21" i="121" a="1"/>
  <c r="O21" i="121" s="1"/>
  <c r="N21" i="121" a="1"/>
  <c r="N21" i="121" s="1"/>
  <c r="M21" i="121" a="1"/>
  <c r="M21" i="121" s="1"/>
  <c r="L21" i="121" a="1"/>
  <c r="L21" i="121" s="1"/>
  <c r="K21" i="121" a="1"/>
  <c r="K21" i="121" s="1"/>
  <c r="J21" i="121" a="1"/>
  <c r="J21" i="121" s="1"/>
  <c r="I21" i="121" a="1"/>
  <c r="I21" i="121" s="1"/>
  <c r="H21" i="121" a="1"/>
  <c r="H21" i="121" s="1"/>
  <c r="G21" i="121" a="1"/>
  <c r="G21" i="121" s="1"/>
  <c r="F21" i="121" a="1"/>
  <c r="F21" i="121" s="1"/>
  <c r="E21" i="121" a="1"/>
  <c r="E21" i="121" s="1"/>
  <c r="D21" i="121" a="1"/>
  <c r="D21" i="121" s="1"/>
  <c r="C21" i="121" a="1"/>
  <c r="C21" i="121" s="1"/>
  <c r="AQ20" i="121"/>
  <c r="AA20" i="121" a="1"/>
  <c r="AA20" i="121" s="1"/>
  <c r="Z20" i="121" a="1"/>
  <c r="Z20" i="121" s="1"/>
  <c r="Y20" i="121" a="1"/>
  <c r="Y20" i="121" s="1"/>
  <c r="X20" i="121" a="1"/>
  <c r="X20" i="121" s="1"/>
  <c r="W20" i="121" a="1"/>
  <c r="W20" i="121" s="1"/>
  <c r="V20" i="121" a="1"/>
  <c r="V20" i="121" s="1"/>
  <c r="AW20" i="121" s="1"/>
  <c r="S20" i="121" a="1"/>
  <c r="S20" i="121" s="1"/>
  <c r="AF20" i="121" s="1"/>
  <c r="Q20" i="121" a="1"/>
  <c r="Q20" i="121" s="1"/>
  <c r="P20" i="121" a="1"/>
  <c r="P20" i="121" s="1"/>
  <c r="O20" i="121" a="1"/>
  <c r="O20" i="121" s="1"/>
  <c r="N20" i="121" a="1"/>
  <c r="N20" i="121" s="1"/>
  <c r="M20" i="121" a="1"/>
  <c r="M20" i="121" s="1"/>
  <c r="L20" i="121" a="1"/>
  <c r="L20" i="121" s="1"/>
  <c r="K20" i="121" a="1"/>
  <c r="K20" i="121" s="1"/>
  <c r="J20" i="121" a="1"/>
  <c r="J20" i="121" s="1"/>
  <c r="I20" i="121" a="1"/>
  <c r="I20" i="121" s="1"/>
  <c r="H20" i="121" a="1"/>
  <c r="H20" i="121" s="1"/>
  <c r="G20" i="121" a="1"/>
  <c r="G20" i="121" s="1"/>
  <c r="F20" i="121" a="1"/>
  <c r="F20" i="121" s="1"/>
  <c r="E20" i="121" a="1"/>
  <c r="E20" i="121" s="1"/>
  <c r="D20" i="121" a="1"/>
  <c r="D20" i="121" s="1"/>
  <c r="C20" i="121" a="1"/>
  <c r="C20" i="121" s="1"/>
  <c r="AQ19" i="121"/>
  <c r="AA19" i="121" a="1"/>
  <c r="AA19" i="121" s="1"/>
  <c r="Z19" i="121" a="1"/>
  <c r="Z19" i="121" s="1"/>
  <c r="Y19" i="121" a="1"/>
  <c r="Y19" i="121" s="1"/>
  <c r="X19" i="121" a="1"/>
  <c r="X19" i="121" s="1"/>
  <c r="W19" i="121" a="1"/>
  <c r="W19" i="121" s="1"/>
  <c r="V19" i="121" a="1"/>
  <c r="V19" i="121" s="1"/>
  <c r="AW19" i="121" s="1"/>
  <c r="S19" i="121" a="1"/>
  <c r="S19" i="121" s="1"/>
  <c r="AF19" i="121" s="1"/>
  <c r="Q19" i="121" a="1"/>
  <c r="Q19" i="121" s="1"/>
  <c r="P19" i="121" a="1"/>
  <c r="P19" i="121" s="1"/>
  <c r="O19" i="121" a="1"/>
  <c r="O19" i="121" s="1"/>
  <c r="N19" i="121" a="1"/>
  <c r="N19" i="121" s="1"/>
  <c r="M19" i="121" a="1"/>
  <c r="M19" i="121" s="1"/>
  <c r="L19" i="121" a="1"/>
  <c r="L19" i="121" s="1"/>
  <c r="K19" i="121" a="1"/>
  <c r="K19" i="121" s="1"/>
  <c r="J19" i="121" a="1"/>
  <c r="J19" i="121" s="1"/>
  <c r="I19" i="121" a="1"/>
  <c r="I19" i="121" s="1"/>
  <c r="H19" i="121" a="1"/>
  <c r="H19" i="121" s="1"/>
  <c r="G19" i="121" a="1"/>
  <c r="G19" i="121" s="1"/>
  <c r="F19" i="121" a="1"/>
  <c r="F19" i="121" s="1"/>
  <c r="E19" i="121" a="1"/>
  <c r="E19" i="121" s="1"/>
  <c r="D19" i="121" a="1"/>
  <c r="D19" i="121" s="1"/>
  <c r="C19" i="121" a="1"/>
  <c r="C19" i="121" s="1"/>
  <c r="AQ18" i="121"/>
  <c r="AA18" i="121" a="1"/>
  <c r="AA18" i="121" s="1"/>
  <c r="Z18" i="121" a="1"/>
  <c r="Z18" i="121" s="1"/>
  <c r="Y18" i="121" a="1"/>
  <c r="Y18" i="121" s="1"/>
  <c r="X18" i="121" a="1"/>
  <c r="X18" i="121" s="1"/>
  <c r="W18" i="121" a="1"/>
  <c r="W18" i="121" s="1"/>
  <c r="V18" i="121" a="1"/>
  <c r="V18" i="121" s="1"/>
  <c r="AW18" i="121" s="1"/>
  <c r="S18" i="121" a="1"/>
  <c r="S18" i="121" s="1"/>
  <c r="Q18" i="121" a="1"/>
  <c r="Q18" i="121" s="1"/>
  <c r="P18" i="121" a="1"/>
  <c r="P18" i="121" s="1"/>
  <c r="O18" i="121" a="1"/>
  <c r="O18" i="121" s="1"/>
  <c r="N18" i="121" a="1"/>
  <c r="N18" i="121" s="1"/>
  <c r="M18" i="121" a="1"/>
  <c r="M18" i="121" s="1"/>
  <c r="L18" i="121" a="1"/>
  <c r="L18" i="121" s="1"/>
  <c r="K18" i="121" a="1"/>
  <c r="K18" i="121" s="1"/>
  <c r="J18" i="121" a="1"/>
  <c r="J18" i="121" s="1"/>
  <c r="I18" i="121" a="1"/>
  <c r="I18" i="121" s="1"/>
  <c r="H18" i="121" a="1"/>
  <c r="H18" i="121" s="1"/>
  <c r="G18" i="121" a="1"/>
  <c r="G18" i="121" s="1"/>
  <c r="F18" i="121" a="1"/>
  <c r="F18" i="121" s="1"/>
  <c r="E18" i="121" a="1"/>
  <c r="E18" i="121" s="1"/>
  <c r="D18" i="121" a="1"/>
  <c r="D18" i="121" s="1"/>
  <c r="C18" i="121" a="1"/>
  <c r="C18" i="121" s="1"/>
  <c r="AQ17" i="121"/>
  <c r="AA17" i="121" a="1"/>
  <c r="AA17" i="121" s="1"/>
  <c r="Z17" i="121" a="1"/>
  <c r="Z17" i="121" s="1"/>
  <c r="Y17" i="121" a="1"/>
  <c r="Y17" i="121" s="1"/>
  <c r="X17" i="121" a="1"/>
  <c r="X17" i="121" s="1"/>
  <c r="W17" i="121" a="1"/>
  <c r="W17" i="121" s="1"/>
  <c r="V17" i="121" a="1"/>
  <c r="V17" i="121" s="1"/>
  <c r="AW17" i="121" s="1"/>
  <c r="S17" i="121" a="1"/>
  <c r="S17" i="121" s="1"/>
  <c r="Q17" i="121" a="1"/>
  <c r="Q17" i="121" s="1"/>
  <c r="P17" i="121" a="1"/>
  <c r="P17" i="121" s="1"/>
  <c r="O17" i="121" a="1"/>
  <c r="O17" i="121" s="1"/>
  <c r="N17" i="121" a="1"/>
  <c r="N17" i="121" s="1"/>
  <c r="M17" i="121" a="1"/>
  <c r="M17" i="121" s="1"/>
  <c r="L17" i="121" a="1"/>
  <c r="L17" i="121" s="1"/>
  <c r="K17" i="121" a="1"/>
  <c r="K17" i="121" s="1"/>
  <c r="J17" i="121" a="1"/>
  <c r="J17" i="121" s="1"/>
  <c r="I17" i="121" a="1"/>
  <c r="I17" i="121" s="1"/>
  <c r="H17" i="121" a="1"/>
  <c r="H17" i="121" s="1"/>
  <c r="G17" i="121" a="1"/>
  <c r="G17" i="121" s="1"/>
  <c r="F17" i="121" a="1"/>
  <c r="F17" i="121" s="1"/>
  <c r="E17" i="121" a="1"/>
  <c r="E17" i="121" s="1"/>
  <c r="D17" i="121" a="1"/>
  <c r="D17" i="121" s="1"/>
  <c r="C17" i="121" a="1"/>
  <c r="C17" i="121" s="1"/>
  <c r="AQ16" i="121"/>
  <c r="AA16" i="121" a="1"/>
  <c r="AA16" i="121" s="1"/>
  <c r="Z16" i="121" a="1"/>
  <c r="Z16" i="121" s="1"/>
  <c r="Y16" i="121" a="1"/>
  <c r="Y16" i="121" s="1"/>
  <c r="X16" i="121" a="1"/>
  <c r="X16" i="121" s="1"/>
  <c r="W16" i="121" a="1"/>
  <c r="W16" i="121" s="1"/>
  <c r="V16" i="121" a="1"/>
  <c r="V16" i="121" s="1"/>
  <c r="AW16" i="121" s="1"/>
  <c r="S16" i="121" a="1"/>
  <c r="S16" i="121" s="1"/>
  <c r="Q16" i="121" a="1"/>
  <c r="Q16" i="121" s="1"/>
  <c r="P16" i="121" a="1"/>
  <c r="P16" i="121" s="1"/>
  <c r="O16" i="121" a="1"/>
  <c r="O16" i="121" s="1"/>
  <c r="N16" i="121" a="1"/>
  <c r="N16" i="121" s="1"/>
  <c r="M16" i="121" a="1"/>
  <c r="M16" i="121" s="1"/>
  <c r="L16" i="121" a="1"/>
  <c r="L16" i="121" s="1"/>
  <c r="K16" i="121" a="1"/>
  <c r="K16" i="121" s="1"/>
  <c r="J16" i="121" a="1"/>
  <c r="J16" i="121" s="1"/>
  <c r="I16" i="121" a="1"/>
  <c r="I16" i="121" s="1"/>
  <c r="H16" i="121" a="1"/>
  <c r="H16" i="121" s="1"/>
  <c r="G16" i="121" a="1"/>
  <c r="G16" i="121" s="1"/>
  <c r="F16" i="121" a="1"/>
  <c r="F16" i="121" s="1"/>
  <c r="E16" i="121" a="1"/>
  <c r="E16" i="121" s="1"/>
  <c r="D16" i="121" a="1"/>
  <c r="D16" i="121" s="1"/>
  <c r="C16" i="121" a="1"/>
  <c r="C16" i="121" s="1"/>
  <c r="AQ15" i="121"/>
  <c r="AA15" i="121" a="1"/>
  <c r="AA15" i="121" s="1"/>
  <c r="Z15" i="121" a="1"/>
  <c r="Z15" i="121" s="1"/>
  <c r="Y15" i="121" a="1"/>
  <c r="Y15" i="121" s="1"/>
  <c r="X15" i="121" a="1"/>
  <c r="X15" i="121" s="1"/>
  <c r="W15" i="121" a="1"/>
  <c r="W15" i="121" s="1"/>
  <c r="V15" i="121" a="1"/>
  <c r="V15" i="121" s="1"/>
  <c r="AW15" i="121" s="1"/>
  <c r="S15" i="121" a="1"/>
  <c r="S15" i="121" s="1"/>
  <c r="Q15" i="121" a="1"/>
  <c r="Q15" i="121" s="1"/>
  <c r="P15" i="121" a="1"/>
  <c r="P15" i="121" s="1"/>
  <c r="O15" i="121" a="1"/>
  <c r="O15" i="121" s="1"/>
  <c r="N15" i="121" a="1"/>
  <c r="N15" i="121" s="1"/>
  <c r="M15" i="121" a="1"/>
  <c r="M15" i="121" s="1"/>
  <c r="L15" i="121" a="1"/>
  <c r="L15" i="121" s="1"/>
  <c r="K15" i="121" a="1"/>
  <c r="K15" i="121" s="1"/>
  <c r="J15" i="121" a="1"/>
  <c r="J15" i="121" s="1"/>
  <c r="I15" i="121" a="1"/>
  <c r="I15" i="121" s="1"/>
  <c r="H15" i="121" a="1"/>
  <c r="H15" i="121" s="1"/>
  <c r="G15" i="121" a="1"/>
  <c r="G15" i="121" s="1"/>
  <c r="F15" i="121" a="1"/>
  <c r="F15" i="121" s="1"/>
  <c r="E15" i="121" a="1"/>
  <c r="E15" i="121" s="1"/>
  <c r="D15" i="121" a="1"/>
  <c r="D15" i="121" s="1"/>
  <c r="C15" i="121" a="1"/>
  <c r="C15" i="121" s="1"/>
  <c r="AQ14" i="121"/>
  <c r="AA14" i="121" a="1"/>
  <c r="AA14" i="121" s="1"/>
  <c r="Z14" i="121" a="1"/>
  <c r="Z14" i="121" s="1"/>
  <c r="Y14" i="121" a="1"/>
  <c r="Y14" i="121" s="1"/>
  <c r="X14" i="121" a="1"/>
  <c r="X14" i="121" s="1"/>
  <c r="W14" i="121" a="1"/>
  <c r="W14" i="121" s="1"/>
  <c r="V14" i="121" a="1"/>
  <c r="V14" i="121" s="1"/>
  <c r="AW14" i="121" s="1"/>
  <c r="S14" i="121" a="1"/>
  <c r="S14" i="121" s="1"/>
  <c r="AF14" i="121" s="1"/>
  <c r="Q14" i="121" a="1"/>
  <c r="Q14" i="121" s="1"/>
  <c r="P14" i="121" a="1"/>
  <c r="P14" i="121" s="1"/>
  <c r="O14" i="121" a="1"/>
  <c r="O14" i="121" s="1"/>
  <c r="N14" i="121" a="1"/>
  <c r="N14" i="121" s="1"/>
  <c r="M14" i="121" a="1"/>
  <c r="M14" i="121" s="1"/>
  <c r="L14" i="121" a="1"/>
  <c r="L14" i="121" s="1"/>
  <c r="K14" i="121" a="1"/>
  <c r="K14" i="121" s="1"/>
  <c r="J14" i="121" a="1"/>
  <c r="J14" i="121" s="1"/>
  <c r="I14" i="121" a="1"/>
  <c r="I14" i="121" s="1"/>
  <c r="H14" i="121" a="1"/>
  <c r="H14" i="121" s="1"/>
  <c r="G14" i="121" a="1"/>
  <c r="G14" i="121" s="1"/>
  <c r="F14" i="121" a="1"/>
  <c r="F14" i="121" s="1"/>
  <c r="E14" i="121" a="1"/>
  <c r="E14" i="121" s="1"/>
  <c r="D14" i="121" a="1"/>
  <c r="D14" i="121" s="1"/>
  <c r="C14" i="121" a="1"/>
  <c r="C14" i="121" s="1"/>
  <c r="AQ13" i="121"/>
  <c r="AA13" i="121" a="1"/>
  <c r="AA13" i="121" s="1"/>
  <c r="Z13" i="121" a="1"/>
  <c r="Z13" i="121" s="1"/>
  <c r="Y13" i="121" a="1"/>
  <c r="Y13" i="121" s="1"/>
  <c r="X13" i="121" a="1"/>
  <c r="X13" i="121" s="1"/>
  <c r="W13" i="121" a="1"/>
  <c r="W13" i="121" s="1"/>
  <c r="V13" i="121" a="1"/>
  <c r="V13" i="121" s="1"/>
  <c r="AW13" i="121" s="1"/>
  <c r="S13" i="121" a="1"/>
  <c r="S13" i="121" s="1"/>
  <c r="Q13" i="121" a="1"/>
  <c r="Q13" i="121" s="1"/>
  <c r="P13" i="121" a="1"/>
  <c r="P13" i="121" s="1"/>
  <c r="O13" i="121" a="1"/>
  <c r="O13" i="121" s="1"/>
  <c r="N13" i="121" a="1"/>
  <c r="N13" i="121" s="1"/>
  <c r="M13" i="121" a="1"/>
  <c r="M13" i="121" s="1"/>
  <c r="L13" i="121" a="1"/>
  <c r="L13" i="121" s="1"/>
  <c r="K13" i="121" a="1"/>
  <c r="K13" i="121" s="1"/>
  <c r="J13" i="121" a="1"/>
  <c r="J13" i="121" s="1"/>
  <c r="I13" i="121" a="1"/>
  <c r="I13" i="121" s="1"/>
  <c r="H13" i="121" a="1"/>
  <c r="H13" i="121" s="1"/>
  <c r="G13" i="121" a="1"/>
  <c r="G13" i="121" s="1"/>
  <c r="F13" i="121" a="1"/>
  <c r="F13" i="121" s="1"/>
  <c r="E13" i="121" a="1"/>
  <c r="E13" i="121" s="1"/>
  <c r="D13" i="121" a="1"/>
  <c r="D13" i="121" s="1"/>
  <c r="C13" i="121" a="1"/>
  <c r="C13" i="121" s="1"/>
  <c r="AQ12" i="121"/>
  <c r="AA12" i="121" a="1"/>
  <c r="AA12" i="121" s="1"/>
  <c r="Z12" i="121" a="1"/>
  <c r="Z12" i="121" s="1"/>
  <c r="Y12" i="121" a="1"/>
  <c r="Y12" i="121" s="1"/>
  <c r="X12" i="121" a="1"/>
  <c r="X12" i="121" s="1"/>
  <c r="W12" i="121" a="1"/>
  <c r="W12" i="121" s="1"/>
  <c r="V12" i="121" a="1"/>
  <c r="V12" i="121" s="1"/>
  <c r="AW12" i="121" s="1"/>
  <c r="S12" i="121" a="1"/>
  <c r="S12" i="121" s="1"/>
  <c r="Q12" i="121" a="1"/>
  <c r="Q12" i="121" s="1"/>
  <c r="P12" i="121" a="1"/>
  <c r="P12" i="121" s="1"/>
  <c r="O12" i="121" a="1"/>
  <c r="O12" i="121" s="1"/>
  <c r="N12" i="121" a="1"/>
  <c r="N12" i="121" s="1"/>
  <c r="M12" i="121" a="1"/>
  <c r="M12" i="121" s="1"/>
  <c r="L12" i="121" a="1"/>
  <c r="L12" i="121" s="1"/>
  <c r="K12" i="121" a="1"/>
  <c r="K12" i="121" s="1"/>
  <c r="J12" i="121" a="1"/>
  <c r="J12" i="121" s="1"/>
  <c r="I12" i="121" a="1"/>
  <c r="I12" i="121" s="1"/>
  <c r="H12" i="121" a="1"/>
  <c r="H12" i="121" s="1"/>
  <c r="G12" i="121" a="1"/>
  <c r="G12" i="121" s="1"/>
  <c r="F12" i="121" a="1"/>
  <c r="F12" i="121" s="1"/>
  <c r="E12" i="121" a="1"/>
  <c r="E12" i="121" s="1"/>
  <c r="D12" i="121" a="1"/>
  <c r="D12" i="121" s="1"/>
  <c r="C12" i="121" a="1"/>
  <c r="C12" i="121" s="1"/>
  <c r="AQ11" i="121"/>
  <c r="AA11" i="121" a="1"/>
  <c r="AA11" i="121" s="1"/>
  <c r="Z11" i="121" a="1"/>
  <c r="Z11" i="121" s="1"/>
  <c r="Y11" i="121" a="1"/>
  <c r="Y11" i="121" s="1"/>
  <c r="X11" i="121" a="1"/>
  <c r="X11" i="121" s="1"/>
  <c r="W11" i="121" a="1"/>
  <c r="W11" i="121" s="1"/>
  <c r="V11" i="121" a="1"/>
  <c r="V11" i="121" s="1"/>
  <c r="AW11" i="121" s="1"/>
  <c r="S11" i="121" a="1"/>
  <c r="S11" i="121" s="1"/>
  <c r="Q11" i="121" a="1"/>
  <c r="Q11" i="121" s="1"/>
  <c r="P11" i="121" a="1"/>
  <c r="P11" i="121" s="1"/>
  <c r="O11" i="121" a="1"/>
  <c r="O11" i="121" s="1"/>
  <c r="N11" i="121" a="1"/>
  <c r="N11" i="121" s="1"/>
  <c r="M11" i="121" a="1"/>
  <c r="M11" i="121" s="1"/>
  <c r="L11" i="121" a="1"/>
  <c r="L11" i="121" s="1"/>
  <c r="K11" i="121" a="1"/>
  <c r="K11" i="121" s="1"/>
  <c r="J11" i="121" a="1"/>
  <c r="J11" i="121" s="1"/>
  <c r="I11" i="121" a="1"/>
  <c r="I11" i="121" s="1"/>
  <c r="H11" i="121" a="1"/>
  <c r="H11" i="121" s="1"/>
  <c r="G11" i="121" a="1"/>
  <c r="G11" i="121" s="1"/>
  <c r="F11" i="121" a="1"/>
  <c r="F11" i="121" s="1"/>
  <c r="E11" i="121" a="1"/>
  <c r="E11" i="121" s="1"/>
  <c r="D11" i="121" a="1"/>
  <c r="D11" i="121" s="1"/>
  <c r="C11" i="121" a="1"/>
  <c r="C11" i="121" s="1"/>
  <c r="AQ10" i="121"/>
  <c r="AA10" i="121" a="1"/>
  <c r="AA10" i="121" s="1"/>
  <c r="Z10" i="121" a="1"/>
  <c r="Z10" i="121" s="1"/>
  <c r="Y10" i="121" a="1"/>
  <c r="Y10" i="121" s="1"/>
  <c r="X10" i="121" a="1"/>
  <c r="X10" i="121" s="1"/>
  <c r="W10" i="121" a="1"/>
  <c r="W10" i="121" s="1"/>
  <c r="V10" i="121" a="1"/>
  <c r="V10" i="121" s="1"/>
  <c r="AW10" i="121" s="1"/>
  <c r="S10" i="121" a="1"/>
  <c r="S10" i="121" s="1"/>
  <c r="Q10" i="121" a="1"/>
  <c r="Q10" i="121" s="1"/>
  <c r="P10" i="121" a="1"/>
  <c r="P10" i="121" s="1"/>
  <c r="O10" i="121" a="1"/>
  <c r="O10" i="121" s="1"/>
  <c r="N10" i="121" a="1"/>
  <c r="N10" i="121" s="1"/>
  <c r="M10" i="121" a="1"/>
  <c r="M10" i="121" s="1"/>
  <c r="L10" i="121" a="1"/>
  <c r="L10" i="121" s="1"/>
  <c r="K10" i="121" a="1"/>
  <c r="K10" i="121" s="1"/>
  <c r="J10" i="121" a="1"/>
  <c r="J10" i="121" s="1"/>
  <c r="I10" i="121" a="1"/>
  <c r="I10" i="121" s="1"/>
  <c r="H10" i="121" a="1"/>
  <c r="H10" i="121" s="1"/>
  <c r="G10" i="121" a="1"/>
  <c r="G10" i="121" s="1"/>
  <c r="F10" i="121" a="1"/>
  <c r="F10" i="121" s="1"/>
  <c r="E10" i="121" a="1"/>
  <c r="E10" i="121" s="1"/>
  <c r="D10" i="121" a="1"/>
  <c r="D10" i="121" s="1"/>
  <c r="C10" i="121" a="1"/>
  <c r="C10" i="121" s="1"/>
  <c r="AQ9" i="121"/>
  <c r="AA9" i="121" a="1"/>
  <c r="AA9" i="121" s="1"/>
  <c r="Z9" i="121" a="1"/>
  <c r="Z9" i="121" s="1"/>
  <c r="Y9" i="121" a="1"/>
  <c r="Y9" i="121" s="1"/>
  <c r="X9" i="121" a="1"/>
  <c r="X9" i="121" s="1"/>
  <c r="W9" i="121" a="1"/>
  <c r="W9" i="121" s="1"/>
  <c r="V9" i="121" a="1"/>
  <c r="V9" i="121" s="1"/>
  <c r="AW9" i="121" s="1"/>
  <c r="S9" i="121" a="1"/>
  <c r="S9" i="121" s="1"/>
  <c r="Q9" i="121" a="1"/>
  <c r="Q9" i="121" s="1"/>
  <c r="P9" i="121" a="1"/>
  <c r="P9" i="121" s="1"/>
  <c r="O9" i="121" a="1"/>
  <c r="O9" i="121" s="1"/>
  <c r="N9" i="121" a="1"/>
  <c r="N9" i="121" s="1"/>
  <c r="M9" i="121" a="1"/>
  <c r="M9" i="121" s="1"/>
  <c r="L9" i="121" a="1"/>
  <c r="L9" i="121" s="1"/>
  <c r="K9" i="121" a="1"/>
  <c r="K9" i="121" s="1"/>
  <c r="J9" i="121" a="1"/>
  <c r="J9" i="121" s="1"/>
  <c r="I9" i="121" a="1"/>
  <c r="I9" i="121" s="1"/>
  <c r="H9" i="121" a="1"/>
  <c r="H9" i="121" s="1"/>
  <c r="G9" i="121" a="1"/>
  <c r="G9" i="121" s="1"/>
  <c r="F9" i="121" a="1"/>
  <c r="F9" i="121" s="1"/>
  <c r="E9" i="121" a="1"/>
  <c r="E9" i="121" s="1"/>
  <c r="D9" i="121" a="1"/>
  <c r="D9" i="121" s="1"/>
  <c r="C9" i="121" a="1"/>
  <c r="C9" i="121" s="1"/>
  <c r="AQ8" i="121"/>
  <c r="AA8" i="121" a="1"/>
  <c r="AA8" i="121" s="1"/>
  <c r="Z8" i="121" a="1"/>
  <c r="Z8" i="121" s="1"/>
  <c r="Y8" i="121" a="1"/>
  <c r="Y8" i="121" s="1"/>
  <c r="X8" i="121" a="1"/>
  <c r="X8" i="121" s="1"/>
  <c r="W8" i="121" a="1"/>
  <c r="W8" i="121" s="1"/>
  <c r="V8" i="121" a="1"/>
  <c r="V8" i="121" s="1"/>
  <c r="AW8" i="121" s="1"/>
  <c r="S8" i="121" a="1"/>
  <c r="S8" i="121" s="1"/>
  <c r="AF8" i="121" s="1"/>
  <c r="Q8" i="121" a="1"/>
  <c r="Q8" i="121" s="1"/>
  <c r="P8" i="121" a="1"/>
  <c r="P8" i="121" s="1"/>
  <c r="O8" i="121" a="1"/>
  <c r="O8" i="121" s="1"/>
  <c r="N8" i="121" a="1"/>
  <c r="N8" i="121" s="1"/>
  <c r="M8" i="121" a="1"/>
  <c r="M8" i="121" s="1"/>
  <c r="L8" i="121" a="1"/>
  <c r="L8" i="121" s="1"/>
  <c r="K8" i="121" a="1"/>
  <c r="K8" i="121" s="1"/>
  <c r="J8" i="121" a="1"/>
  <c r="J8" i="121" s="1"/>
  <c r="I8" i="121" a="1"/>
  <c r="I8" i="121" s="1"/>
  <c r="H8" i="121" a="1"/>
  <c r="H8" i="121" s="1"/>
  <c r="G8" i="121" a="1"/>
  <c r="G8" i="121" s="1"/>
  <c r="F8" i="121" a="1"/>
  <c r="F8" i="121" s="1"/>
  <c r="E8" i="121" a="1"/>
  <c r="E8" i="121" s="1"/>
  <c r="D8" i="121" a="1"/>
  <c r="D8" i="121" s="1"/>
  <c r="C8" i="121" a="1"/>
  <c r="C8" i="121" s="1"/>
  <c r="V27" i="121" l="1"/>
  <c r="V30" i="121" s="1"/>
  <c r="R141" i="160"/>
  <c r="Q141" i="160" s="1" a="1"/>
  <c r="Q141" i="160" s="1"/>
  <c r="R12" i="121"/>
  <c r="BA12" i="121" s="1"/>
  <c r="R21" i="121"/>
  <c r="AM21" i="121" s="1"/>
  <c r="T21" i="121" a="1"/>
  <c r="T21" i="121" s="1"/>
  <c r="U21" i="121" s="1"/>
  <c r="AF21" i="121"/>
  <c r="T14" i="121" a="1"/>
  <c r="T14" i="121" s="1"/>
  <c r="U14" i="121" s="1"/>
  <c r="AF17" i="121"/>
  <c r="T17" i="121" a="1"/>
  <c r="T17" i="121" s="1"/>
  <c r="U17" i="121" s="1"/>
  <c r="R20" i="121"/>
  <c r="BA20" i="121" s="1"/>
  <c r="R10" i="121"/>
  <c r="BA10" i="121" s="1"/>
  <c r="AF22" i="121"/>
  <c r="T22" i="121" a="1"/>
  <c r="T22" i="121" s="1"/>
  <c r="U22" i="121" s="1"/>
  <c r="R23" i="121"/>
  <c r="R16" i="121"/>
  <c r="BA16" i="121" s="1"/>
  <c r="T23" i="121" a="1"/>
  <c r="T23" i="121" s="1"/>
  <c r="U23" i="121" s="1"/>
  <c r="S41" i="121"/>
  <c r="S48" i="121"/>
  <c r="S49" i="121" s="1"/>
  <c r="AF23" i="121"/>
  <c r="R24" i="121"/>
  <c r="BA24" i="121" s="1"/>
  <c r="R19" i="121"/>
  <c r="BA19" i="121" s="1"/>
  <c r="U24" i="121"/>
  <c r="AC24" i="121" s="1"/>
  <c r="S27" i="121"/>
  <c r="S30" i="121" s="1"/>
  <c r="AF10" i="121"/>
  <c r="T10" i="121" a="1"/>
  <c r="T10" i="121" s="1"/>
  <c r="U10" i="121" s="1"/>
  <c r="AF9" i="121"/>
  <c r="T9" i="121" a="1"/>
  <c r="T9" i="121" s="1"/>
  <c r="U9" i="121" s="1"/>
  <c r="AF13" i="121"/>
  <c r="AC13" i="121"/>
  <c r="R22" i="121"/>
  <c r="BA22" i="121" s="1"/>
  <c r="R14" i="121"/>
  <c r="BA14" i="121" s="1"/>
  <c r="R15" i="121"/>
  <c r="BA15" i="121" s="1"/>
  <c r="AC11" i="121"/>
  <c r="AF11" i="121"/>
  <c r="R17" i="121"/>
  <c r="BA17" i="121" s="1"/>
  <c r="R8" i="121"/>
  <c r="BA8" i="121" s="1"/>
  <c r="AF12" i="121"/>
  <c r="T12" i="121" a="1"/>
  <c r="T12" i="121" s="1"/>
  <c r="U12" i="121" s="1"/>
  <c r="AF15" i="121"/>
  <c r="T15" i="121" a="1"/>
  <c r="T15" i="121" s="1"/>
  <c r="U15" i="121" s="1"/>
  <c r="R18" i="121"/>
  <c r="BA18" i="121" s="1"/>
  <c r="R11" i="121"/>
  <c r="BA11" i="121" s="1"/>
  <c r="R9" i="121"/>
  <c r="BA9" i="121" s="1"/>
  <c r="R13" i="121"/>
  <c r="BA13" i="121" s="1"/>
  <c r="T16" i="121" a="1"/>
  <c r="T16" i="121" s="1"/>
  <c r="AF16" i="121"/>
  <c r="AF18" i="121"/>
  <c r="T18" i="121" a="1"/>
  <c r="T18" i="121" s="1"/>
  <c r="U18" i="121" s="1"/>
  <c r="T8" i="121" a="1"/>
  <c r="T8" i="121" s="1"/>
  <c r="U8" i="121" s="1"/>
  <c r="T19" i="121" a="1"/>
  <c r="T19" i="121" s="1"/>
  <c r="T20" i="121" a="1"/>
  <c r="T20" i="121" s="1"/>
  <c r="U20" i="121" s="1"/>
  <c r="AB12" i="121" l="1"/>
  <c r="AO12" i="121"/>
  <c r="AM12" i="121"/>
  <c r="AJ12" i="121" s="1"/>
  <c r="BA21" i="121"/>
  <c r="AZ21" i="121" s="1"/>
  <c r="AB21" i="121"/>
  <c r="AO21" i="121"/>
  <c r="Q6" i="133"/>
  <c r="S142" i="160"/>
  <c r="T143" i="160" s="1"/>
  <c r="U144" i="160" s="1"/>
  <c r="V145" i="160" s="1"/>
  <c r="AI21" i="121"/>
  <c r="AC21" i="121"/>
  <c r="AC18" i="121"/>
  <c r="AO18" i="121"/>
  <c r="AM18" i="121"/>
  <c r="AJ18" i="121" s="1"/>
  <c r="AB18" i="121"/>
  <c r="AS18" i="121"/>
  <c r="AC23" i="121"/>
  <c r="AC22" i="121"/>
  <c r="AO15" i="121"/>
  <c r="AM15" i="121"/>
  <c r="AJ15" i="121" s="1"/>
  <c r="AB15" i="121"/>
  <c r="AS15" i="121"/>
  <c r="AO16" i="121"/>
  <c r="AM16" i="121"/>
  <c r="AI16" i="121" s="1"/>
  <c r="AB16" i="121"/>
  <c r="U16" i="121"/>
  <c r="AC16" i="121" s="1"/>
  <c r="AC15" i="121"/>
  <c r="AB14" i="121"/>
  <c r="AS14" i="121"/>
  <c r="AO14" i="121"/>
  <c r="AM14" i="121"/>
  <c r="AI14" i="121" s="1"/>
  <c r="AS12" i="121"/>
  <c r="AB23" i="121"/>
  <c r="AS23" i="121"/>
  <c r="AO23" i="121"/>
  <c r="AM23" i="121"/>
  <c r="AJ23" i="121" s="1"/>
  <c r="AS22" i="121"/>
  <c r="AO22" i="121"/>
  <c r="AM22" i="121"/>
  <c r="AJ22" i="121" s="1"/>
  <c r="AB22" i="121"/>
  <c r="AC14" i="121"/>
  <c r="AS10" i="121"/>
  <c r="AO10" i="121"/>
  <c r="AM10" i="121"/>
  <c r="AI10" i="121" s="1"/>
  <c r="AB10" i="121"/>
  <c r="AJ21" i="121"/>
  <c r="AC8" i="121"/>
  <c r="AB8" i="121"/>
  <c r="AS8" i="121"/>
  <c r="AO8" i="121"/>
  <c r="AM8" i="121"/>
  <c r="AJ8" i="121" s="1"/>
  <c r="P28" i="121"/>
  <c r="R26" i="121"/>
  <c r="AS13" i="121"/>
  <c r="AO13" i="121"/>
  <c r="AM13" i="121"/>
  <c r="AJ13" i="121" s="1"/>
  <c r="AB13" i="121"/>
  <c r="AD13" i="121" s="1"/>
  <c r="AB9" i="121"/>
  <c r="AS9" i="121"/>
  <c r="AO9" i="121"/>
  <c r="AM9" i="121"/>
  <c r="AI9" i="121" s="1"/>
  <c r="AC12" i="121"/>
  <c r="U19" i="121"/>
  <c r="AC9" i="121"/>
  <c r="AO19" i="121"/>
  <c r="AM19" i="121"/>
  <c r="AI19" i="121" s="1"/>
  <c r="AB19" i="121"/>
  <c r="AO24" i="121"/>
  <c r="AM24" i="121"/>
  <c r="AB24" i="121"/>
  <c r="AD24" i="121" s="1"/>
  <c r="AC20" i="121"/>
  <c r="AB11" i="121"/>
  <c r="AD11" i="121" s="1"/>
  <c r="AS11" i="121"/>
  <c r="AO11" i="121"/>
  <c r="AM11" i="121"/>
  <c r="AJ11" i="121" s="1"/>
  <c r="AB20" i="121"/>
  <c r="AS20" i="121"/>
  <c r="AO20" i="121"/>
  <c r="AM20" i="121"/>
  <c r="AJ20" i="121" s="1"/>
  <c r="AS21" i="121"/>
  <c r="AC10" i="121"/>
  <c r="AC17" i="121"/>
  <c r="AB17" i="121"/>
  <c r="AM17" i="121"/>
  <c r="AJ17" i="121" s="1"/>
  <c r="AS17" i="121"/>
  <c r="AO17" i="121"/>
  <c r="S42" i="121"/>
  <c r="AI12" i="121" l="1"/>
  <c r="AD12" i="121"/>
  <c r="AZ20" i="121"/>
  <c r="AZ22" i="121"/>
  <c r="AZ19" i="121"/>
  <c r="AZ8" i="121"/>
  <c r="AZ18" i="121"/>
  <c r="AD21" i="121"/>
  <c r="AZ11" i="121"/>
  <c r="AZ13" i="121"/>
  <c r="AZ17" i="121"/>
  <c r="AZ23" i="121"/>
  <c r="AZ14" i="121"/>
  <c r="AZ24" i="121"/>
  <c r="AZ16" i="121"/>
  <c r="AZ9" i="121"/>
  <c r="AZ10" i="121"/>
  <c r="AZ15" i="121"/>
  <c r="AZ12" i="121"/>
  <c r="R142" i="160"/>
  <c r="Q142" i="160" s="1" a="1"/>
  <c r="Q142" i="160" s="1"/>
  <c r="AD22" i="121"/>
  <c r="AJ9" i="121"/>
  <c r="AD8" i="121"/>
  <c r="AD18" i="121"/>
  <c r="AN8" i="121"/>
  <c r="AI20" i="121"/>
  <c r="AJ19" i="121"/>
  <c r="AN11" i="121"/>
  <c r="AD9" i="121"/>
  <c r="AJ10" i="121"/>
  <c r="AD10" i="121"/>
  <c r="AD17" i="121"/>
  <c r="AI8" i="121"/>
  <c r="AN17" i="121"/>
  <c r="AD14" i="121"/>
  <c r="AS16" i="121"/>
  <c r="AI11" i="121"/>
  <c r="AN18" i="121"/>
  <c r="AJ16" i="121"/>
  <c r="AN12" i="121"/>
  <c r="AN24" i="121"/>
  <c r="AN10" i="121"/>
  <c r="AD15" i="121"/>
  <c r="AI23" i="121"/>
  <c r="AI13" i="121"/>
  <c r="AN21" i="121"/>
  <c r="AN16" i="121"/>
  <c r="AN23" i="121"/>
  <c r="AN19" i="121"/>
  <c r="AD23" i="121"/>
  <c r="AN15" i="121"/>
  <c r="AD16" i="121"/>
  <c r="AN13" i="121"/>
  <c r="AN20" i="121"/>
  <c r="AS19" i="121"/>
  <c r="AI18" i="121"/>
  <c r="AJ14" i="121"/>
  <c r="AN9" i="121"/>
  <c r="AI17" i="121"/>
  <c r="AD20" i="121"/>
  <c r="AI22" i="121"/>
  <c r="AI15" i="121"/>
  <c r="AC19" i="121"/>
  <c r="AD19" i="121" s="1"/>
  <c r="AN22" i="121"/>
  <c r="AN14" i="121"/>
  <c r="V32" i="121" l="1"/>
  <c r="Y34" i="121" s="1"/>
  <c r="S43" i="121"/>
  <c r="S44" i="121" s="1"/>
  <c r="S45" i="121" s="1"/>
  <c r="S143" i="160"/>
  <c r="T144" i="160" s="1"/>
  <c r="U145" i="160" s="1"/>
  <c r="V146" i="160" s="1"/>
  <c r="S32" i="121"/>
  <c r="S50" i="121"/>
  <c r="S51" i="121" s="1"/>
  <c r="S52" i="121" s="1"/>
  <c r="AB40" i="121" s="1"/>
  <c r="V34" i="121" l="1"/>
  <c r="V36" i="121" s="1"/>
  <c r="S34" i="121"/>
  <c r="S36" i="121" s="1"/>
  <c r="Y33" i="121"/>
  <c r="Z33" i="121" s="1"/>
  <c r="U42" i="121"/>
  <c r="U40" i="121"/>
  <c r="R143" i="160"/>
  <c r="Q143" i="160" s="1" a="1"/>
  <c r="Q143" i="160" s="1"/>
  <c r="AB39" i="121"/>
  <c r="AE39" i="121" s="1"/>
  <c r="U38" i="121"/>
  <c r="S144" i="160" l="1"/>
  <c r="T145" i="160" s="1"/>
  <c r="U146" i="160" s="1"/>
  <c r="V147" i="160" s="1"/>
  <c r="R144" i="160" l="1"/>
  <c r="Q144" i="160" s="1" a="1"/>
  <c r="Q144" i="160" s="1"/>
  <c r="S145" i="160" l="1"/>
  <c r="T146" i="160" s="1"/>
  <c r="U147" i="160" s="1"/>
  <c r="V148" i="160" s="1"/>
  <c r="L61" i="116"/>
  <c r="K11" i="188" l="1"/>
  <c r="K23" i="188" s="1"/>
  <c r="K18" i="188"/>
  <c r="J18" i="188"/>
  <c r="D49" i="116"/>
  <c r="D61" i="116"/>
  <c r="H49" i="116"/>
  <c r="H61" i="116"/>
  <c r="E49" i="116"/>
  <c r="E61" i="116"/>
  <c r="B49" i="116"/>
  <c r="B61" i="116"/>
  <c r="C49" i="116"/>
  <c r="C61" i="116"/>
  <c r="K49" i="116"/>
  <c r="K61" i="116"/>
  <c r="F49" i="116"/>
  <c r="F61" i="116"/>
  <c r="J49" i="116"/>
  <c r="J61" i="116"/>
  <c r="G49" i="116"/>
  <c r="G61" i="116"/>
  <c r="I49" i="116"/>
  <c r="I61" i="116"/>
  <c r="R145" i="160"/>
  <c r="Q145" i="160" s="1" a="1"/>
  <c r="Q145" i="160" s="1"/>
  <c r="B18" i="117"/>
  <c r="M17" i="116"/>
  <c r="J19" i="188" l="1"/>
  <c r="J29" i="188"/>
  <c r="K19" i="188"/>
  <c r="K29" i="188"/>
  <c r="H18" i="188"/>
  <c r="H11" i="188"/>
  <c r="H23" i="188" s="1"/>
  <c r="I11" i="188"/>
  <c r="I23" i="188" s="1"/>
  <c r="I18" i="188"/>
  <c r="G18" i="188"/>
  <c r="G11" i="188"/>
  <c r="G23" i="188" s="1"/>
  <c r="F18" i="188"/>
  <c r="F11" i="188"/>
  <c r="F23" i="188" s="1"/>
  <c r="E18" i="188"/>
  <c r="E11" i="188"/>
  <c r="E23" i="188" s="1"/>
  <c r="C18" i="188"/>
  <c r="C11" i="188"/>
  <c r="C23" i="188" s="1"/>
  <c r="D18" i="188"/>
  <c r="D11" i="188"/>
  <c r="D23" i="188" s="1"/>
  <c r="B18" i="188"/>
  <c r="B11" i="188"/>
  <c r="B23" i="188" s="1"/>
  <c r="S146" i="160"/>
  <c r="T147" i="160" s="1"/>
  <c r="U148" i="160" s="1"/>
  <c r="V149" i="160" s="1"/>
  <c r="K31" i="188" l="1"/>
  <c r="K32" i="188"/>
  <c r="J31" i="188"/>
  <c r="J32" i="188"/>
  <c r="H19" i="188"/>
  <c r="H29" i="188"/>
  <c r="C19" i="188"/>
  <c r="C29" i="188"/>
  <c r="I19" i="188"/>
  <c r="I29" i="188"/>
  <c r="E19" i="188"/>
  <c r="E29" i="188"/>
  <c r="F19" i="188"/>
  <c r="F29" i="188"/>
  <c r="G19" i="188"/>
  <c r="G29" i="188"/>
  <c r="D19" i="188"/>
  <c r="D29" i="188"/>
  <c r="B19" i="188"/>
  <c r="B29" i="188"/>
  <c r="B31" i="188" s="1"/>
  <c r="M18" i="188"/>
  <c r="M23" i="188"/>
  <c r="R146" i="160"/>
  <c r="Q146" i="160" s="1" a="1"/>
  <c r="Q146" i="160" s="1"/>
  <c r="G31" i="188" l="1"/>
  <c r="G32" i="188"/>
  <c r="E31" i="188"/>
  <c r="E32" i="188"/>
  <c r="I31" i="188"/>
  <c r="I32" i="188"/>
  <c r="H31" i="188"/>
  <c r="H32" i="188"/>
  <c r="F31" i="188"/>
  <c r="F32" i="188"/>
  <c r="C31" i="188"/>
  <c r="C32" i="188"/>
  <c r="D31" i="188"/>
  <c r="D32" i="188"/>
  <c r="B32" i="188"/>
  <c r="B41" i="116"/>
  <c r="S147" i="160"/>
  <c r="T148" i="160" s="1"/>
  <c r="U149" i="160" s="1"/>
  <c r="V150" i="160" s="1"/>
  <c r="B51" i="116" l="1"/>
  <c r="B28" i="116"/>
  <c r="B45" i="116"/>
  <c r="R147" i="160"/>
  <c r="Q147" i="160" s="1" a="1"/>
  <c r="Q147" i="160" s="1"/>
  <c r="B29" i="116" l="1"/>
  <c r="S148" i="160"/>
  <c r="T149" i="160" s="1"/>
  <c r="U150" i="160" s="1"/>
  <c r="V151" i="160" s="1"/>
  <c r="R148" i="160" l="1"/>
  <c r="Q148" i="160" s="1" a="1"/>
  <c r="Q148" i="160" s="1"/>
  <c r="S149" i="160" l="1"/>
  <c r="T150" i="160" s="1"/>
  <c r="U151" i="160" s="1"/>
  <c r="V152" i="160" s="1"/>
  <c r="R149" i="160" l="1"/>
  <c r="Q149" i="160" s="1" a="1"/>
  <c r="Q149" i="160" s="1"/>
  <c r="S150" i="160" l="1"/>
  <c r="T151" i="160" s="1"/>
  <c r="U152" i="160" s="1"/>
  <c r="V153" i="160" s="1"/>
  <c r="R150" i="160" l="1"/>
  <c r="Q150" i="160" s="1" a="1"/>
  <c r="Q150" i="160" s="1"/>
  <c r="S151" i="160" l="1"/>
  <c r="T152" i="160" s="1"/>
  <c r="U153" i="160" s="1"/>
  <c r="V154" i="160" s="1"/>
  <c r="R151" i="160" l="1"/>
  <c r="Q151" i="160" s="1" a="1"/>
  <c r="Q151" i="160" s="1"/>
  <c r="B10" i="160"/>
  <c r="P6" i="133" l="1"/>
  <c r="AA6" i="175"/>
  <c r="S152" i="160"/>
  <c r="T153" i="160" s="1"/>
  <c r="U154" i="160" s="1"/>
  <c r="V155" i="160" s="1"/>
  <c r="R152" i="160" l="1"/>
  <c r="Q152" i="160" s="1" a="1"/>
  <c r="Q152" i="160" s="1"/>
  <c r="S153" i="160" l="1"/>
  <c r="T154" i="160" s="1"/>
  <c r="U155" i="160" s="1"/>
  <c r="V156" i="160" s="1"/>
  <c r="R153" i="160" l="1"/>
  <c r="Q153" i="160" s="1" a="1"/>
  <c r="Q153" i="160" s="1"/>
  <c r="S154" i="160" l="1"/>
  <c r="T155" i="160" s="1"/>
  <c r="U156" i="160" s="1"/>
  <c r="V157" i="160" s="1"/>
  <c r="R154" i="160" l="1"/>
  <c r="Q154" i="160" s="1" a="1"/>
  <c r="Q154" i="160" s="1"/>
  <c r="S155" i="160" l="1"/>
  <c r="T156" i="160" s="1"/>
  <c r="U157" i="160" s="1"/>
  <c r="V158" i="160" s="1"/>
  <c r="R155" i="160" l="1"/>
  <c r="Q155" i="160" s="1" a="1"/>
  <c r="Q155" i="160" s="1"/>
  <c r="S156" i="160" l="1"/>
  <c r="T157" i="160" s="1"/>
  <c r="U158" i="160" s="1"/>
  <c r="V159" i="160" s="1"/>
  <c r="R156" i="160" l="1"/>
  <c r="Q156" i="160" s="1" a="1"/>
  <c r="Q156" i="160" s="1"/>
  <c r="S157" i="160" l="1"/>
  <c r="T158" i="160" s="1"/>
  <c r="U159" i="160" s="1"/>
  <c r="V160" i="160" s="1"/>
  <c r="R157" i="160" l="1"/>
  <c r="Q157" i="160" s="1" a="1"/>
  <c r="Q157" i="160" s="1"/>
  <c r="S158" i="160" l="1"/>
  <c r="T159" i="160" s="1"/>
  <c r="U160" i="160" s="1"/>
  <c r="V161" i="160" s="1"/>
  <c r="R158" i="160" l="1"/>
  <c r="Q158" i="160" s="1" a="1"/>
  <c r="Q158" i="160" s="1"/>
  <c r="S159" i="160" l="1"/>
  <c r="T160" i="160" s="1"/>
  <c r="U161" i="160" s="1"/>
  <c r="V162" i="160" s="1"/>
  <c r="R159" i="160" l="1"/>
  <c r="Q159" i="160" s="1" a="1"/>
  <c r="Q159" i="160" s="1"/>
  <c r="S160" i="160" l="1"/>
  <c r="T161" i="160" s="1"/>
  <c r="U162" i="160" s="1"/>
  <c r="V163" i="160" s="1"/>
  <c r="R160" i="160" l="1"/>
  <c r="Q160" i="160" s="1" a="1"/>
  <c r="Q160" i="160" s="1"/>
  <c r="S161" i="160" l="1"/>
  <c r="T162" i="160" s="1"/>
  <c r="U163" i="160" s="1"/>
  <c r="V164" i="160" s="1"/>
  <c r="R161" i="160" l="1"/>
  <c r="Q161" i="160" s="1" a="1"/>
  <c r="Q161" i="160" s="1"/>
  <c r="S162" i="160" l="1"/>
  <c r="T163" i="160" s="1"/>
  <c r="U164" i="160" s="1"/>
  <c r="V165" i="160" s="1"/>
  <c r="R162" i="160" l="1"/>
  <c r="Q162" i="160" s="1" a="1"/>
  <c r="Q162" i="160" s="1"/>
  <c r="S163" i="160" l="1"/>
  <c r="T164" i="160" s="1"/>
  <c r="U165" i="160" s="1"/>
  <c r="V166" i="160" s="1"/>
  <c r="R163" i="160" l="1"/>
  <c r="Q163" i="160" s="1" a="1"/>
  <c r="Q163" i="160" s="1"/>
  <c r="S164" i="160" l="1"/>
  <c r="T165" i="160" s="1"/>
  <c r="U166" i="160" s="1"/>
  <c r="V167" i="160" s="1"/>
  <c r="R164" i="160" l="1"/>
  <c r="Q164" i="160" s="1" a="1"/>
  <c r="Q164" i="160" s="1"/>
  <c r="S165" i="160" l="1"/>
  <c r="T166" i="160" s="1"/>
  <c r="U167" i="160" s="1"/>
  <c r="V168" i="160" s="1"/>
  <c r="R165" i="160" l="1"/>
  <c r="Q165" i="160" s="1" a="1"/>
  <c r="Q165" i="160" s="1"/>
  <c r="S166" i="160" l="1"/>
  <c r="T167" i="160" s="1"/>
  <c r="U168" i="160" s="1"/>
  <c r="V169" i="160" s="1"/>
  <c r="R166" i="160" l="1"/>
  <c r="Q166" i="160" s="1" a="1"/>
  <c r="Q166" i="160" s="1"/>
  <c r="S167" i="160" l="1"/>
  <c r="T168" i="160" s="1"/>
  <c r="U169" i="160" s="1"/>
  <c r="V170" i="160" s="1"/>
  <c r="R167" i="160" l="1"/>
  <c r="Q167" i="160" s="1" a="1"/>
  <c r="Q167" i="160" s="1"/>
  <c r="S168" i="160" l="1"/>
  <c r="T169" i="160" s="1"/>
  <c r="U170" i="160" s="1"/>
  <c r="V171" i="160" s="1"/>
  <c r="R168" i="160" l="1"/>
  <c r="Q168" i="160" s="1" a="1"/>
  <c r="Q168" i="160" s="1"/>
  <c r="S169" i="160" l="1"/>
  <c r="T170" i="160" s="1"/>
  <c r="U171" i="160" s="1"/>
  <c r="V172" i="160" s="1"/>
  <c r="R169" i="160" l="1"/>
  <c r="Q169" i="160" s="1" a="1"/>
  <c r="Q169" i="160" s="1"/>
  <c r="S170" i="160" l="1"/>
  <c r="T171" i="160" s="1"/>
  <c r="U172" i="160" s="1"/>
  <c r="V173" i="160" s="1"/>
  <c r="R170" i="160" l="1"/>
  <c r="Q170" i="160" s="1" a="1"/>
  <c r="Q170" i="160" s="1"/>
  <c r="S171" i="160" l="1"/>
  <c r="T172" i="160" s="1"/>
  <c r="U173" i="160" s="1"/>
  <c r="V174" i="160" s="1"/>
  <c r="R171" i="160" l="1"/>
  <c r="Q171" i="160" s="1" a="1"/>
  <c r="Q171" i="160" s="1"/>
  <c r="S172" i="160" l="1"/>
  <c r="T173" i="160" s="1"/>
  <c r="U174" i="160" s="1"/>
  <c r="V175" i="160" s="1"/>
  <c r="R172" i="160" l="1"/>
  <c r="Q172" i="160" s="1" a="1"/>
  <c r="Q172" i="160" s="1"/>
  <c r="S173" i="160" l="1"/>
  <c r="T174" i="160" s="1"/>
  <c r="U175" i="160" s="1"/>
  <c r="V176" i="160" s="1"/>
  <c r="R173" i="160" l="1"/>
  <c r="Q173" i="160" s="1" a="1"/>
  <c r="Q173" i="160" s="1"/>
  <c r="S174" i="160" l="1"/>
  <c r="T175" i="160" s="1"/>
  <c r="U176" i="160" s="1"/>
  <c r="V177" i="160" s="1"/>
  <c r="R174" i="160" l="1"/>
  <c r="Q174" i="160" s="1" a="1"/>
  <c r="Q174" i="160" s="1"/>
  <c r="S175" i="160" l="1"/>
  <c r="T176" i="160" s="1"/>
  <c r="U177" i="160" s="1"/>
  <c r="V178" i="160" s="1"/>
  <c r="R175" i="160" l="1"/>
  <c r="Q175" i="160" s="1" a="1"/>
  <c r="Q175" i="160" s="1"/>
  <c r="S176" i="160" l="1"/>
  <c r="T177" i="160" s="1"/>
  <c r="U178" i="160" s="1"/>
  <c r="V179" i="160" s="1"/>
  <c r="R176" i="160" l="1"/>
  <c r="Q176" i="160" s="1" a="1"/>
  <c r="Q176" i="160" s="1"/>
  <c r="S177" i="160" l="1"/>
  <c r="T178" i="160" s="1"/>
  <c r="U179" i="160" s="1"/>
  <c r="V180" i="160" s="1"/>
  <c r="R177" i="160" l="1"/>
  <c r="Q177" i="160" s="1" a="1"/>
  <c r="Q177" i="160" s="1"/>
  <c r="S178" i="160" l="1"/>
  <c r="T179" i="160" s="1"/>
  <c r="U180" i="160" s="1"/>
  <c r="V181" i="160" s="1"/>
  <c r="R178" i="160" l="1"/>
  <c r="Q178" i="160" s="1" a="1"/>
  <c r="Q178" i="160" s="1"/>
  <c r="S179" i="160" l="1"/>
  <c r="T180" i="160" s="1"/>
  <c r="U181" i="160" s="1"/>
  <c r="V182" i="160" s="1"/>
  <c r="R179" i="160" l="1"/>
  <c r="Q179" i="160" s="1" a="1"/>
  <c r="Q179" i="160" s="1"/>
  <c r="S180" i="160" l="1"/>
  <c r="T181" i="160" s="1"/>
  <c r="U182" i="160" s="1"/>
  <c r="V183" i="160" s="1"/>
  <c r="R180" i="160" l="1"/>
  <c r="Q180" i="160" s="1" a="1"/>
  <c r="Q180" i="160" s="1"/>
  <c r="S181" i="160" l="1"/>
  <c r="T182" i="160" s="1"/>
  <c r="U183" i="160" s="1"/>
  <c r="V184" i="160" s="1"/>
  <c r="R181" i="160" l="1"/>
  <c r="Q181" i="160" s="1" a="1"/>
  <c r="Q181" i="160" s="1"/>
  <c r="S182" i="160" l="1"/>
  <c r="T183" i="160" s="1"/>
  <c r="U184" i="160" s="1"/>
  <c r="V185" i="160" s="1"/>
  <c r="R182" i="160" l="1"/>
  <c r="Q182" i="160" s="1" a="1"/>
  <c r="Q182" i="160" s="1"/>
  <c r="S183" i="160" l="1"/>
  <c r="T184" i="160" s="1"/>
  <c r="U185" i="160" s="1"/>
  <c r="V186" i="160" s="1"/>
  <c r="R183" i="160" l="1"/>
  <c r="Q183" i="160" s="1" a="1"/>
  <c r="Q183" i="160" s="1"/>
  <c r="S184" i="160" l="1"/>
  <c r="T185" i="160" s="1"/>
  <c r="U186" i="160" s="1"/>
  <c r="V187" i="160" s="1"/>
  <c r="R184" i="160" l="1"/>
  <c r="Q184" i="160" s="1" a="1"/>
  <c r="Q184" i="160" s="1"/>
  <c r="S185" i="160" l="1"/>
  <c r="T186" i="160" s="1"/>
  <c r="U187" i="160" s="1"/>
  <c r="V188" i="160" s="1"/>
  <c r="R185" i="160" l="1"/>
  <c r="Q185" i="160" s="1" a="1"/>
  <c r="Q185" i="160" s="1"/>
  <c r="S186" i="160" l="1"/>
  <c r="T187" i="160" s="1"/>
  <c r="U188" i="160" s="1"/>
  <c r="V189" i="160" s="1"/>
  <c r="R186" i="160" l="1"/>
  <c r="Q186" i="160" s="1" a="1"/>
  <c r="Q186" i="160" s="1"/>
  <c r="S187" i="160" l="1"/>
  <c r="T188" i="160" s="1"/>
  <c r="U189" i="160" s="1"/>
  <c r="V190" i="160" s="1"/>
  <c r="R187" i="160" l="1"/>
  <c r="Q187" i="160" s="1" a="1"/>
  <c r="Q187" i="160" s="1"/>
  <c r="S188" i="160" l="1"/>
  <c r="T189" i="160" s="1"/>
  <c r="U190" i="160" s="1"/>
  <c r="V191" i="160" s="1"/>
  <c r="R188" i="160" l="1"/>
  <c r="Q188" i="160" s="1" a="1"/>
  <c r="Q188" i="160" s="1"/>
  <c r="S189" i="160" l="1"/>
  <c r="T190" i="160" s="1"/>
  <c r="U191" i="160" s="1"/>
  <c r="V192" i="160" s="1"/>
  <c r="R189" i="160" l="1"/>
  <c r="Q189" i="160" s="1" a="1"/>
  <c r="Q189" i="160" s="1"/>
  <c r="S190" i="160" l="1"/>
  <c r="T191" i="160" s="1"/>
  <c r="U192" i="160" s="1"/>
  <c r="V193" i="160" s="1"/>
  <c r="R190" i="160" l="1"/>
  <c r="Q190" i="160" s="1" a="1"/>
  <c r="Q190" i="160" s="1"/>
  <c r="S191" i="160" l="1"/>
  <c r="T192" i="160" s="1"/>
  <c r="U193" i="160" s="1"/>
  <c r="V194" i="160" s="1"/>
  <c r="R191" i="160" l="1"/>
  <c r="Q191" i="160" s="1" a="1"/>
  <c r="Q191" i="160" s="1"/>
  <c r="S192" i="160" l="1"/>
  <c r="T193" i="160" s="1"/>
  <c r="U194" i="160" s="1"/>
  <c r="V195" i="160" s="1"/>
  <c r="R192" i="160" l="1"/>
  <c r="Q192" i="160" s="1" a="1"/>
  <c r="Q192" i="160" s="1"/>
  <c r="S193" i="160" l="1"/>
  <c r="T194" i="160" s="1"/>
  <c r="U195" i="160" s="1"/>
  <c r="V196" i="160" s="1"/>
  <c r="R193" i="160" l="1"/>
  <c r="Q193" i="160" s="1" a="1"/>
  <c r="Q193" i="160" s="1"/>
  <c r="S194" i="160" l="1"/>
  <c r="T195" i="160" s="1"/>
  <c r="U196" i="160" s="1"/>
  <c r="V197" i="160" s="1"/>
  <c r="R194" i="160" l="1"/>
  <c r="Q194" i="160" s="1" a="1"/>
  <c r="Q194" i="160" s="1"/>
  <c r="S195" i="160" l="1"/>
  <c r="T196" i="160" s="1"/>
  <c r="U197" i="160" s="1"/>
  <c r="V198" i="160" s="1"/>
  <c r="R195" i="160" l="1"/>
  <c r="Q195" i="160" s="1" a="1"/>
  <c r="Q195" i="160" s="1"/>
  <c r="S196" i="160" l="1"/>
  <c r="T197" i="160" s="1"/>
  <c r="U198" i="160" s="1"/>
  <c r="V199" i="160" s="1"/>
  <c r="R196" i="160" l="1"/>
  <c r="Q196" i="160" s="1" a="1"/>
  <c r="Q196" i="160" s="1"/>
  <c r="S197" i="160" l="1"/>
  <c r="T198" i="160" s="1"/>
  <c r="U199" i="160" s="1"/>
  <c r="V200" i="160" s="1"/>
  <c r="R197" i="160" l="1"/>
  <c r="Q197" i="160" s="1" a="1"/>
  <c r="Q197" i="160" s="1"/>
  <c r="S198" i="160" l="1"/>
  <c r="T199" i="160" s="1"/>
  <c r="U200" i="160" s="1"/>
  <c r="V201" i="160" s="1"/>
  <c r="R198" i="160" l="1"/>
  <c r="Q198" i="160" s="1" a="1"/>
  <c r="Q198" i="160" s="1"/>
  <c r="S199" i="160" l="1"/>
  <c r="T200" i="160" s="1"/>
  <c r="U201" i="160" s="1"/>
  <c r="V202" i="160" s="1"/>
  <c r="R199" i="160" l="1"/>
  <c r="Q199" i="160" s="1" a="1"/>
  <c r="Q199" i="160" s="1"/>
  <c r="S200" i="160" l="1"/>
  <c r="T201" i="160" s="1"/>
  <c r="U202" i="160" s="1"/>
  <c r="V203" i="160" s="1"/>
  <c r="R200" i="160" l="1"/>
  <c r="Q200" i="160" s="1" a="1"/>
  <c r="Q200" i="160" s="1"/>
  <c r="S201" i="160" l="1"/>
  <c r="T202" i="160" s="1"/>
  <c r="U203" i="160" s="1"/>
  <c r="V204" i="160" s="1"/>
  <c r="R201" i="160" l="1"/>
  <c r="Q201" i="160" s="1" a="1"/>
  <c r="Q201" i="160" s="1"/>
  <c r="S202" i="160" l="1"/>
  <c r="T203" i="160" s="1"/>
  <c r="U204" i="160" s="1"/>
  <c r="V205" i="160" s="1"/>
  <c r="R202" i="160" l="1"/>
  <c r="Q202" i="160" s="1" a="1"/>
  <c r="Q202" i="160" s="1"/>
  <c r="S203" i="160" l="1"/>
  <c r="T204" i="160" s="1"/>
  <c r="U205" i="160" s="1"/>
  <c r="V206" i="160" s="1"/>
  <c r="R203" i="160" l="1"/>
  <c r="Q203" i="160" s="1" a="1"/>
  <c r="Q203" i="160" s="1"/>
  <c r="S204" i="160" l="1"/>
  <c r="T205" i="160" s="1"/>
  <c r="U206" i="160" s="1"/>
  <c r="V207" i="160" s="1"/>
  <c r="R204" i="160" l="1"/>
  <c r="Q204" i="160" s="1" a="1"/>
  <c r="Q204" i="160" s="1"/>
  <c r="S205" i="160" l="1"/>
  <c r="T206" i="160" s="1"/>
  <c r="U207" i="160" s="1"/>
  <c r="V208" i="160" s="1"/>
  <c r="R205" i="160" l="1"/>
  <c r="Q205" i="160" s="1" a="1"/>
  <c r="Q205" i="160" s="1"/>
  <c r="S206" i="160" l="1"/>
  <c r="T207" i="160" s="1"/>
  <c r="U208" i="160" s="1"/>
  <c r="V209" i="160" s="1"/>
  <c r="R206" i="160" l="1"/>
  <c r="Q206" i="160" s="1" a="1"/>
  <c r="Q206" i="160" s="1"/>
  <c r="S207" i="160" l="1"/>
  <c r="T208" i="160" s="1"/>
  <c r="U209" i="160" s="1"/>
  <c r="V210" i="160" s="1"/>
  <c r="R207" i="160" l="1"/>
  <c r="Q207" i="160" s="1" a="1"/>
  <c r="Q207" i="160" s="1"/>
  <c r="S208" i="160" l="1"/>
  <c r="T209" i="160" s="1"/>
  <c r="U210" i="160" s="1"/>
  <c r="V211" i="160" s="1"/>
  <c r="R208" i="160" l="1"/>
  <c r="Q208" i="160" s="1" a="1"/>
  <c r="Q208" i="160" s="1"/>
  <c r="S209" i="160" l="1"/>
  <c r="T210" i="160" s="1"/>
  <c r="U211" i="160" s="1"/>
  <c r="V212" i="160" s="1"/>
  <c r="R209" i="160" l="1"/>
  <c r="Q209" i="160" s="1" a="1"/>
  <c r="Q209" i="160" s="1"/>
  <c r="S210" i="160" l="1"/>
  <c r="T211" i="160" s="1"/>
  <c r="U212" i="160" s="1"/>
  <c r="V213" i="160" s="1"/>
  <c r="R210" i="160" l="1"/>
  <c r="Q210" i="160" s="1" a="1"/>
  <c r="Q210" i="160" s="1"/>
  <c r="S211" i="160" l="1"/>
  <c r="T212" i="160" s="1"/>
  <c r="U213" i="160" s="1"/>
  <c r="V214" i="160" s="1"/>
  <c r="R211" i="160" l="1"/>
  <c r="Q211" i="160" s="1" a="1"/>
  <c r="Q211" i="160" s="1"/>
  <c r="S212" i="160" l="1"/>
  <c r="T213" i="160" s="1"/>
  <c r="U214" i="160" s="1"/>
  <c r="V215" i="160" s="1"/>
  <c r="R212" i="160" l="1"/>
  <c r="Q212" i="160" s="1" a="1"/>
  <c r="Q212" i="160" s="1"/>
  <c r="S213" i="160" l="1"/>
  <c r="T214" i="160" s="1"/>
  <c r="U215" i="160" s="1"/>
  <c r="V216" i="160" s="1"/>
  <c r="R213" i="160" l="1"/>
  <c r="Q213" i="160" s="1" a="1"/>
  <c r="Q213" i="160" s="1"/>
  <c r="S214" i="160" l="1"/>
  <c r="T215" i="160" s="1"/>
  <c r="U216" i="160" s="1"/>
  <c r="R214" i="160" l="1"/>
  <c r="Q214" i="160" s="1" a="1"/>
  <c r="Q214" i="160" s="1"/>
  <c r="S215" i="160" l="1"/>
  <c r="T216" i="160" s="1"/>
  <c r="R215" i="160" l="1"/>
  <c r="Q215" i="160" s="1" a="1"/>
  <c r="Q215" i="160" s="1"/>
  <c r="S216" i="160" l="1"/>
  <c r="R216" i="160" l="1"/>
  <c r="Q216" i="160" l="1" a="1"/>
  <c r="Q216" i="160" s="1"/>
  <c r="B11" i="160" s="1"/>
  <c r="J11" i="188" l="1"/>
  <c r="J23" i="188" s="1"/>
  <c r="N23" i="188" s="1"/>
  <c r="AL10" i="140"/>
  <c r="AM10" i="140"/>
  <c r="AO10" i="140"/>
  <c r="AP10" i="140"/>
  <c r="AQ10" i="140"/>
  <c r="AR10" i="140"/>
  <c r="AS10" i="140" l="1"/>
  <c r="AT10" i="140"/>
  <c r="F236" i="79" l="1"/>
  <c r="F239" i="79" s="1"/>
  <c r="B3" i="185" s="1"/>
  <c r="B1" i="188"/>
  <c r="C329" i="182"/>
  <c r="AC6" i="175"/>
  <c r="AB6" i="175" s="1"/>
  <c r="AE6" i="175" s="1"/>
  <c r="Q46" i="133"/>
  <c r="AC43" i="175"/>
  <c r="AB43" i="175" s="1"/>
  <c r="AE43" i="175" s="1"/>
  <c r="AC19" i="175"/>
  <c r="AB19" i="175" s="1"/>
  <c r="AE19" i="175" s="1"/>
  <c r="Q21" i="133"/>
  <c r="Q45" i="133"/>
  <c r="Q41" i="133"/>
  <c r="AC40" i="175"/>
  <c r="AB40" i="175" s="1"/>
  <c r="AE40" i="175" s="1"/>
  <c r="Q26" i="133"/>
  <c r="Q20" i="133"/>
  <c r="AC41" i="175"/>
  <c r="AB41" i="175" s="1"/>
  <c r="AE41" i="175" s="1"/>
  <c r="Q19" i="133"/>
  <c r="Q35" i="133"/>
  <c r="Q44" i="133"/>
  <c r="AC39" i="175"/>
  <c r="AB39" i="175" s="1"/>
  <c r="AE39" i="175" s="1"/>
  <c r="AC48" i="175"/>
  <c r="AB48" i="175" s="1"/>
  <c r="AE48" i="175" s="1"/>
  <c r="AC21" i="175"/>
  <c r="AB21" i="175" s="1"/>
  <c r="AE21" i="175" s="1"/>
  <c r="Q42" i="133"/>
  <c r="Q24" i="133"/>
  <c r="Q47" i="133"/>
  <c r="AC34" i="175"/>
  <c r="AB34" i="175" s="1"/>
  <c r="AE34" i="175" s="1"/>
  <c r="Q22" i="133"/>
  <c r="AC30" i="175"/>
  <c r="AB30" i="175" s="1"/>
  <c r="AE30" i="175" s="1"/>
  <c r="Q37" i="133"/>
  <c r="Q34" i="133"/>
  <c r="AC24" i="175"/>
  <c r="AB24" i="175" s="1"/>
  <c r="AE24" i="175" s="1"/>
  <c r="AC31" i="175"/>
  <c r="AB31" i="175" s="1"/>
  <c r="AE31" i="175" s="1"/>
  <c r="AC25" i="175"/>
  <c r="AB25" i="175" s="1"/>
  <c r="AE25" i="175" s="1"/>
  <c r="AC18" i="175"/>
  <c r="AB18" i="175" s="1"/>
  <c r="AE18" i="175" s="1"/>
  <c r="Q28" i="133"/>
  <c r="AC35" i="175"/>
  <c r="AB35" i="175" s="1"/>
  <c r="AE35" i="175" s="1"/>
  <c r="Q39" i="133"/>
  <c r="Q33" i="133"/>
  <c r="AC28" i="175"/>
  <c r="AB28" i="175" s="1"/>
  <c r="AE28" i="175" s="1"/>
  <c r="B8" i="185"/>
  <c r="AC27" i="175"/>
  <c r="AB27" i="175" s="1"/>
  <c r="AE27" i="175" s="1"/>
  <c r="AC36" i="175"/>
  <c r="AB36" i="175" s="1"/>
  <c r="AE36" i="175" s="1"/>
  <c r="AC38" i="175"/>
  <c r="AB38" i="175" s="1"/>
  <c r="AE38" i="175" s="1"/>
  <c r="Q31" i="133"/>
  <c r="AC42" i="175"/>
  <c r="AB42" i="175" s="1"/>
  <c r="AE42" i="175" s="1"/>
  <c r="Q43" i="133"/>
  <c r="Q40" i="133"/>
  <c r="Q27" i="133"/>
  <c r="AC44" i="175"/>
  <c r="AB44" i="175" s="1"/>
  <c r="AE44" i="175" s="1"/>
  <c r="AC22" i="175"/>
  <c r="AB22" i="175" s="1"/>
  <c r="AE22" i="175" s="1"/>
  <c r="AC23" i="175"/>
  <c r="AB23" i="175" s="1"/>
  <c r="AE23" i="175" s="1"/>
  <c r="Q36" i="133"/>
  <c r="AC33" i="175"/>
  <c r="AB33" i="175" s="1"/>
  <c r="AE33" i="175" s="1"/>
  <c r="AC45" i="175"/>
  <c r="AB45" i="175" s="1"/>
  <c r="AE45" i="175" s="1"/>
  <c r="Q29" i="133"/>
  <c r="AC32" i="175"/>
  <c r="AB32" i="175" s="1"/>
  <c r="AE32" i="175" s="1"/>
  <c r="AC29" i="175"/>
  <c r="AB29" i="175" s="1"/>
  <c r="AE29" i="175" s="1"/>
  <c r="AC46" i="175"/>
  <c r="AB46" i="175" s="1"/>
  <c r="AE46" i="175" s="1"/>
  <c r="Q25" i="133"/>
  <c r="Q32" i="133"/>
  <c r="AC47" i="175"/>
  <c r="AB47" i="175" s="1"/>
  <c r="AE47" i="175" s="1"/>
  <c r="AC20" i="175"/>
  <c r="AB20" i="175" s="1"/>
  <c r="AE20" i="175" s="1"/>
  <c r="AC37" i="175"/>
  <c r="AB37" i="175" s="1"/>
  <c r="AE37" i="175" s="1"/>
  <c r="Q30" i="133"/>
  <c r="AC26" i="175"/>
  <c r="AB26" i="175" s="1"/>
  <c r="AE26" i="175" s="1"/>
  <c r="D239" i="79"/>
  <c r="Q38" i="133"/>
  <c r="C1" i="188"/>
  <c r="C332" i="182" l="1"/>
  <c r="C323" i="182"/>
  <c r="C320" i="182"/>
  <c r="C324" i="182"/>
  <c r="C321" i="182"/>
  <c r="C325" i="182"/>
  <c r="C326" i="182"/>
  <c r="C327" i="182"/>
  <c r="C333" i="182"/>
  <c r="C328" i="182"/>
  <c r="C322" i="182"/>
  <c r="C334" i="182"/>
  <c r="C330" i="182"/>
  <c r="C319" i="182"/>
  <c r="C331" i="182"/>
  <c r="G33" i="116"/>
  <c r="G22" i="116"/>
  <c r="L33" i="116"/>
  <c r="L22" i="116"/>
  <c r="C22" i="116"/>
  <c r="C33" i="116"/>
  <c r="E33" i="116"/>
  <c r="E22" i="116"/>
  <c r="H33" i="116"/>
  <c r="H22" i="116"/>
  <c r="J33" i="116"/>
  <c r="J22" i="116"/>
  <c r="D33" i="116"/>
  <c r="D22" i="116"/>
  <c r="B33" i="116"/>
  <c r="B22" i="116"/>
  <c r="B54" i="116"/>
  <c r="F33" i="116"/>
  <c r="F22" i="116"/>
  <c r="K33" i="116"/>
  <c r="K22" i="116"/>
  <c r="I33" i="116"/>
  <c r="I22" i="116"/>
  <c r="B7" i="185"/>
  <c r="F128" i="79"/>
  <c r="F76" i="79"/>
  <c r="F221" i="79"/>
  <c r="F188" i="79"/>
  <c r="F20" i="79"/>
  <c r="F84" i="79"/>
  <c r="F8" i="79"/>
  <c r="F137" i="79"/>
  <c r="F117" i="79"/>
  <c r="F198" i="79"/>
  <c r="F227" i="79"/>
  <c r="F100" i="79"/>
  <c r="F38" i="79"/>
  <c r="F106" i="79"/>
  <c r="F209" i="79"/>
  <c r="F49" i="79"/>
  <c r="F29" i="79"/>
  <c r="F41" i="79"/>
  <c r="F3" i="79"/>
  <c r="F161" i="79"/>
  <c r="F225" i="79"/>
  <c r="F56" i="79"/>
  <c r="F6" i="79"/>
  <c r="F220" i="79"/>
  <c r="F162" i="79"/>
  <c r="F194" i="79"/>
  <c r="F30" i="79"/>
  <c r="F61" i="79"/>
  <c r="F169" i="79"/>
  <c r="F165" i="79"/>
  <c r="F217" i="79"/>
  <c r="F81" i="79"/>
  <c r="F173" i="79"/>
  <c r="F68" i="79"/>
  <c r="F18" i="79"/>
  <c r="F197" i="79"/>
  <c r="F201" i="79"/>
  <c r="F163" i="79"/>
  <c r="F83" i="79"/>
  <c r="F204" i="79"/>
  <c r="F70" i="79"/>
  <c r="F152" i="79"/>
  <c r="F229" i="79"/>
  <c r="F69" i="79"/>
  <c r="F67" i="79"/>
  <c r="F89" i="79"/>
  <c r="F52" i="79"/>
  <c r="F13" i="79"/>
  <c r="F14" i="79"/>
  <c r="F114" i="79"/>
  <c r="F79" i="79"/>
  <c r="F183" i="79"/>
  <c r="F72" i="79"/>
  <c r="F154" i="79"/>
  <c r="F54" i="79"/>
  <c r="F184" i="79"/>
  <c r="Q48" i="133"/>
  <c r="N73" i="140"/>
  <c r="C65" i="155" s="1"/>
  <c r="Q23" i="133"/>
  <c r="X12" i="135"/>
  <c r="C72" i="135" s="1"/>
  <c r="D47" i="155" s="1"/>
  <c r="X24" i="135"/>
  <c r="C37" i="135" s="1"/>
  <c r="D23" i="155" s="1"/>
  <c r="X36" i="135"/>
  <c r="C33" i="135" s="1"/>
  <c r="D25" i="155" s="1"/>
  <c r="X48" i="135"/>
  <c r="C13" i="135" s="1"/>
  <c r="D10" i="155" s="1"/>
  <c r="X60" i="135"/>
  <c r="C62" i="135" s="1"/>
  <c r="D67" i="155" s="1"/>
  <c r="X72" i="135"/>
  <c r="C54" i="135" s="1"/>
  <c r="D65" i="155" s="1"/>
  <c r="X13" i="135"/>
  <c r="C49" i="135" s="1"/>
  <c r="D35" i="155" s="1"/>
  <c r="X25" i="135"/>
  <c r="C64" i="135" s="1"/>
  <c r="D48" i="155" s="1"/>
  <c r="X37" i="135"/>
  <c r="C18" i="135" s="1"/>
  <c r="D11" i="155" s="1"/>
  <c r="X49" i="135"/>
  <c r="C26" i="135" s="1"/>
  <c r="D8" i="155" s="1"/>
  <c r="X61" i="135"/>
  <c r="C59" i="135" s="1"/>
  <c r="D55" i="155" s="1"/>
  <c r="X73" i="135"/>
  <c r="C66" i="135" s="1"/>
  <c r="D69" i="155" s="1"/>
  <c r="X14" i="135"/>
  <c r="C35" i="135" s="1"/>
  <c r="D29" i="155" s="1"/>
  <c r="X26" i="135"/>
  <c r="C39" i="135" s="1"/>
  <c r="D33" i="155" s="1"/>
  <c r="X38" i="135"/>
  <c r="C14" i="135" s="1"/>
  <c r="D6" i="155" s="1"/>
  <c r="X50" i="135"/>
  <c r="C25" i="135" s="1"/>
  <c r="D9" i="155" s="1"/>
  <c r="X62" i="135"/>
  <c r="C48" i="135" s="1"/>
  <c r="D61" i="155" s="1"/>
  <c r="X74" i="135"/>
  <c r="C50" i="135" s="1"/>
  <c r="D64" i="155" s="1"/>
  <c r="X15" i="135"/>
  <c r="C76" i="135" s="1"/>
  <c r="D40" i="155" s="1"/>
  <c r="X27" i="135"/>
  <c r="C30" i="135" s="1"/>
  <c r="D44" i="155" s="1"/>
  <c r="X39" i="135"/>
  <c r="C12" i="135" s="1"/>
  <c r="X51" i="135"/>
  <c r="C15" i="135" s="1"/>
  <c r="D7" i="155" s="1"/>
  <c r="X63" i="135"/>
  <c r="C47" i="135" s="1"/>
  <c r="D57" i="155" s="1"/>
  <c r="X75" i="135"/>
  <c r="C71" i="135" s="1"/>
  <c r="D68" i="155" s="1"/>
  <c r="X16" i="135"/>
  <c r="C75" i="135" s="1"/>
  <c r="D46" i="155" s="1"/>
  <c r="X28" i="135"/>
  <c r="C52" i="135" s="1"/>
  <c r="D30" i="155" s="1"/>
  <c r="X40" i="135"/>
  <c r="C31" i="135" s="1"/>
  <c r="D21" i="155" s="1"/>
  <c r="X52" i="135"/>
  <c r="C23" i="135" s="1"/>
  <c r="D13" i="155" s="1"/>
  <c r="X64" i="135"/>
  <c r="C56" i="135" s="1"/>
  <c r="D54" i="155" s="1"/>
  <c r="X17" i="135"/>
  <c r="C73" i="135" s="1"/>
  <c r="D43" i="155" s="1"/>
  <c r="X29" i="135"/>
  <c r="C45" i="135" s="1"/>
  <c r="D42" i="155" s="1"/>
  <c r="X41" i="135"/>
  <c r="C34" i="135" s="1"/>
  <c r="D28" i="155" s="1"/>
  <c r="X53" i="135"/>
  <c r="C16" i="135" s="1"/>
  <c r="D12" i="155" s="1"/>
  <c r="X65" i="135"/>
  <c r="C46" i="135" s="1"/>
  <c r="D62" i="155" s="1"/>
  <c r="X30" i="135"/>
  <c r="C58" i="135" s="1"/>
  <c r="D39" i="155" s="1"/>
  <c r="X42" i="135"/>
  <c r="C40" i="135" s="1"/>
  <c r="D38" i="155" s="1"/>
  <c r="X54" i="135"/>
  <c r="C27" i="135" s="1"/>
  <c r="D14" i="155" s="1"/>
  <c r="X66" i="135"/>
  <c r="C55" i="135" s="1"/>
  <c r="D56" i="155" s="1"/>
  <c r="X31" i="135"/>
  <c r="C43" i="135" s="1"/>
  <c r="D24" i="155" s="1"/>
  <c r="X43" i="135"/>
  <c r="C32" i="135" s="1"/>
  <c r="D22" i="155" s="1"/>
  <c r="X55" i="135"/>
  <c r="C29" i="135" s="1"/>
  <c r="D15" i="155" s="1"/>
  <c r="X67" i="135"/>
  <c r="C69" i="135" s="1"/>
  <c r="D58" i="155" s="1"/>
  <c r="X32" i="135"/>
  <c r="C41" i="135" s="1"/>
  <c r="D36" i="155" s="1"/>
  <c r="X44" i="135"/>
  <c r="C28" i="135" s="1"/>
  <c r="D37" i="155" s="1"/>
  <c r="X56" i="135"/>
  <c r="C57" i="135" s="1"/>
  <c r="D49" i="155" s="1"/>
  <c r="X68" i="135"/>
  <c r="C68" i="135" s="1"/>
  <c r="D59" i="155" s="1"/>
  <c r="X33" i="135"/>
  <c r="C20" i="135" s="1"/>
  <c r="D20" i="155" s="1"/>
  <c r="X45" i="135"/>
  <c r="C24" i="135" s="1"/>
  <c r="D16" i="155" s="1"/>
  <c r="X57" i="135"/>
  <c r="C60" i="135" s="1"/>
  <c r="D53" i="155" s="1"/>
  <c r="X69" i="135"/>
  <c r="C65" i="135" s="1"/>
  <c r="D66" i="155" s="1"/>
  <c r="X22" i="135"/>
  <c r="C17" i="135" s="1"/>
  <c r="D41" i="155" s="1"/>
  <c r="X34" i="135"/>
  <c r="C38" i="135" s="1"/>
  <c r="D34" i="155" s="1"/>
  <c r="X46" i="135"/>
  <c r="C22" i="135" s="1"/>
  <c r="D17" i="155" s="1"/>
  <c r="X58" i="135"/>
  <c r="C44" i="135" s="1"/>
  <c r="D52" i="155" s="1"/>
  <c r="X70" i="135"/>
  <c r="C63" i="135" s="1"/>
  <c r="D60" i="155" s="1"/>
  <c r="X11" i="135"/>
  <c r="X23" i="135"/>
  <c r="C70" i="135" s="1"/>
  <c r="D31" i="155" s="1"/>
  <c r="X35" i="135"/>
  <c r="C36" i="135" s="1"/>
  <c r="D26" i="155" s="1"/>
  <c r="X47" i="135"/>
  <c r="C21" i="135" s="1"/>
  <c r="D18" i="155" s="1"/>
  <c r="X59" i="135"/>
  <c r="C42" i="135" s="1"/>
  <c r="D50" i="155" s="1"/>
  <c r="X71" i="135"/>
  <c r="C61" i="135" s="1"/>
  <c r="D63" i="155" s="1"/>
  <c r="X18" i="135"/>
  <c r="C19" i="135" s="1"/>
  <c r="D19" i="155" s="1"/>
  <c r="X19" i="135"/>
  <c r="C74" i="135" s="1"/>
  <c r="D45" i="155" s="1"/>
  <c r="X20" i="135"/>
  <c r="C67" i="135" s="1"/>
  <c r="D32" i="155" s="1"/>
  <c r="X21" i="135"/>
  <c r="C51" i="135" s="1"/>
  <c r="D51" i="155" s="1"/>
  <c r="F50" i="79"/>
  <c r="F31" i="79"/>
  <c r="F218" i="79"/>
  <c r="F177" i="79"/>
  <c r="F226" i="79"/>
  <c r="F97" i="79"/>
  <c r="F136" i="79"/>
  <c r="F228" i="79"/>
  <c r="F43" i="79"/>
  <c r="F155" i="79"/>
  <c r="F62" i="79"/>
  <c r="F135" i="79"/>
  <c r="F195" i="79"/>
  <c r="F148" i="79"/>
  <c r="F171" i="79"/>
  <c r="F78" i="79"/>
  <c r="F168" i="79"/>
  <c r="F146" i="79"/>
  <c r="F74" i="79"/>
  <c r="F233" i="79"/>
  <c r="F153" i="79"/>
  <c r="F26" i="79"/>
  <c r="F53" i="79"/>
  <c r="F51" i="79"/>
  <c r="F91" i="79"/>
  <c r="F219" i="79"/>
  <c r="F45" i="79"/>
  <c r="F139" i="79"/>
  <c r="F125" i="79"/>
  <c r="F138" i="79"/>
  <c r="F93" i="79"/>
  <c r="F92" i="79"/>
  <c r="F48" i="79"/>
  <c r="F202" i="79"/>
  <c r="F149" i="79"/>
  <c r="F211" i="79"/>
  <c r="F134" i="79"/>
  <c r="F65" i="79"/>
  <c r="F24" i="79"/>
  <c r="F63" i="79"/>
  <c r="F141" i="79"/>
  <c r="F102" i="79"/>
  <c r="F185" i="79"/>
  <c r="F33" i="79"/>
  <c r="F166" i="79"/>
  <c r="F132" i="79"/>
  <c r="F86" i="79"/>
  <c r="F64" i="79"/>
  <c r="F178" i="79"/>
  <c r="F60" i="79"/>
  <c r="F15" i="79"/>
  <c r="F159" i="79"/>
  <c r="F231" i="79"/>
  <c r="F112" i="79"/>
  <c r="F142" i="79"/>
  <c r="F213" i="79"/>
  <c r="F235" i="79"/>
  <c r="F205" i="79"/>
  <c r="F27" i="79"/>
  <c r="F59" i="79"/>
  <c r="F208" i="79"/>
  <c r="F143" i="79"/>
  <c r="F11" i="79"/>
  <c r="F82" i="79"/>
  <c r="F47" i="79"/>
  <c r="F21" i="79"/>
  <c r="F206" i="79"/>
  <c r="F174" i="79"/>
  <c r="F98" i="79"/>
  <c r="F157" i="79"/>
  <c r="F118" i="79"/>
  <c r="F32" i="79"/>
  <c r="F119" i="79"/>
  <c r="F215" i="79"/>
  <c r="F145" i="79"/>
  <c r="F36" i="79"/>
  <c r="F99" i="79"/>
  <c r="F144" i="79"/>
  <c r="F87" i="79"/>
  <c r="F192" i="79"/>
  <c r="F164" i="79"/>
  <c r="F237" i="79"/>
  <c r="B4" i="185" s="1"/>
  <c r="F158" i="79"/>
  <c r="F126" i="79"/>
  <c r="F147" i="79"/>
  <c r="F42" i="79"/>
  <c r="F131" i="79"/>
  <c r="F4" i="79"/>
  <c r="F127" i="79"/>
  <c r="F224" i="79"/>
  <c r="F110" i="79"/>
  <c r="F133" i="79"/>
  <c r="F90" i="79"/>
  <c r="F104" i="79"/>
  <c r="F121" i="79"/>
  <c r="F96" i="79"/>
  <c r="F44" i="79"/>
  <c r="F16" i="79"/>
  <c r="F71" i="79"/>
  <c r="F46" i="79"/>
  <c r="F120" i="79"/>
  <c r="F109" i="79"/>
  <c r="F101" i="79"/>
  <c r="F77" i="79"/>
  <c r="F85" i="79"/>
  <c r="F129" i="79"/>
  <c r="F113" i="79"/>
  <c r="F58" i="79"/>
  <c r="F17" i="79"/>
  <c r="F156" i="79"/>
  <c r="F150" i="79"/>
  <c r="F105" i="79"/>
  <c r="F73" i="79"/>
  <c r="F95" i="79"/>
  <c r="F210" i="79"/>
  <c r="F222" i="79"/>
  <c r="F34" i="79"/>
  <c r="F108" i="79"/>
  <c r="F9" i="79"/>
  <c r="F94" i="79"/>
  <c r="F172" i="79"/>
  <c r="F116" i="79"/>
  <c r="F230" i="79"/>
  <c r="F214" i="79"/>
  <c r="F103" i="79"/>
  <c r="F5" i="79"/>
  <c r="F234" i="79"/>
  <c r="F80" i="79"/>
  <c r="F55" i="79"/>
  <c r="F12" i="79"/>
  <c r="F28" i="79"/>
  <c r="F88" i="79"/>
  <c r="F140" i="79"/>
  <c r="F19" i="79"/>
  <c r="F175" i="79"/>
  <c r="F25" i="79"/>
  <c r="F124" i="79"/>
  <c r="F167" i="79"/>
  <c r="F160" i="79"/>
  <c r="F7" i="79"/>
  <c r="F181" i="79"/>
  <c r="F212" i="79"/>
  <c r="F37" i="79"/>
  <c r="F66" i="79"/>
  <c r="F196" i="79"/>
  <c r="F75" i="79"/>
  <c r="F199" i="79"/>
  <c r="F182" i="79"/>
  <c r="F123" i="79"/>
  <c r="F223" i="79"/>
  <c r="F189" i="79"/>
  <c r="F107" i="79"/>
  <c r="F57" i="79"/>
  <c r="F23" i="79"/>
  <c r="F111" i="79"/>
  <c r="F190" i="79"/>
  <c r="F216" i="79"/>
  <c r="F187" i="79"/>
  <c r="F232" i="79"/>
  <c r="F22" i="79"/>
  <c r="F115" i="79"/>
  <c r="F40" i="79"/>
  <c r="F35" i="79"/>
  <c r="F170" i="79"/>
  <c r="F179" i="79"/>
  <c r="F207" i="79"/>
  <c r="F130" i="79"/>
  <c r="F200" i="79"/>
  <c r="F10" i="79"/>
  <c r="F176" i="79"/>
  <c r="F151" i="79"/>
  <c r="F186" i="79"/>
  <c r="F203" i="79"/>
  <c r="F122" i="79"/>
  <c r="F191" i="79"/>
  <c r="F39" i="79"/>
  <c r="F2" i="79"/>
  <c r="F180" i="79"/>
  <c r="F193" i="79"/>
  <c r="Q8" i="133"/>
  <c r="AC7" i="175"/>
  <c r="AC8" i="175" s="1"/>
  <c r="AF6" i="175"/>
  <c r="AG6" i="175" s="1"/>
  <c r="AD21" i="188"/>
  <c r="AD43" i="188"/>
  <c r="J8" i="188"/>
  <c r="AD40" i="188"/>
  <c r="AD27" i="188"/>
  <c r="K8" i="188"/>
  <c r="AD55" i="188"/>
  <c r="AD64" i="188"/>
  <c r="AD28" i="188"/>
  <c r="AD51" i="188"/>
  <c r="AD42" i="188"/>
  <c r="AD6" i="188"/>
  <c r="AD16" i="188"/>
  <c r="AD20" i="188"/>
  <c r="AD65" i="188"/>
  <c r="AD2" i="188"/>
  <c r="AD23" i="188"/>
  <c r="AD52" i="188"/>
  <c r="G8" i="188"/>
  <c r="AD18" i="188"/>
  <c r="AD53" i="188"/>
  <c r="AD5" i="188"/>
  <c r="AD4" i="188"/>
  <c r="AD57" i="188"/>
  <c r="C8" i="188"/>
  <c r="AD19" i="188"/>
  <c r="AD22" i="188"/>
  <c r="AD10" i="188"/>
  <c r="B8" i="188"/>
  <c r="AD61" i="188"/>
  <c r="AD12" i="188"/>
  <c r="AD62" i="188"/>
  <c r="AD13" i="188"/>
  <c r="AD59" i="188"/>
  <c r="AD39" i="188"/>
  <c r="AD36" i="188"/>
  <c r="AD9" i="188"/>
  <c r="AD31" i="188"/>
  <c r="AD8" i="188"/>
  <c r="AD37" i="188"/>
  <c r="AD48" i="188"/>
  <c r="AD56" i="188"/>
  <c r="AD46" i="188"/>
  <c r="H8" i="188"/>
  <c r="E8" i="188"/>
  <c r="AD45" i="188"/>
  <c r="AD60" i="188"/>
  <c r="AD15" i="188"/>
  <c r="AD32" i="188"/>
  <c r="AD47" i="188"/>
  <c r="AD58" i="188"/>
  <c r="AD49" i="188"/>
  <c r="AD33" i="188"/>
  <c r="AD41" i="188"/>
  <c r="AD24" i="188"/>
  <c r="AD63" i="188"/>
  <c r="AD25" i="188"/>
  <c r="AD26" i="188"/>
  <c r="AD7" i="188"/>
  <c r="AD14" i="188"/>
  <c r="AD29" i="188"/>
  <c r="AD17" i="188"/>
  <c r="AD35" i="188"/>
  <c r="AD3" i="188"/>
  <c r="D8" i="188"/>
  <c r="AD30" i="188"/>
  <c r="AD44" i="188"/>
  <c r="AD50" i="188"/>
  <c r="F8" i="188"/>
  <c r="AD66" i="188"/>
  <c r="AD38" i="188"/>
  <c r="AD54" i="188"/>
  <c r="I8" i="188"/>
  <c r="AD34" i="188"/>
  <c r="AD11" i="188"/>
  <c r="AE49" i="188"/>
  <c r="AE57" i="188"/>
  <c r="AE59" i="188"/>
  <c r="AE4" i="188"/>
  <c r="AE20" i="188"/>
  <c r="AE34" i="188"/>
  <c r="AE3" i="188"/>
  <c r="AE50" i="188"/>
  <c r="AE47" i="188"/>
  <c r="AE25" i="188"/>
  <c r="AE35" i="188"/>
  <c r="AE54" i="188"/>
  <c r="AE8" i="188"/>
  <c r="AE30" i="188"/>
  <c r="AE56" i="188"/>
  <c r="AE18" i="188"/>
  <c r="AE43" i="188"/>
  <c r="AE14" i="188"/>
  <c r="AE45" i="188"/>
  <c r="AE51" i="188"/>
  <c r="AE58" i="188"/>
  <c r="AE28" i="188"/>
  <c r="AE32" i="188"/>
  <c r="AE15" i="188"/>
  <c r="AE10" i="188"/>
  <c r="AE52" i="188"/>
  <c r="AE38" i="188"/>
  <c r="AE9" i="188"/>
  <c r="AE27" i="188"/>
  <c r="AE22" i="188"/>
  <c r="AE23" i="188"/>
  <c r="AE40" i="188"/>
  <c r="AE21" i="188"/>
  <c r="AE36" i="188"/>
  <c r="AE46" i="188"/>
  <c r="AE31" i="188"/>
  <c r="AE61" i="188"/>
  <c r="AE12" i="188"/>
  <c r="AE16" i="188"/>
  <c r="AE53" i="188"/>
  <c r="AE63" i="188"/>
  <c r="AE44" i="188"/>
  <c r="AE19" i="188"/>
  <c r="AE6" i="188"/>
  <c r="AE65" i="188"/>
  <c r="AE66" i="188"/>
  <c r="AE33" i="188"/>
  <c r="AE5" i="188"/>
  <c r="AE60" i="188"/>
  <c r="AE26" i="188"/>
  <c r="AE48" i="188"/>
  <c r="AE42" i="188"/>
  <c r="AE7" i="188"/>
  <c r="AE64" i="188"/>
  <c r="AE29" i="188"/>
  <c r="AE13" i="188"/>
  <c r="AE2" i="188"/>
  <c r="AE17" i="188"/>
  <c r="AE37" i="188"/>
  <c r="AE41" i="188"/>
  <c r="AE55" i="188"/>
  <c r="AE62" i="188"/>
  <c r="AE11" i="188"/>
  <c r="AE24" i="188"/>
  <c r="AE39" i="188"/>
  <c r="BF44" i="135"/>
  <c r="E28" i="135" s="1"/>
  <c r="BN64" i="135"/>
  <c r="D56" i="135" s="1"/>
  <c r="BF25" i="135"/>
  <c r="E64" i="135" s="1"/>
  <c r="BN48" i="135"/>
  <c r="D13" i="135" s="1"/>
  <c r="BN13" i="135"/>
  <c r="D49" i="135" s="1"/>
  <c r="BN27" i="135"/>
  <c r="D30" i="135" s="1"/>
  <c r="BF12" i="135"/>
  <c r="E72" i="135" s="1"/>
  <c r="BN11" i="135"/>
  <c r="D53" i="135" s="1"/>
  <c r="BN70" i="135"/>
  <c r="D63" i="135" s="1"/>
  <c r="BN56" i="135"/>
  <c r="D57" i="135" s="1"/>
  <c r="BF21" i="135"/>
  <c r="E51" i="135" s="1"/>
  <c r="BF33" i="135"/>
  <c r="E20" i="135" s="1"/>
  <c r="BN34" i="135"/>
  <c r="D38" i="135" s="1"/>
  <c r="BN62" i="135"/>
  <c r="D48" i="135" s="1"/>
  <c r="BN74" i="135"/>
  <c r="D50" i="135" s="1"/>
  <c r="BF69" i="135"/>
  <c r="E65" i="135" s="1"/>
  <c r="BF22" i="135"/>
  <c r="E17" i="135" s="1"/>
  <c r="BF71" i="135"/>
  <c r="E61" i="135" s="1"/>
  <c r="BF56" i="135"/>
  <c r="E57" i="135" s="1"/>
  <c r="BN30" i="135"/>
  <c r="D58" i="135" s="1"/>
  <c r="BN55" i="135"/>
  <c r="D29" i="135" s="1"/>
  <c r="BF27" i="135"/>
  <c r="E30" i="135" s="1"/>
  <c r="BF17" i="135"/>
  <c r="E73" i="135" s="1"/>
  <c r="BF52" i="135"/>
  <c r="E23" i="135" s="1"/>
  <c r="BF58" i="135"/>
  <c r="E44" i="135" s="1"/>
  <c r="BN49" i="135"/>
  <c r="D26" i="135" s="1"/>
  <c r="BF67" i="135"/>
  <c r="E69" i="135" s="1"/>
  <c r="BN41" i="135"/>
  <c r="D34" i="135" s="1"/>
  <c r="BF75" i="135"/>
  <c r="E71" i="135" s="1"/>
  <c r="BF43" i="135"/>
  <c r="E32" i="135" s="1"/>
  <c r="BN67" i="135"/>
  <c r="D69" i="135" s="1"/>
  <c r="BF64" i="135"/>
  <c r="E56" i="135" s="1"/>
  <c r="BF23" i="135"/>
  <c r="E70" i="135" s="1"/>
  <c r="BN69" i="135"/>
  <c r="D65" i="135" s="1"/>
  <c r="BF26" i="135"/>
  <c r="E39" i="135" s="1"/>
  <c r="BF54" i="135"/>
  <c r="E27" i="135" s="1"/>
  <c r="BN28" i="135"/>
  <c r="D52" i="135" s="1"/>
  <c r="BN63" i="135"/>
  <c r="D47" i="135" s="1"/>
  <c r="BN15" i="135"/>
  <c r="D76" i="135" s="1"/>
  <c r="BN14" i="135"/>
  <c r="D35" i="135" s="1"/>
  <c r="BF49" i="135"/>
  <c r="E26" i="135" s="1"/>
  <c r="BN26" i="135"/>
  <c r="D39" i="135" s="1"/>
  <c r="BN40" i="135"/>
  <c r="D31" i="135" s="1"/>
  <c r="BN18" i="135"/>
  <c r="D19" i="135" s="1"/>
  <c r="BF68" i="135"/>
  <c r="E68" i="135" s="1"/>
  <c r="BN17" i="135"/>
  <c r="D73" i="135" s="1"/>
  <c r="BN45" i="135"/>
  <c r="D24" i="135" s="1"/>
  <c r="BN24" i="135"/>
  <c r="D37" i="135" s="1"/>
  <c r="BN54" i="135"/>
  <c r="D27" i="135" s="1"/>
  <c r="BN50" i="135"/>
  <c r="D25" i="135" s="1"/>
  <c r="BN19" i="135"/>
  <c r="D74" i="135" s="1"/>
  <c r="BF11" i="135"/>
  <c r="E53" i="135" s="1"/>
  <c r="BF63" i="135"/>
  <c r="E47" i="135" s="1"/>
  <c r="BN35" i="135"/>
  <c r="D36" i="135" s="1"/>
  <c r="BN22" i="135"/>
  <c r="D17" i="135" s="1"/>
  <c r="BN65" i="135"/>
  <c r="D46" i="135" s="1"/>
  <c r="BF32" i="135"/>
  <c r="E41" i="135" s="1"/>
  <c r="BN66" i="135"/>
  <c r="D55" i="135" s="1"/>
  <c r="BF65" i="135"/>
  <c r="E46" i="135" s="1"/>
  <c r="BF72" i="135"/>
  <c r="E54" i="135" s="1"/>
  <c r="BF47" i="135"/>
  <c r="E21" i="135" s="1"/>
  <c r="BN42" i="135"/>
  <c r="D40" i="135" s="1"/>
  <c r="BN39" i="135"/>
  <c r="D12" i="135" s="1"/>
  <c r="BF48" i="135"/>
  <c r="E13" i="135" s="1"/>
  <c r="BF13" i="135"/>
  <c r="E49" i="135" s="1"/>
  <c r="BF55" i="135"/>
  <c r="E29" i="135" s="1"/>
  <c r="BF51" i="135"/>
  <c r="E15" i="135" s="1"/>
  <c r="BN21" i="135"/>
  <c r="D51" i="135" s="1"/>
  <c r="BN60" i="135"/>
  <c r="D62" i="135" s="1"/>
  <c r="BF16" i="135"/>
  <c r="E75" i="135" s="1"/>
  <c r="BF36" i="135"/>
  <c r="E33" i="135" s="1"/>
  <c r="BF42" i="135"/>
  <c r="E40" i="135" s="1"/>
  <c r="BN12" i="135"/>
  <c r="D72" i="135" s="1"/>
  <c r="BN52" i="135"/>
  <c r="D23" i="135" s="1"/>
  <c r="BF37" i="135"/>
  <c r="E18" i="135" s="1"/>
  <c r="BF38" i="135"/>
  <c r="E14" i="135" s="1"/>
  <c r="BF46" i="135"/>
  <c r="E22" i="135" s="1"/>
  <c r="BN72" i="135"/>
  <c r="D54" i="135" s="1"/>
  <c r="BN47" i="135"/>
  <c r="D21" i="135" s="1"/>
  <c r="BN25" i="135"/>
  <c r="D64" i="135" s="1"/>
  <c r="BN61" i="135"/>
  <c r="D59" i="135" s="1"/>
  <c r="BN37" i="135"/>
  <c r="D18" i="135" s="1"/>
  <c r="BF15" i="135"/>
  <c r="E76" i="135" s="1"/>
  <c r="BN43" i="135"/>
  <c r="D32" i="135" s="1"/>
  <c r="BF39" i="135"/>
  <c r="E12" i="135" s="1"/>
  <c r="BF41" i="135"/>
  <c r="E34" i="135" s="1"/>
  <c r="BN68" i="135"/>
  <c r="D68" i="135" s="1"/>
  <c r="BF24" i="135"/>
  <c r="E37" i="135" s="1"/>
  <c r="BN59" i="135"/>
  <c r="D42" i="135" s="1"/>
  <c r="BN36" i="135"/>
  <c r="D33" i="135" s="1"/>
  <c r="BF45" i="135"/>
  <c r="E24" i="135" s="1"/>
  <c r="BN23" i="135"/>
  <c r="D70" i="135" s="1"/>
  <c r="BF30" i="135"/>
  <c r="E58" i="135" s="1"/>
  <c r="BF34" i="135"/>
  <c r="E38" i="135" s="1"/>
  <c r="BN73" i="135"/>
  <c r="D66" i="135" s="1"/>
  <c r="BF62" i="135"/>
  <c r="E48" i="135" s="1"/>
  <c r="BF53" i="135"/>
  <c r="E16" i="135" s="1"/>
  <c r="BN71" i="135"/>
  <c r="D61" i="135" s="1"/>
  <c r="BN53" i="135"/>
  <c r="D16" i="135" s="1"/>
  <c r="BF31" i="135"/>
  <c r="E43" i="135" s="1"/>
  <c r="BF40" i="135"/>
  <c r="E31" i="135" s="1"/>
  <c r="BF70" i="135"/>
  <c r="E63" i="135" s="1"/>
  <c r="BN44" i="135"/>
  <c r="D28" i="135" s="1"/>
  <c r="BN32" i="135"/>
  <c r="D41" i="135" s="1"/>
  <c r="BN20" i="135"/>
  <c r="D67" i="135" s="1"/>
  <c r="BF35" i="135"/>
  <c r="E36" i="135" s="1"/>
  <c r="BN31" i="135"/>
  <c r="D43" i="135" s="1"/>
  <c r="BF50" i="135"/>
  <c r="E25" i="135" s="1"/>
  <c r="BF20" i="135"/>
  <c r="E67" i="135" s="1"/>
  <c r="BF61" i="135"/>
  <c r="E59" i="135" s="1"/>
  <c r="BN46" i="135"/>
  <c r="D22" i="135" s="1"/>
  <c r="BN51" i="135"/>
  <c r="D15" i="135" s="1"/>
  <c r="BN16" i="135"/>
  <c r="D75" i="135" s="1"/>
  <c r="BN33" i="135"/>
  <c r="D20" i="135" s="1"/>
  <c r="BF60" i="135"/>
  <c r="E62" i="135" s="1"/>
  <c r="BN38" i="135"/>
  <c r="D14" i="135" s="1"/>
  <c r="BF28" i="135"/>
  <c r="E52" i="135" s="1"/>
  <c r="BF19" i="135"/>
  <c r="E74" i="135" s="1"/>
  <c r="BN58" i="135"/>
  <c r="D44" i="135" s="1"/>
  <c r="BF59" i="135"/>
  <c r="E42" i="135" s="1"/>
  <c r="BF29" i="135"/>
  <c r="E45" i="135" s="1"/>
  <c r="BF66" i="135"/>
  <c r="E55" i="135" s="1"/>
  <c r="BN29" i="135"/>
  <c r="D45" i="135" s="1"/>
  <c r="BN75" i="135"/>
  <c r="D71" i="135" s="1"/>
  <c r="BF14" i="135"/>
  <c r="E35" i="135" s="1"/>
  <c r="BF73" i="135"/>
  <c r="E66" i="135" s="1"/>
  <c r="BF74" i="135"/>
  <c r="E50" i="135" s="1"/>
  <c r="BF57" i="135"/>
  <c r="E60" i="135" s="1"/>
  <c r="BN57" i="135"/>
  <c r="D60" i="135" s="1"/>
  <c r="BF18" i="135"/>
  <c r="E19" i="135" s="1"/>
  <c r="J27" i="116" l="1"/>
  <c r="J25" i="116"/>
  <c r="I27" i="116"/>
  <c r="I25" i="116"/>
  <c r="H25" i="116"/>
  <c r="H27" i="116"/>
  <c r="K25" i="116"/>
  <c r="K27" i="116"/>
  <c r="E27" i="116"/>
  <c r="E25" i="116"/>
  <c r="F25" i="116"/>
  <c r="F27" i="116"/>
  <c r="C25" i="116"/>
  <c r="C27" i="116"/>
  <c r="M22" i="116"/>
  <c r="L25" i="116"/>
  <c r="L27" i="116"/>
  <c r="D25" i="116"/>
  <c r="D27" i="116"/>
  <c r="G25" i="116"/>
  <c r="G27" i="116"/>
  <c r="AB44" i="179"/>
  <c r="M27" i="179"/>
  <c r="AB21" i="179"/>
  <c r="AB24" i="179"/>
  <c r="AB20" i="179"/>
  <c r="AB33" i="179"/>
  <c r="AB51" i="179"/>
  <c r="AB5" i="179"/>
  <c r="AB58" i="179"/>
  <c r="AB7" i="179"/>
  <c r="AB56" i="179"/>
  <c r="AB49" i="179"/>
  <c r="AB55" i="179"/>
  <c r="AB43" i="179"/>
  <c r="AB64" i="179"/>
  <c r="AB48" i="179"/>
  <c r="AB66" i="179"/>
  <c r="AB3" i="179"/>
  <c r="AB28" i="179"/>
  <c r="AB35" i="179"/>
  <c r="AB4" i="179"/>
  <c r="AB30" i="179"/>
  <c r="AB37" i="179"/>
  <c r="AB26" i="179"/>
  <c r="AB59" i="179"/>
  <c r="AB8" i="179"/>
  <c r="AB63" i="179"/>
  <c r="AB65" i="179"/>
  <c r="AB52" i="179"/>
  <c r="AB10" i="179"/>
  <c r="AB45" i="179"/>
  <c r="AB50" i="179"/>
  <c r="AB61" i="179"/>
  <c r="AB19" i="179"/>
  <c r="AB17" i="179"/>
  <c r="AB2" i="179"/>
  <c r="AB6" i="179"/>
  <c r="AB54" i="179"/>
  <c r="AB42" i="179"/>
  <c r="AB23" i="179"/>
  <c r="AB62" i="179"/>
  <c r="AB14" i="179"/>
  <c r="AB11" i="179"/>
  <c r="AB29" i="179"/>
  <c r="AB22" i="179"/>
  <c r="AB46" i="179"/>
  <c r="AB27" i="179"/>
  <c r="AB60" i="179"/>
  <c r="AB32" i="179"/>
  <c r="AB9" i="179"/>
  <c r="AB40" i="179"/>
  <c r="AB53" i="179"/>
  <c r="AB38" i="179"/>
  <c r="AB18" i="179"/>
  <c r="AB13" i="179"/>
  <c r="AB57" i="179"/>
  <c r="AB47" i="179"/>
  <c r="AB39" i="179"/>
  <c r="AB34" i="179"/>
  <c r="AB25" i="179"/>
  <c r="AB31" i="179"/>
  <c r="AB12" i="179"/>
  <c r="AB16" i="179"/>
  <c r="AB36" i="179"/>
  <c r="AB15" i="179"/>
  <c r="AB41" i="179"/>
  <c r="N32" i="140"/>
  <c r="C24" i="155" s="1"/>
  <c r="N57" i="140"/>
  <c r="C49" i="155" s="1"/>
  <c r="N14" i="140"/>
  <c r="C35" i="155" s="1"/>
  <c r="N43" i="140"/>
  <c r="C38" i="155" s="1"/>
  <c r="C43" i="155"/>
  <c r="N26" i="140"/>
  <c r="C48" i="155" s="1"/>
  <c r="N52" i="140"/>
  <c r="C7" i="155" s="1"/>
  <c r="N28" i="140"/>
  <c r="C44" i="155" s="1"/>
  <c r="N24" i="140"/>
  <c r="C31" i="155" s="1"/>
  <c r="C12" i="155"/>
  <c r="N20" i="140"/>
  <c r="C45" i="155" s="1"/>
  <c r="N74" i="140"/>
  <c r="C69" i="155" s="1"/>
  <c r="N30" i="140"/>
  <c r="C42" i="155" s="1"/>
  <c r="N66" i="140"/>
  <c r="C62" i="155" s="1"/>
  <c r="N75" i="140"/>
  <c r="C64" i="155" s="1"/>
  <c r="N47" i="140"/>
  <c r="C17" i="155" s="1"/>
  <c r="N68" i="140"/>
  <c r="C58" i="155" s="1"/>
  <c r="N19" i="140"/>
  <c r="C19" i="155" s="1"/>
  <c r="N22" i="140"/>
  <c r="C51" i="155" s="1"/>
  <c r="N41" i="140"/>
  <c r="C21" i="155" s="1"/>
  <c r="N45" i="140"/>
  <c r="C37" i="155" s="1"/>
  <c r="N60" i="140"/>
  <c r="C50" i="155" s="1"/>
  <c r="N17" i="140"/>
  <c r="C46" i="155" s="1"/>
  <c r="N67" i="140"/>
  <c r="C56" i="155" s="1"/>
  <c r="N16" i="140"/>
  <c r="C40" i="155" s="1"/>
  <c r="N23" i="140"/>
  <c r="C41" i="155" s="1"/>
  <c r="N72" i="140"/>
  <c r="C63" i="155" s="1"/>
  <c r="N25" i="140"/>
  <c r="C23" i="155" s="1"/>
  <c r="N56" i="140"/>
  <c r="C15" i="155" s="1"/>
  <c r="N21" i="140"/>
  <c r="C32" i="155" s="1"/>
  <c r="N71" i="140"/>
  <c r="C60" i="155" s="1"/>
  <c r="N59" i="140"/>
  <c r="C52" i="155" s="1"/>
  <c r="N31" i="140"/>
  <c r="C39" i="155" s="1"/>
  <c r="N29" i="140"/>
  <c r="C30" i="155" s="1"/>
  <c r="N27" i="140"/>
  <c r="C33" i="155" s="1"/>
  <c r="N62" i="140"/>
  <c r="C55" i="155" s="1"/>
  <c r="N44" i="140"/>
  <c r="C22" i="155" s="1"/>
  <c r="N61" i="140"/>
  <c r="C67" i="155" s="1"/>
  <c r="N63" i="140"/>
  <c r="C61" i="155" s="1"/>
  <c r="N34" i="140"/>
  <c r="C20" i="155" s="1"/>
  <c r="N70" i="140"/>
  <c r="C66" i="155" s="1"/>
  <c r="C6" i="155"/>
  <c r="N33" i="140"/>
  <c r="C36" i="155" s="1"/>
  <c r="N51" i="140"/>
  <c r="C9" i="155" s="1"/>
  <c r="N50" i="140"/>
  <c r="C8" i="155" s="1"/>
  <c r="N15" i="140"/>
  <c r="C29" i="155" s="1"/>
  <c r="N40" i="140"/>
  <c r="C5" i="155" s="1"/>
  <c r="N69" i="140"/>
  <c r="C59" i="155" s="1"/>
  <c r="N12" i="140"/>
  <c r="N49" i="140"/>
  <c r="C10" i="155" s="1"/>
  <c r="N48" i="140"/>
  <c r="C18" i="155" s="1"/>
  <c r="N46" i="140"/>
  <c r="C16" i="155" s="1"/>
  <c r="N35" i="140"/>
  <c r="C34" i="155" s="1"/>
  <c r="C47" i="155"/>
  <c r="N42" i="140"/>
  <c r="C28" i="155" s="1"/>
  <c r="N36" i="140"/>
  <c r="C26" i="155" s="1"/>
  <c r="N38" i="140"/>
  <c r="C11" i="155" s="1"/>
  <c r="N53" i="140"/>
  <c r="C13" i="155" s="1"/>
  <c r="N37" i="140"/>
  <c r="C25" i="155" s="1"/>
  <c r="N65" i="140"/>
  <c r="C54" i="155" s="1"/>
  <c r="N58" i="140"/>
  <c r="C53" i="155" s="1"/>
  <c r="N55" i="140"/>
  <c r="C14" i="155" s="1"/>
  <c r="N64" i="140"/>
  <c r="C57" i="155" s="1"/>
  <c r="AB7" i="175"/>
  <c r="AE7" i="175" s="1"/>
  <c r="AF7" i="175" s="1"/>
  <c r="AG7" i="175" s="1"/>
  <c r="Q10" i="133"/>
  <c r="AI7" i="188" a="1"/>
  <c r="AI7" i="188" s="1"/>
  <c r="AI5" i="188" a="1"/>
  <c r="AI5" i="188" s="1"/>
  <c r="AI14" i="188" a="1"/>
  <c r="AI14" i="188" s="1"/>
  <c r="AI13" i="188" a="1"/>
  <c r="AI13" i="188" s="1"/>
  <c r="AI4" i="188" a="1"/>
  <c r="AI4" i="188" s="1"/>
  <c r="AI6" i="188" a="1"/>
  <c r="AI6" i="188" s="1"/>
  <c r="AI9" i="188" a="1"/>
  <c r="AI9" i="188" s="1"/>
  <c r="AI19" i="188" a="1"/>
  <c r="AI19" i="188" s="1"/>
  <c r="AI20" i="188" a="1"/>
  <c r="AI20" i="188" s="1"/>
  <c r="AI17" i="188" a="1"/>
  <c r="AI17" i="188" s="1"/>
  <c r="AI21" i="188" a="1"/>
  <c r="AI21" i="188" s="1"/>
  <c r="AI8" i="188" a="1"/>
  <c r="AI8" i="188" s="1"/>
  <c r="AI15" i="188" a="1"/>
  <c r="AI15" i="188" s="1"/>
  <c r="AI10" i="188" a="1"/>
  <c r="AI10" i="188" s="1"/>
  <c r="AI16" i="188" a="1"/>
  <c r="AI16" i="188" s="1"/>
  <c r="AI18" i="188" a="1"/>
  <c r="AI18" i="188" s="1"/>
  <c r="AI3" i="188" a="1"/>
  <c r="AI3" i="188" s="1"/>
  <c r="AI11" i="188" a="1"/>
  <c r="AI11" i="188" s="1"/>
  <c r="AI12" i="188" a="1"/>
  <c r="AI12" i="188" s="1"/>
  <c r="AP11" i="135"/>
  <c r="C53" i="135"/>
  <c r="D27" i="155" s="1"/>
  <c r="AM88" i="135"/>
  <c r="B59" i="185" s="1"/>
  <c r="AM89" i="135"/>
  <c r="X8" i="135"/>
  <c r="AH6" i="175"/>
  <c r="AB8" i="175"/>
  <c r="AE8" i="175" s="1"/>
  <c r="AC9" i="175"/>
  <c r="AG19" i="179" a="1"/>
  <c r="AG19" i="179" s="1"/>
  <c r="AG6" i="179" a="1"/>
  <c r="AG6" i="179" s="1"/>
  <c r="AG3" i="179" a="1"/>
  <c r="AG3" i="179" s="1"/>
  <c r="AG10" i="179" a="1"/>
  <c r="AG10" i="179" s="1"/>
  <c r="AG20" i="179" a="1"/>
  <c r="AG20" i="179" s="1"/>
  <c r="AG17" i="179" a="1"/>
  <c r="AG17" i="179" s="1"/>
  <c r="AG16" i="179" a="1"/>
  <c r="AG16" i="179" s="1"/>
  <c r="AG21" i="179" a="1"/>
  <c r="AG21" i="179" s="1"/>
  <c r="AG12" i="179" a="1"/>
  <c r="AG12" i="179" s="1"/>
  <c r="AG18" i="179" a="1"/>
  <c r="AG18" i="179" s="1"/>
  <c r="AG14" i="179" a="1"/>
  <c r="AG14" i="179" s="1"/>
  <c r="AG13" i="179" a="1"/>
  <c r="AG13" i="179" s="1"/>
  <c r="AG15" i="179" a="1"/>
  <c r="AG15" i="179" s="1"/>
  <c r="AG11" i="179" a="1"/>
  <c r="AG11" i="179" s="1"/>
  <c r="AG7" i="179" a="1"/>
  <c r="AG7" i="179" s="1"/>
  <c r="AG8" i="179" a="1"/>
  <c r="AG8" i="179" s="1"/>
  <c r="AG9" i="179" a="1"/>
  <c r="AG9" i="179" s="1"/>
  <c r="AG5" i="179" a="1"/>
  <c r="AG5" i="179" s="1"/>
  <c r="AG4" i="179" a="1"/>
  <c r="AG4" i="179" s="1"/>
  <c r="C27" i="155" l="1"/>
  <c r="B11" i="140"/>
  <c r="B58" i="185" s="1"/>
  <c r="F26" i="116"/>
  <c r="F45" i="116" s="1"/>
  <c r="F51" i="116"/>
  <c r="F28" i="116"/>
  <c r="E26" i="116"/>
  <c r="E28" i="116" s="1"/>
  <c r="G26" i="116"/>
  <c r="G51" i="116" s="1"/>
  <c r="K26" i="116"/>
  <c r="K28" i="116" s="1"/>
  <c r="D26" i="116"/>
  <c r="D28" i="116" s="1"/>
  <c r="H26" i="116"/>
  <c r="H28" i="116" s="1"/>
  <c r="L26" i="116"/>
  <c r="L28" i="116" s="1"/>
  <c r="I26" i="116"/>
  <c r="I28" i="116" s="1"/>
  <c r="M27" i="116"/>
  <c r="J26" i="116"/>
  <c r="J45" i="116" s="1"/>
  <c r="C26" i="116"/>
  <c r="C41" i="116" s="1"/>
  <c r="C51" i="116"/>
  <c r="M25" i="116"/>
  <c r="AF3" i="179" a="1"/>
  <c r="AF3" i="179" s="1"/>
  <c r="AF17" i="179" a="1"/>
  <c r="AF17" i="179" s="1"/>
  <c r="AF18" i="179" a="1"/>
  <c r="AF18" i="179" s="1"/>
  <c r="AF12" i="179" a="1"/>
  <c r="AF12" i="179" s="1"/>
  <c r="AF8" i="179" a="1"/>
  <c r="AF8" i="179" s="1"/>
  <c r="AF16" i="179" a="1"/>
  <c r="AF16" i="179" s="1"/>
  <c r="AF6" i="179" a="1"/>
  <c r="AF6" i="179" s="1"/>
  <c r="AF9" i="179" a="1"/>
  <c r="AF9" i="179" s="1"/>
  <c r="AF19" i="179" a="1"/>
  <c r="AF19" i="179" s="1"/>
  <c r="AF13" i="179" a="1"/>
  <c r="AF13" i="179" s="1"/>
  <c r="AF20" i="179" a="1"/>
  <c r="AF20" i="179" s="1"/>
  <c r="AF5" i="179" a="1"/>
  <c r="AF5" i="179" s="1"/>
  <c r="AF15" i="179" a="1"/>
  <c r="AF15" i="179" s="1"/>
  <c r="AF14" i="179" a="1"/>
  <c r="AF14" i="179" s="1"/>
  <c r="AF11" i="179" a="1"/>
  <c r="AF11" i="179" s="1"/>
  <c r="AF10" i="179" a="1"/>
  <c r="AF10" i="179" s="1"/>
  <c r="AF7" i="179" a="1"/>
  <c r="AF7" i="179" s="1"/>
  <c r="AF4" i="179" a="1"/>
  <c r="AF4" i="179" s="1"/>
  <c r="AF21" i="179" a="1"/>
  <c r="AF21" i="179" s="1"/>
  <c r="N10" i="140"/>
  <c r="C73" i="155"/>
  <c r="Q9" i="133"/>
  <c r="AH7" i="175"/>
  <c r="AC10" i="175"/>
  <c r="AB9" i="175"/>
  <c r="AE9" i="175" s="1"/>
  <c r="C79" i="135"/>
  <c r="C80" i="135"/>
  <c r="Z6" i="175"/>
  <c r="AF8" i="175"/>
  <c r="AG8" i="175" s="1"/>
  <c r="H45" i="116" l="1"/>
  <c r="C45" i="116"/>
  <c r="J28" i="116"/>
  <c r="E45" i="116"/>
  <c r="E51" i="116"/>
  <c r="J51" i="116"/>
  <c r="K45" i="116"/>
  <c r="G28" i="116"/>
  <c r="F6" i="183" s="1"/>
  <c r="F7" i="183" s="1"/>
  <c r="H51" i="116"/>
  <c r="D45" i="116"/>
  <c r="D51" i="116"/>
  <c r="I45" i="116"/>
  <c r="K29" i="116"/>
  <c r="J6" i="183"/>
  <c r="J7" i="183" s="1"/>
  <c r="I51" i="116"/>
  <c r="G45" i="116"/>
  <c r="I29" i="116"/>
  <c r="H6" i="183"/>
  <c r="H7" i="183" s="1"/>
  <c r="C29" i="116"/>
  <c r="B6" i="183"/>
  <c r="B7" i="183" s="1"/>
  <c r="L29" i="116"/>
  <c r="K6" i="183"/>
  <c r="K7" i="183" s="1"/>
  <c r="E29" i="116"/>
  <c r="D6" i="183"/>
  <c r="D7" i="183" s="1"/>
  <c r="H29" i="116"/>
  <c r="G6" i="183"/>
  <c r="G7" i="183" s="1"/>
  <c r="F29" i="116"/>
  <c r="E6" i="183"/>
  <c r="E7" i="183" s="1"/>
  <c r="J29" i="116"/>
  <c r="I6" i="183"/>
  <c r="I7" i="183" s="1"/>
  <c r="D29" i="116"/>
  <c r="C6" i="183"/>
  <c r="C7" i="183" s="1"/>
  <c r="M26" i="116"/>
  <c r="M28" i="116" s="1"/>
  <c r="M29" i="116" s="1"/>
  <c r="B7" i="179"/>
  <c r="J7" i="179"/>
  <c r="G7" i="179"/>
  <c r="D7" i="179"/>
  <c r="C7" i="179"/>
  <c r="F7" i="179"/>
  <c r="I7" i="179"/>
  <c r="H7" i="179"/>
  <c r="E7" i="179"/>
  <c r="K7" i="179"/>
  <c r="C72" i="155"/>
  <c r="AH8" i="175"/>
  <c r="AC11" i="175"/>
  <c r="AB10" i="175"/>
  <c r="AE10" i="175" s="1"/>
  <c r="Q11" i="133"/>
  <c r="AF9" i="175"/>
  <c r="AG9" i="175" s="1"/>
  <c r="Z7" i="175"/>
  <c r="G29" i="116" l="1"/>
  <c r="C27" i="183"/>
  <c r="C26" i="183"/>
  <c r="B26" i="183"/>
  <c r="M6" i="183"/>
  <c r="L6" i="183"/>
  <c r="B18" i="185" s="1"/>
  <c r="N6" i="183"/>
  <c r="F27" i="183"/>
  <c r="F26" i="183"/>
  <c r="H27" i="183"/>
  <c r="H26" i="183"/>
  <c r="D26" i="183"/>
  <c r="D27" i="183"/>
  <c r="J27" i="183"/>
  <c r="J26" i="183"/>
  <c r="I27" i="183"/>
  <c r="I26" i="183"/>
  <c r="E26" i="183"/>
  <c r="G26" i="183"/>
  <c r="G27" i="183"/>
  <c r="K27" i="183"/>
  <c r="K26" i="183"/>
  <c r="B8" i="179"/>
  <c r="H8" i="179"/>
  <c r="I8" i="179"/>
  <c r="F8" i="179"/>
  <c r="J8" i="179"/>
  <c r="D8" i="179"/>
  <c r="G8" i="179"/>
  <c r="K8" i="179"/>
  <c r="E8" i="179"/>
  <c r="C8" i="179"/>
  <c r="AH9" i="175"/>
  <c r="AF10" i="175"/>
  <c r="AG10" i="175" s="1"/>
  <c r="Q12" i="133"/>
  <c r="AC12" i="175"/>
  <c r="AB11" i="175"/>
  <c r="AE11" i="175" s="1"/>
  <c r="AF11" i="175" s="1"/>
  <c r="Z8" i="175"/>
  <c r="K12" i="179" l="1"/>
  <c r="K82" i="179"/>
  <c r="H12" i="179"/>
  <c r="H82" i="179"/>
  <c r="C12" i="179"/>
  <c r="C82" i="179"/>
  <c r="E12" i="179"/>
  <c r="E82" i="179"/>
  <c r="G12" i="179"/>
  <c r="G82" i="179"/>
  <c r="D12" i="179"/>
  <c r="D82" i="179"/>
  <c r="J12" i="179"/>
  <c r="J82" i="179"/>
  <c r="F12" i="179"/>
  <c r="F82" i="179"/>
  <c r="I12" i="179"/>
  <c r="I82" i="179"/>
  <c r="B12" i="179"/>
  <c r="B82" i="179"/>
  <c r="L26" i="183"/>
  <c r="E27" i="183"/>
  <c r="B27" i="183"/>
  <c r="L7" i="183"/>
  <c r="K10" i="179"/>
  <c r="K11" i="179" s="1"/>
  <c r="B10" i="179"/>
  <c r="J10" i="179"/>
  <c r="J18" i="179" s="1"/>
  <c r="I10" i="179"/>
  <c r="I18" i="179" s="1"/>
  <c r="H10" i="179"/>
  <c r="H11" i="179" s="1"/>
  <c r="H23" i="179" s="1"/>
  <c r="G10" i="179"/>
  <c r="G18" i="179" s="1"/>
  <c r="F10" i="179"/>
  <c r="F11" i="179" s="1"/>
  <c r="F23" i="179" s="1"/>
  <c r="E10" i="179"/>
  <c r="E18" i="179" s="1"/>
  <c r="D10" i="179"/>
  <c r="D11" i="179" s="1"/>
  <c r="D23" i="179" s="1"/>
  <c r="C10" i="179"/>
  <c r="C18" i="179" s="1"/>
  <c r="AG11" i="175"/>
  <c r="AH10" i="175"/>
  <c r="Q13" i="133"/>
  <c r="AC13" i="175"/>
  <c r="AB12" i="175"/>
  <c r="AE12" i="175" s="1"/>
  <c r="AF12" i="175" s="1"/>
  <c r="Z9" i="175"/>
  <c r="L12" i="179" l="1"/>
  <c r="L27" i="183"/>
  <c r="B19" i="185"/>
  <c r="B11" i="179"/>
  <c r="B23" i="179" s="1"/>
  <c r="B18" i="179"/>
  <c r="K18" i="179"/>
  <c r="J11" i="179"/>
  <c r="G11" i="179"/>
  <c r="H18" i="179"/>
  <c r="I11" i="179"/>
  <c r="F18" i="179"/>
  <c r="E11" i="179"/>
  <c r="C11" i="179"/>
  <c r="D18" i="179"/>
  <c r="AH11" i="175"/>
  <c r="AG12" i="175"/>
  <c r="Q14" i="133"/>
  <c r="Z10" i="175"/>
  <c r="AC14" i="175"/>
  <c r="AB13" i="175"/>
  <c r="AE13" i="175" s="1"/>
  <c r="K23" i="179" l="1"/>
  <c r="C23" i="179"/>
  <c r="G23" i="179"/>
  <c r="M23" i="179" s="1"/>
  <c r="I23" i="179"/>
  <c r="J23" i="179"/>
  <c r="E23" i="179"/>
  <c r="L11" i="179"/>
  <c r="M12" i="179" s="1"/>
  <c r="M18" i="179"/>
  <c r="AH12" i="175"/>
  <c r="Z11" i="175"/>
  <c r="Q15" i="133"/>
  <c r="AF13" i="175"/>
  <c r="AG13" i="175" s="1"/>
  <c r="AB14" i="175"/>
  <c r="AE14" i="175" s="1"/>
  <c r="AF14" i="175" s="1"/>
  <c r="AC15" i="175"/>
  <c r="N23" i="179" l="1"/>
  <c r="AH13" i="175"/>
  <c r="AG14" i="175"/>
  <c r="Q16" i="133"/>
  <c r="AC16" i="175"/>
  <c r="AB15" i="175"/>
  <c r="AE15" i="175" s="1"/>
  <c r="AF15" i="175" s="1"/>
  <c r="Z12" i="175"/>
  <c r="I24" i="193" l="1"/>
  <c r="B13" i="185" s="1"/>
  <c r="AC17" i="175"/>
  <c r="AB17" i="175" s="1"/>
  <c r="AE17" i="175" s="1"/>
  <c r="AB16" i="175"/>
  <c r="AE16" i="175" s="1"/>
  <c r="AF16" i="175" s="1"/>
  <c r="AG15" i="175"/>
  <c r="AH14" i="175"/>
  <c r="Q17" i="133"/>
  <c r="Q18" i="133"/>
  <c r="Z13" i="175"/>
  <c r="I25" i="193" l="1"/>
  <c r="B15" i="185" s="1"/>
  <c r="J24" i="193"/>
  <c r="AH15" i="175"/>
  <c r="AG16" i="175"/>
  <c r="Z14" i="175"/>
  <c r="AF48" i="175"/>
  <c r="AF31" i="175"/>
  <c r="AF41" i="175"/>
  <c r="AF18" i="175"/>
  <c r="AF35" i="175"/>
  <c r="AF21" i="175"/>
  <c r="AF26" i="175"/>
  <c r="AF45" i="175"/>
  <c r="AF27" i="175"/>
  <c r="AF38" i="175"/>
  <c r="AF39" i="175"/>
  <c r="AF43" i="175"/>
  <c r="AF42" i="175"/>
  <c r="AF28" i="175"/>
  <c r="AF33" i="175"/>
  <c r="AF23" i="175"/>
  <c r="AF25" i="175"/>
  <c r="AF34" i="175"/>
  <c r="AF20" i="175"/>
  <c r="AF37" i="175"/>
  <c r="AF30" i="175"/>
  <c r="AF36" i="175"/>
  <c r="AF29" i="175"/>
  <c r="AF22" i="175"/>
  <c r="AF40" i="175"/>
  <c r="AF47" i="175"/>
  <c r="AF17" i="175"/>
  <c r="AF19" i="175"/>
  <c r="AF32" i="175"/>
  <c r="AF46" i="175"/>
  <c r="AF44" i="175"/>
  <c r="AF24" i="175"/>
  <c r="AG17" i="175" l="1"/>
  <c r="AH16" i="175"/>
  <c r="Z15" i="175"/>
  <c r="Z16" i="175" l="1"/>
  <c r="AG18" i="175"/>
  <c r="AH17" i="175"/>
  <c r="AH18" i="175" l="1"/>
  <c r="AG19" i="175"/>
  <c r="Z17" i="175"/>
  <c r="AG20" i="175" l="1"/>
  <c r="AH19" i="175"/>
  <c r="Z18" i="175"/>
  <c r="Z19" i="175" l="1"/>
  <c r="AH20" i="175"/>
  <c r="AG21" i="175"/>
  <c r="Z20" i="175" l="1"/>
  <c r="AG22" i="175"/>
  <c r="AH21" i="175"/>
  <c r="AH22" i="175" l="1"/>
  <c r="AG23" i="175"/>
  <c r="Z21" i="175"/>
  <c r="Z22" i="175" l="1"/>
  <c r="AG24" i="175"/>
  <c r="AH23" i="175"/>
  <c r="Z23" i="175" l="1"/>
  <c r="AH24" i="175"/>
  <c r="AG25" i="175"/>
  <c r="Z24" i="175" l="1"/>
  <c r="AH25" i="175"/>
  <c r="AG26" i="175"/>
  <c r="Z25" i="175" l="1"/>
  <c r="AG27" i="175"/>
  <c r="AH26" i="175"/>
  <c r="Z26" i="175" l="1"/>
  <c r="AH27" i="175"/>
  <c r="AG28" i="175"/>
  <c r="Z27" i="175" l="1"/>
  <c r="AH28" i="175"/>
  <c r="AG29" i="175"/>
  <c r="AG30" i="175" l="1"/>
  <c r="AH29" i="175"/>
  <c r="Z28" i="175"/>
  <c r="Z29" i="175" l="1"/>
  <c r="AH30" i="175"/>
  <c r="AG31" i="175"/>
  <c r="AH31" i="175" l="1"/>
  <c r="AG32" i="175"/>
  <c r="Z30" i="175"/>
  <c r="AG33" i="175" l="1"/>
  <c r="AH32" i="175"/>
  <c r="Z31" i="175"/>
  <c r="Z32" i="175" l="1"/>
  <c r="AG34" i="175"/>
  <c r="AH33" i="175"/>
  <c r="Z33" i="175" l="1"/>
  <c r="AH34" i="175"/>
  <c r="AG35" i="175"/>
  <c r="Z34" i="175" l="1"/>
  <c r="AG36" i="175"/>
  <c r="AH35" i="175"/>
  <c r="AG37" i="175" l="1"/>
  <c r="AH36" i="175"/>
  <c r="Z35" i="175"/>
  <c r="Z36" i="175" l="1"/>
  <c r="AH37" i="175"/>
  <c r="AG38" i="175"/>
  <c r="Z37" i="175" l="1"/>
  <c r="AH38" i="175"/>
  <c r="AG39" i="175"/>
  <c r="AG40" i="175" l="1"/>
  <c r="AH39" i="175"/>
  <c r="Z38" i="175"/>
  <c r="Z39" i="175" l="1"/>
  <c r="AG41" i="175"/>
  <c r="AH40" i="175"/>
  <c r="Z40" i="175" l="1"/>
  <c r="AH41" i="175"/>
  <c r="AG42" i="175"/>
  <c r="AH42" i="175" l="1"/>
  <c r="AG43" i="175"/>
  <c r="Z41" i="175"/>
  <c r="Z42" i="175" l="1"/>
  <c r="AG44" i="175"/>
  <c r="AH43" i="175"/>
  <c r="Z43" i="175" l="1"/>
  <c r="AG45" i="175"/>
  <c r="AH44" i="175"/>
  <c r="AH45" i="175" l="1"/>
  <c r="AG46" i="175"/>
  <c r="Z44" i="175"/>
  <c r="AG47" i="175" l="1"/>
  <c r="AH46" i="175"/>
  <c r="Z45" i="175"/>
  <c r="Z46" i="175" l="1"/>
  <c r="AH47" i="175"/>
  <c r="AG48" i="175"/>
  <c r="AH48" i="175" s="1"/>
  <c r="BB2" i="175" s="1" a="1"/>
  <c r="CS2" i="175" s="1"/>
  <c r="BB2" i="175" l="1"/>
  <c r="BB3" i="175" s="1" a="1"/>
  <c r="BD2" i="175"/>
  <c r="BD3" i="175" s="1" a="1"/>
  <c r="BC2" i="175"/>
  <c r="BC3" i="175" s="1" a="1"/>
  <c r="BE2" i="175"/>
  <c r="BE1" i="175" s="1"/>
  <c r="BE3" i="175" s="1" a="1"/>
  <c r="BF2" i="175"/>
  <c r="BG2" i="175"/>
  <c r="BH2" i="175"/>
  <c r="BI2" i="175"/>
  <c r="BJ2" i="175"/>
  <c r="BK2" i="175"/>
  <c r="BL2" i="175"/>
  <c r="BM2" i="175"/>
  <c r="BN2" i="175"/>
  <c r="BO2" i="175"/>
  <c r="BP2" i="175"/>
  <c r="BQ2" i="175"/>
  <c r="BR2" i="175"/>
  <c r="BS2" i="175"/>
  <c r="BT2" i="175"/>
  <c r="BU2" i="175"/>
  <c r="BV2" i="175"/>
  <c r="BW2" i="175"/>
  <c r="BX2" i="175"/>
  <c r="BY2" i="175"/>
  <c r="BZ2" i="175"/>
  <c r="CA2" i="175"/>
  <c r="CB2" i="175"/>
  <c r="CC2" i="175"/>
  <c r="CD2" i="175"/>
  <c r="CE2" i="175"/>
  <c r="CF2" i="175"/>
  <c r="CG2" i="175"/>
  <c r="CH2" i="175"/>
  <c r="CI2" i="175"/>
  <c r="CJ2" i="175"/>
  <c r="CK2" i="175"/>
  <c r="CL2" i="175"/>
  <c r="CM2" i="175"/>
  <c r="CN2" i="175"/>
  <c r="CO2" i="175"/>
  <c r="CP2" i="175"/>
  <c r="CQ2" i="175"/>
  <c r="CR2" i="175"/>
  <c r="Z48" i="175"/>
  <c r="CU2" i="175"/>
  <c r="CT2" i="175"/>
  <c r="Z47" i="175"/>
  <c r="BF1" i="175" l="1"/>
  <c r="BE34" i="175"/>
  <c r="BE36" i="175"/>
  <c r="BE28" i="175"/>
  <c r="BE17" i="175"/>
  <c r="BE27" i="175"/>
  <c r="BE19" i="175"/>
  <c r="BE47" i="175"/>
  <c r="BE41" i="175"/>
  <c r="BE12" i="175"/>
  <c r="BE23" i="175"/>
  <c r="BE44" i="175"/>
  <c r="BE37" i="175"/>
  <c r="BE22" i="175"/>
  <c r="BE40" i="175"/>
  <c r="BE48" i="175"/>
  <c r="BE11" i="175"/>
  <c r="BE8" i="175"/>
  <c r="BE5" i="175"/>
  <c r="BE31" i="175"/>
  <c r="BE45" i="175"/>
  <c r="BE4" i="175"/>
  <c r="BE14" i="175"/>
  <c r="BE33" i="175"/>
  <c r="BE25" i="175"/>
  <c r="BE13" i="175"/>
  <c r="BE29" i="175"/>
  <c r="BE3" i="175"/>
  <c r="BE43" i="175"/>
  <c r="BE35" i="175"/>
  <c r="BE21" i="175"/>
  <c r="BE26" i="175"/>
  <c r="BE38" i="175"/>
  <c r="BE32" i="175"/>
  <c r="BE9" i="175"/>
  <c r="BE6" i="175"/>
  <c r="BE30" i="175"/>
  <c r="BE15" i="175"/>
  <c r="BE7" i="175"/>
  <c r="BE42" i="175"/>
  <c r="BE16" i="175"/>
  <c r="BE39" i="175"/>
  <c r="BE20" i="175"/>
  <c r="BE18" i="175"/>
  <c r="BE24" i="175"/>
  <c r="BE10" i="175"/>
  <c r="BE46" i="175"/>
  <c r="BC3" i="175"/>
  <c r="BC20" i="175"/>
  <c r="BC30" i="175"/>
  <c r="BC13" i="175"/>
  <c r="BC17" i="175"/>
  <c r="BC10" i="175"/>
  <c r="BC41" i="175"/>
  <c r="BC28" i="175"/>
  <c r="BC31" i="175"/>
  <c r="BC27" i="175"/>
  <c r="BC48" i="175"/>
  <c r="BC21" i="175"/>
  <c r="BC32" i="175"/>
  <c r="BC42" i="175"/>
  <c r="BC22" i="175"/>
  <c r="BC25" i="175"/>
  <c r="BC24" i="175"/>
  <c r="BC23" i="175"/>
  <c r="BC7" i="175"/>
  <c r="BC11" i="175"/>
  <c r="BC33" i="175"/>
  <c r="BC14" i="175"/>
  <c r="BC4" i="175"/>
  <c r="BC40" i="175"/>
  <c r="BC47" i="175"/>
  <c r="BC34" i="175"/>
  <c r="BC29" i="175"/>
  <c r="BC43" i="175"/>
  <c r="BC45" i="175"/>
  <c r="BC44" i="175"/>
  <c r="BC15" i="175"/>
  <c r="BC19" i="175"/>
  <c r="BC36" i="175"/>
  <c r="BC39" i="175"/>
  <c r="BC37" i="175"/>
  <c r="BC6" i="175"/>
  <c r="BC9" i="175"/>
  <c r="BC38" i="175"/>
  <c r="BC5" i="175"/>
  <c r="BC18" i="175"/>
  <c r="BC35" i="175"/>
  <c r="BC16" i="175"/>
  <c r="BC46" i="175"/>
  <c r="BC26" i="175"/>
  <c r="BC12" i="175"/>
  <c r="BC8" i="175"/>
  <c r="BD19" i="175"/>
  <c r="BD5" i="175"/>
  <c r="BD38" i="175"/>
  <c r="BD12" i="175"/>
  <c r="BD16" i="175"/>
  <c r="BD17" i="175"/>
  <c r="BD13" i="175"/>
  <c r="BD33" i="175"/>
  <c r="BD31" i="175"/>
  <c r="BD8" i="175"/>
  <c r="BD43" i="175"/>
  <c r="BD48" i="175"/>
  <c r="BD44" i="175"/>
  <c r="BD35" i="175"/>
  <c r="BD11" i="175"/>
  <c r="BD14" i="175"/>
  <c r="BD6" i="175"/>
  <c r="BD32" i="175"/>
  <c r="BD27" i="175"/>
  <c r="BD42" i="175"/>
  <c r="BD21" i="175"/>
  <c r="BD30" i="175"/>
  <c r="BD46" i="175"/>
  <c r="BD24" i="175"/>
  <c r="BD37" i="175"/>
  <c r="BD36" i="175"/>
  <c r="BD26" i="175"/>
  <c r="BD39" i="175"/>
  <c r="BD4" i="175"/>
  <c r="BD29" i="175"/>
  <c r="BD10" i="175"/>
  <c r="BD34" i="175"/>
  <c r="BD20" i="175"/>
  <c r="BD28" i="175"/>
  <c r="BD22" i="175"/>
  <c r="BD18" i="175"/>
  <c r="BD9" i="175"/>
  <c r="BD41" i="175"/>
  <c r="BD40" i="175"/>
  <c r="BD15" i="175"/>
  <c r="BD45" i="175"/>
  <c r="BD47" i="175"/>
  <c r="BD7" i="175"/>
  <c r="BD25" i="175"/>
  <c r="BD3" i="175"/>
  <c r="BD23" i="175"/>
  <c r="BB21" i="175"/>
  <c r="BB40" i="175"/>
  <c r="BB7" i="175"/>
  <c r="BB36" i="175"/>
  <c r="BB24" i="175"/>
  <c r="BB22" i="175"/>
  <c r="BB9" i="175"/>
  <c r="BB25" i="175"/>
  <c r="BB34" i="175"/>
  <c r="BB20" i="175"/>
  <c r="BB41" i="175"/>
  <c r="BB4" i="175"/>
  <c r="BB43" i="175"/>
  <c r="BB45" i="175"/>
  <c r="BB17" i="175"/>
  <c r="BB13" i="175"/>
  <c r="BB5" i="175"/>
  <c r="BB18" i="175"/>
  <c r="BB33" i="175"/>
  <c r="BB10" i="175"/>
  <c r="BB46" i="175"/>
  <c r="BB27" i="175"/>
  <c r="BB15" i="175"/>
  <c r="BB14" i="175"/>
  <c r="BB6" i="175"/>
  <c r="BB31" i="175"/>
  <c r="BB48" i="175"/>
  <c r="BB26" i="175"/>
  <c r="BB16" i="175"/>
  <c r="BB32" i="175"/>
  <c r="BB35" i="175"/>
  <c r="BB28" i="175"/>
  <c r="BB11" i="175"/>
  <c r="BB23" i="175"/>
  <c r="BB44" i="175"/>
  <c r="BB3" i="175"/>
  <c r="AK3" i="175" s="1"/>
  <c r="AL3" i="175" s="1"/>
  <c r="AS3" i="175" s="1"/>
  <c r="B2" i="175" s="1"/>
  <c r="AT3" i="175" s="1"/>
  <c r="BB47" i="175"/>
  <c r="BB29" i="175"/>
  <c r="BB42" i="175"/>
  <c r="BB12" i="175"/>
  <c r="BB19" i="175"/>
  <c r="BB8" i="175"/>
  <c r="BB38" i="175"/>
  <c r="BB30" i="175"/>
  <c r="BB37" i="175"/>
  <c r="BB39" i="175"/>
  <c r="BG1" i="175" l="1"/>
  <c r="BG3" i="175" s="1" a="1"/>
  <c r="BG14" i="175" s="1"/>
  <c r="BF3" i="175" a="1"/>
  <c r="BF13" i="175" s="1"/>
  <c r="AK5" i="175"/>
  <c r="AL5" i="175" s="1"/>
  <c r="AS5" i="175" s="1"/>
  <c r="B4" i="175" s="1"/>
  <c r="AK6" i="175"/>
  <c r="AL6" i="175" s="1"/>
  <c r="AS6" i="175" s="1"/>
  <c r="B5" i="175" s="1"/>
  <c r="AK4" i="175"/>
  <c r="AL4" i="175" s="1"/>
  <c r="AS4" i="175" s="1"/>
  <c r="B3" i="175" s="1"/>
  <c r="AT4" i="175" s="1"/>
  <c r="BG33" i="175" l="1"/>
  <c r="BG44" i="175"/>
  <c r="BG18" i="175"/>
  <c r="BG4" i="175"/>
  <c r="BG9" i="175"/>
  <c r="BG41" i="175"/>
  <c r="BG46" i="175"/>
  <c r="BG30" i="175"/>
  <c r="BG10" i="175"/>
  <c r="BG12" i="175"/>
  <c r="BG15" i="175"/>
  <c r="BG22" i="175"/>
  <c r="BG25" i="175"/>
  <c r="BG11" i="175"/>
  <c r="BG16" i="175"/>
  <c r="BG40" i="175"/>
  <c r="BG17" i="175"/>
  <c r="BG7" i="175"/>
  <c r="BG21" i="175"/>
  <c r="BG26" i="175"/>
  <c r="BG23" i="175"/>
  <c r="BG3" i="175"/>
  <c r="BG19" i="175"/>
  <c r="BG48" i="175"/>
  <c r="BG43" i="175"/>
  <c r="BG42" i="175"/>
  <c r="BG36" i="175"/>
  <c r="BG45" i="175"/>
  <c r="BG13" i="175"/>
  <c r="BG5" i="175"/>
  <c r="BG35" i="175"/>
  <c r="BG27" i="175"/>
  <c r="BG6" i="175"/>
  <c r="BG47" i="175"/>
  <c r="BG37" i="175"/>
  <c r="BG32" i="175"/>
  <c r="BG28" i="175"/>
  <c r="BG20" i="175"/>
  <c r="BG29" i="175"/>
  <c r="BG24" i="175"/>
  <c r="BG38" i="175"/>
  <c r="BG39" i="175"/>
  <c r="BG31" i="175"/>
  <c r="BG8" i="175"/>
  <c r="BG34" i="175"/>
  <c r="BH1" i="175"/>
  <c r="BH3" i="175" s="1" a="1"/>
  <c r="BH41" i="175" s="1"/>
  <c r="BF5" i="175"/>
  <c r="BF37" i="175"/>
  <c r="BF32" i="175"/>
  <c r="BF31" i="175"/>
  <c r="BF34" i="175"/>
  <c r="BF38" i="175"/>
  <c r="BF22" i="175"/>
  <c r="BF25" i="175"/>
  <c r="BF27" i="175"/>
  <c r="BF44" i="175"/>
  <c r="BF33" i="175"/>
  <c r="BF18" i="175"/>
  <c r="BF7" i="175"/>
  <c r="AK7" i="175" s="1"/>
  <c r="AL7" i="175" s="1"/>
  <c r="AS7" i="175" s="1"/>
  <c r="B6" i="175" s="1"/>
  <c r="F6" i="175" s="1"/>
  <c r="BF23" i="175"/>
  <c r="BF39" i="175"/>
  <c r="BF10" i="175"/>
  <c r="BF14" i="175"/>
  <c r="BF47" i="175"/>
  <c r="BF12" i="175"/>
  <c r="BF9" i="175"/>
  <c r="BF26" i="175"/>
  <c r="BF42" i="175"/>
  <c r="BF4" i="175"/>
  <c r="BF40" i="175"/>
  <c r="BF35" i="175"/>
  <c r="BF36" i="175"/>
  <c r="BF20" i="175"/>
  <c r="BF45" i="175"/>
  <c r="BF21" i="175"/>
  <c r="BF15" i="175"/>
  <c r="BF24" i="175"/>
  <c r="BF43" i="175"/>
  <c r="BF16" i="175"/>
  <c r="BF48" i="175"/>
  <c r="BF8" i="175"/>
  <c r="AK8" i="175" s="1"/>
  <c r="AL8" i="175" s="1"/>
  <c r="AS8" i="175" s="1"/>
  <c r="AW8" i="175" s="1"/>
  <c r="BF30" i="175"/>
  <c r="BF46" i="175"/>
  <c r="BF19" i="175"/>
  <c r="BF41" i="175"/>
  <c r="BF17" i="175"/>
  <c r="BF28" i="175"/>
  <c r="BF6" i="175"/>
  <c r="BF29" i="175"/>
  <c r="BF3" i="175"/>
  <c r="BF11" i="175"/>
  <c r="F5" i="175"/>
  <c r="AT6" i="175"/>
  <c r="F4" i="175"/>
  <c r="AT5" i="175"/>
  <c r="AT7" i="175" l="1"/>
  <c r="BI1" i="175"/>
  <c r="BJ1" i="175" s="1"/>
  <c r="AY7" i="175"/>
  <c r="B53" i="175" s="1"/>
  <c r="BH17" i="175"/>
  <c r="BH16" i="175"/>
  <c r="BH14" i="175"/>
  <c r="BH11" i="175"/>
  <c r="BH39" i="175"/>
  <c r="BH33" i="175"/>
  <c r="BH15" i="175"/>
  <c r="BH42" i="175"/>
  <c r="BH8" i="175"/>
  <c r="BH46" i="175"/>
  <c r="BH31" i="175"/>
  <c r="BH26" i="175"/>
  <c r="BH19" i="175"/>
  <c r="BH30" i="175"/>
  <c r="BH29" i="175"/>
  <c r="BH36" i="175"/>
  <c r="BH12" i="175"/>
  <c r="BH21" i="175"/>
  <c r="BH4" i="175"/>
  <c r="BH20" i="175"/>
  <c r="BH38" i="175"/>
  <c r="BH13" i="175"/>
  <c r="BH10" i="175"/>
  <c r="BH24" i="175"/>
  <c r="BH43" i="175"/>
  <c r="BH44" i="175"/>
  <c r="BH5" i="175"/>
  <c r="BH7" i="175"/>
  <c r="BH40" i="175"/>
  <c r="BH3" i="175"/>
  <c r="BH25" i="175"/>
  <c r="BH23" i="175"/>
  <c r="BH34" i="175"/>
  <c r="BH6" i="175"/>
  <c r="BH45" i="175"/>
  <c r="BH37" i="175"/>
  <c r="BH22" i="175"/>
  <c r="BH18" i="175"/>
  <c r="BH48" i="175"/>
  <c r="BH32" i="175"/>
  <c r="BH35" i="175"/>
  <c r="BH27" i="175"/>
  <c r="BH28" i="175"/>
  <c r="BH47" i="175"/>
  <c r="BH9" i="175"/>
  <c r="AK9" i="175" s="1"/>
  <c r="AL9" i="175" s="1"/>
  <c r="AS9" i="175" s="1"/>
  <c r="B8" i="175" s="1"/>
  <c r="AT9" i="175" s="1"/>
  <c r="AV9" i="175" s="1"/>
  <c r="B7" i="175"/>
  <c r="F7" i="175" s="1"/>
  <c r="BI3" i="175" l="1" a="1"/>
  <c r="BI5" i="175" s="1"/>
  <c r="F8" i="175"/>
  <c r="AW9" i="175"/>
  <c r="BJ3" i="175" a="1"/>
  <c r="BJ24" i="175" s="1"/>
  <c r="AT8" i="175"/>
  <c r="AV8" i="175" s="1"/>
  <c r="BK1" i="175"/>
  <c r="BI39" i="175" l="1"/>
  <c r="BI19" i="175"/>
  <c r="BI14" i="175"/>
  <c r="BI37" i="175"/>
  <c r="BI22" i="175"/>
  <c r="BI18" i="175"/>
  <c r="BI42" i="175"/>
  <c r="BI17" i="175"/>
  <c r="BI6" i="175"/>
  <c r="BI3" i="175"/>
  <c r="BI15" i="175"/>
  <c r="BI13" i="175"/>
  <c r="BI12" i="175"/>
  <c r="BI10" i="175"/>
  <c r="AK10" i="175" s="1"/>
  <c r="AL10" i="175" s="1"/>
  <c r="AS10" i="175" s="1"/>
  <c r="B9" i="175" s="1"/>
  <c r="F9" i="175" s="1"/>
  <c r="BI20" i="175"/>
  <c r="BI33" i="175"/>
  <c r="BI38" i="175"/>
  <c r="BI40" i="175"/>
  <c r="BI23" i="175"/>
  <c r="BI43" i="175"/>
  <c r="BI7" i="175"/>
  <c r="BI26" i="175"/>
  <c r="BI21" i="175"/>
  <c r="BI45" i="175"/>
  <c r="BI29" i="175"/>
  <c r="BI11" i="175"/>
  <c r="BI31" i="175"/>
  <c r="BI8" i="175"/>
  <c r="BI41" i="175"/>
  <c r="BI46" i="175"/>
  <c r="BI25" i="175"/>
  <c r="BI32" i="175"/>
  <c r="BI16" i="175"/>
  <c r="BI34" i="175"/>
  <c r="BI30" i="175"/>
  <c r="BI9" i="175"/>
  <c r="BI47" i="175"/>
  <c r="BI36" i="175"/>
  <c r="BI35" i="175"/>
  <c r="BI27" i="175"/>
  <c r="BI28" i="175"/>
  <c r="BI24" i="175"/>
  <c r="BI4" i="175"/>
  <c r="BI48" i="175"/>
  <c r="BI44" i="175"/>
  <c r="BJ46" i="175"/>
  <c r="BJ44" i="175"/>
  <c r="BJ39" i="175"/>
  <c r="BJ43" i="175"/>
  <c r="BJ42" i="175"/>
  <c r="BJ23" i="175"/>
  <c r="BJ6" i="175"/>
  <c r="BJ25" i="175"/>
  <c r="BJ41" i="175"/>
  <c r="BJ18" i="175"/>
  <c r="BJ14" i="175"/>
  <c r="BJ45" i="175"/>
  <c r="BJ4" i="175"/>
  <c r="BJ38" i="175"/>
  <c r="BJ29" i="175"/>
  <c r="BJ3" i="175"/>
  <c r="BJ10" i="175"/>
  <c r="BJ27" i="175"/>
  <c r="BJ40" i="175"/>
  <c r="BJ47" i="175"/>
  <c r="BJ15" i="175"/>
  <c r="BJ26" i="175"/>
  <c r="BJ12" i="175"/>
  <c r="BJ19" i="175"/>
  <c r="BJ20" i="175"/>
  <c r="BJ9" i="175"/>
  <c r="BJ32" i="175"/>
  <c r="BJ5" i="175"/>
  <c r="BJ33" i="175"/>
  <c r="BJ37" i="175"/>
  <c r="BJ28" i="175"/>
  <c r="BJ13" i="175"/>
  <c r="BJ17" i="175"/>
  <c r="BJ35" i="175"/>
  <c r="BJ31" i="175"/>
  <c r="BJ36" i="175"/>
  <c r="BJ48" i="175"/>
  <c r="BJ16" i="175"/>
  <c r="BJ34" i="175"/>
  <c r="BJ11" i="175"/>
  <c r="BJ7" i="175"/>
  <c r="BJ22" i="175"/>
  <c r="BJ21" i="175"/>
  <c r="BJ30" i="175"/>
  <c r="BJ8" i="175"/>
  <c r="BL1" i="175"/>
  <c r="BM1" i="175" s="1"/>
  <c r="BK3" i="175" a="1"/>
  <c r="BK22" i="175" s="1"/>
  <c r="AK11" i="175" l="1"/>
  <c r="AL11" i="175" s="1"/>
  <c r="AS11" i="175" s="1"/>
  <c r="AW11" i="175" s="1"/>
  <c r="AW10" i="175"/>
  <c r="AT10" i="175"/>
  <c r="AV10" i="175" s="1"/>
  <c r="BK39" i="175"/>
  <c r="BK20" i="175"/>
  <c r="BK18" i="175"/>
  <c r="BK34" i="175"/>
  <c r="BK25" i="175"/>
  <c r="BK21" i="175"/>
  <c r="BK37" i="175"/>
  <c r="BK43" i="175"/>
  <c r="BK5" i="175"/>
  <c r="BK40" i="175"/>
  <c r="BK15" i="175"/>
  <c r="BK28" i="175"/>
  <c r="BK4" i="175"/>
  <c r="BK33" i="175"/>
  <c r="BK30" i="175"/>
  <c r="BK44" i="175"/>
  <c r="BK11" i="175"/>
  <c r="BK26" i="175"/>
  <c r="BK45" i="175"/>
  <c r="BK27" i="175"/>
  <c r="BK38" i="175"/>
  <c r="BK14" i="175"/>
  <c r="BK16" i="175"/>
  <c r="BK10" i="175"/>
  <c r="BK41" i="175"/>
  <c r="BK48" i="175"/>
  <c r="BK35" i="175"/>
  <c r="BK29" i="175"/>
  <c r="BK9" i="175"/>
  <c r="BK19" i="175"/>
  <c r="BK23" i="175"/>
  <c r="BK8" i="175"/>
  <c r="BK36" i="175"/>
  <c r="BK13" i="175"/>
  <c r="BK17" i="175"/>
  <c r="BK31" i="175"/>
  <c r="BK24" i="175"/>
  <c r="BK6" i="175"/>
  <c r="BK42" i="175"/>
  <c r="BK12" i="175"/>
  <c r="AK12" i="175" s="1"/>
  <c r="AL12" i="175" s="1"/>
  <c r="AS12" i="175" s="1"/>
  <c r="B11" i="175" s="1"/>
  <c r="F11" i="175" s="1"/>
  <c r="BK47" i="175"/>
  <c r="BK46" i="175"/>
  <c r="BK7" i="175"/>
  <c r="BK3" i="175"/>
  <c r="BK32" i="175"/>
  <c r="BM3" i="175" a="1"/>
  <c r="BM35" i="175" s="1"/>
  <c r="BL3" i="175" a="1"/>
  <c r="BN1" i="175"/>
  <c r="B10" i="175" l="1"/>
  <c r="AT11" i="175" s="1"/>
  <c r="AV11" i="175" s="1"/>
  <c r="AT12" i="175"/>
  <c r="AV12" i="175" s="1"/>
  <c r="BM44" i="175"/>
  <c r="BM7" i="175"/>
  <c r="BM21" i="175"/>
  <c r="AW12" i="175"/>
  <c r="BM42" i="175"/>
  <c r="BM6" i="175"/>
  <c r="BM29" i="175"/>
  <c r="BM46" i="175"/>
  <c r="BM22" i="175"/>
  <c r="BM12" i="175"/>
  <c r="BM43" i="175"/>
  <c r="BM28" i="175"/>
  <c r="BM3" i="175"/>
  <c r="BM14" i="175"/>
  <c r="BM30" i="175"/>
  <c r="BM27" i="175"/>
  <c r="BM48" i="175"/>
  <c r="BM47" i="175"/>
  <c r="BM39" i="175"/>
  <c r="BM10" i="175"/>
  <c r="BM31" i="175"/>
  <c r="BM33" i="175"/>
  <c r="BM41" i="175"/>
  <c r="BM20" i="175"/>
  <c r="BM40" i="175"/>
  <c r="BM16" i="175"/>
  <c r="BM9" i="175"/>
  <c r="BM17" i="175"/>
  <c r="BM18" i="175"/>
  <c r="BM4" i="175"/>
  <c r="BM24" i="175"/>
  <c r="BM5" i="175"/>
  <c r="BM32" i="175"/>
  <c r="BM15" i="175"/>
  <c r="BM38" i="175"/>
  <c r="BM19" i="175"/>
  <c r="BM25" i="175"/>
  <c r="BM37" i="175"/>
  <c r="BM34" i="175"/>
  <c r="BM45" i="175"/>
  <c r="BM8" i="175"/>
  <c r="BM23" i="175"/>
  <c r="BM36" i="175"/>
  <c r="BM26" i="175"/>
  <c r="BM11" i="175"/>
  <c r="BM13" i="175"/>
  <c r="BN3" i="175" a="1"/>
  <c r="BN21" i="175" s="1"/>
  <c r="BL26" i="175"/>
  <c r="BL3" i="175"/>
  <c r="BL20" i="175"/>
  <c r="BL25" i="175"/>
  <c r="BL7" i="175"/>
  <c r="BL11" i="175"/>
  <c r="BL14" i="175"/>
  <c r="AK14" i="175" s="1"/>
  <c r="AL14" i="175" s="1"/>
  <c r="AS14" i="175" s="1"/>
  <c r="B13" i="175" s="1"/>
  <c r="AT14" i="175" s="1"/>
  <c r="AV14" i="175" s="1"/>
  <c r="BL36" i="175"/>
  <c r="BL30" i="175"/>
  <c r="BL46" i="175"/>
  <c r="BL34" i="175"/>
  <c r="BL10" i="175"/>
  <c r="BL8" i="175"/>
  <c r="BL43" i="175"/>
  <c r="BL22" i="175"/>
  <c r="BL18" i="175"/>
  <c r="BL17" i="175"/>
  <c r="BL44" i="175"/>
  <c r="BL19" i="175"/>
  <c r="BL12" i="175"/>
  <c r="BL35" i="175"/>
  <c r="BL39" i="175"/>
  <c r="BL15" i="175"/>
  <c r="BL6" i="175"/>
  <c r="BL31" i="175"/>
  <c r="BL48" i="175"/>
  <c r="BL47" i="175"/>
  <c r="BL23" i="175"/>
  <c r="BL9" i="175"/>
  <c r="BL37" i="175"/>
  <c r="BL42" i="175"/>
  <c r="BL21" i="175"/>
  <c r="BL32" i="175"/>
  <c r="BL27" i="175"/>
  <c r="BL40" i="175"/>
  <c r="BL38" i="175"/>
  <c r="BL24" i="175"/>
  <c r="BL33" i="175"/>
  <c r="BL5" i="175"/>
  <c r="BL13" i="175"/>
  <c r="AK13" i="175" s="1"/>
  <c r="AL13" i="175" s="1"/>
  <c r="AS13" i="175" s="1"/>
  <c r="AW13" i="175" s="1"/>
  <c r="BL16" i="175"/>
  <c r="BL4" i="175"/>
  <c r="BL45" i="175"/>
  <c r="BL28" i="175"/>
  <c r="BL41" i="175"/>
  <c r="BL29" i="175"/>
  <c r="BO1" i="175"/>
  <c r="AY11" i="175" l="1"/>
  <c r="C53" i="175" s="1"/>
  <c r="F10" i="175"/>
  <c r="B12" i="175"/>
  <c r="F12" i="175" s="1"/>
  <c r="F13" i="175"/>
  <c r="BN33" i="175"/>
  <c r="BN5" i="175"/>
  <c r="BN15" i="175"/>
  <c r="AK15" i="175" s="1"/>
  <c r="AL15" i="175" s="1"/>
  <c r="AS15" i="175" s="1"/>
  <c r="B14" i="175" s="1"/>
  <c r="BN43" i="175"/>
  <c r="BN14" i="175"/>
  <c r="BN27" i="175"/>
  <c r="BN48" i="175"/>
  <c r="BN38" i="175"/>
  <c r="BN37" i="175"/>
  <c r="AW14" i="175"/>
  <c r="BN25" i="175"/>
  <c r="BN3" i="175"/>
  <c r="BN13" i="175"/>
  <c r="BN20" i="175"/>
  <c r="BN44" i="175"/>
  <c r="BN4" i="175"/>
  <c r="BN8" i="175"/>
  <c r="BN11" i="175"/>
  <c r="BN9" i="175"/>
  <c r="BN6" i="175"/>
  <c r="BN26" i="175"/>
  <c r="BN22" i="175"/>
  <c r="BN36" i="175"/>
  <c r="BN16" i="175"/>
  <c r="BN41" i="175"/>
  <c r="BN18" i="175"/>
  <c r="BN30" i="175"/>
  <c r="BN29" i="175"/>
  <c r="BN45" i="175"/>
  <c r="BN35" i="175"/>
  <c r="BN12" i="175"/>
  <c r="BN40" i="175"/>
  <c r="BN46" i="175"/>
  <c r="BN31" i="175"/>
  <c r="BN7" i="175"/>
  <c r="BN24" i="175"/>
  <c r="BN47" i="175"/>
  <c r="BN39" i="175"/>
  <c r="BN17" i="175"/>
  <c r="BN10" i="175"/>
  <c r="BN23" i="175"/>
  <c r="BN32" i="175"/>
  <c r="BN19" i="175"/>
  <c r="BN42" i="175"/>
  <c r="BN28" i="175"/>
  <c r="BN34" i="175"/>
  <c r="BP1" i="175"/>
  <c r="BQ1" i="175" s="1"/>
  <c r="BO3" i="175" a="1"/>
  <c r="BO23" i="175" s="1"/>
  <c r="AY15" i="175" l="1"/>
  <c r="D53" i="175" s="1"/>
  <c r="AT13" i="175"/>
  <c r="AV13" i="175" s="1"/>
  <c r="BO42" i="175"/>
  <c r="F14" i="175"/>
  <c r="BO11" i="175"/>
  <c r="BO38" i="175"/>
  <c r="BO34" i="175"/>
  <c r="AW15" i="175"/>
  <c r="BO25" i="175"/>
  <c r="BO21" i="175"/>
  <c r="BO43" i="175"/>
  <c r="BO32" i="175"/>
  <c r="AT15" i="175"/>
  <c r="AV15" i="175" s="1"/>
  <c r="BO35" i="175"/>
  <c r="BO16" i="175"/>
  <c r="AK16" i="175" s="1"/>
  <c r="AL16" i="175" s="1"/>
  <c r="AS16" i="175" s="1"/>
  <c r="B15" i="175" s="1"/>
  <c r="F15" i="175" s="1"/>
  <c r="BO15" i="175"/>
  <c r="BO10" i="175"/>
  <c r="BO44" i="175"/>
  <c r="BO40" i="175"/>
  <c r="BO28" i="175"/>
  <c r="BO18" i="175"/>
  <c r="BO46" i="175"/>
  <c r="BO14" i="175"/>
  <c r="BO12" i="175"/>
  <c r="BO37" i="175"/>
  <c r="BO47" i="175"/>
  <c r="BO29" i="175"/>
  <c r="BO24" i="175"/>
  <c r="BO17" i="175"/>
  <c r="BO22" i="175"/>
  <c r="BO9" i="175"/>
  <c r="BO31" i="175"/>
  <c r="BO4" i="175"/>
  <c r="BO26" i="175"/>
  <c r="BO13" i="175"/>
  <c r="BO30" i="175"/>
  <c r="BO8" i="175"/>
  <c r="BO7" i="175"/>
  <c r="BO36" i="175"/>
  <c r="BO20" i="175"/>
  <c r="BO3" i="175"/>
  <c r="BO27" i="175"/>
  <c r="BO39" i="175"/>
  <c r="BO6" i="175"/>
  <c r="BO19" i="175"/>
  <c r="BO5" i="175"/>
  <c r="BO41" i="175"/>
  <c r="BO45" i="175"/>
  <c r="BO48" i="175"/>
  <c r="BO33" i="175"/>
  <c r="BQ3" i="175" a="1"/>
  <c r="BQ46" i="175" s="1"/>
  <c r="BP3" i="175" a="1"/>
  <c r="BR1" i="175"/>
  <c r="AT16" i="175" l="1"/>
  <c r="AV16" i="175" s="1"/>
  <c r="BQ36" i="175"/>
  <c r="BQ7" i="175"/>
  <c r="BQ28" i="175"/>
  <c r="BQ29" i="175"/>
  <c r="BQ22" i="175"/>
  <c r="AW16" i="175"/>
  <c r="BQ3" i="175"/>
  <c r="BQ13" i="175"/>
  <c r="BQ10" i="175"/>
  <c r="BQ17" i="175"/>
  <c r="BQ5" i="175"/>
  <c r="BQ19" i="175"/>
  <c r="BQ44" i="175"/>
  <c r="BQ32" i="175"/>
  <c r="BQ30" i="175"/>
  <c r="BQ39" i="175"/>
  <c r="BQ4" i="175"/>
  <c r="BQ15" i="175"/>
  <c r="BQ23" i="175"/>
  <c r="BQ45" i="175"/>
  <c r="BQ37" i="175"/>
  <c r="BQ33" i="175"/>
  <c r="BQ47" i="175"/>
  <c r="BQ34" i="175"/>
  <c r="BQ6" i="175"/>
  <c r="BQ14" i="175"/>
  <c r="BQ41" i="175"/>
  <c r="BQ26" i="175"/>
  <c r="BQ12" i="175"/>
  <c r="BQ8" i="175"/>
  <c r="BQ40" i="175"/>
  <c r="BQ35" i="175"/>
  <c r="BQ25" i="175"/>
  <c r="BQ18" i="175"/>
  <c r="BQ31" i="175"/>
  <c r="BQ11" i="175"/>
  <c r="BQ20" i="175"/>
  <c r="BQ24" i="175"/>
  <c r="BQ38" i="175"/>
  <c r="BQ48" i="175"/>
  <c r="BQ21" i="175"/>
  <c r="BQ16" i="175"/>
  <c r="BQ27" i="175"/>
  <c r="BQ9" i="175"/>
  <c r="BQ42" i="175"/>
  <c r="BQ43" i="175"/>
  <c r="BS1" i="175"/>
  <c r="BT1" i="175" s="1"/>
  <c r="BR3" i="175" a="1"/>
  <c r="BR42" i="175" s="1"/>
  <c r="BP22" i="175"/>
  <c r="BP13" i="175"/>
  <c r="BP14" i="175"/>
  <c r="BP32" i="175"/>
  <c r="BP5" i="175"/>
  <c r="BP11" i="175"/>
  <c r="BP23" i="175"/>
  <c r="BP40" i="175"/>
  <c r="BP17" i="175"/>
  <c r="AK17" i="175" s="1"/>
  <c r="AL17" i="175" s="1"/>
  <c r="AS17" i="175" s="1"/>
  <c r="BP3" i="175"/>
  <c r="BP42" i="175"/>
  <c r="BP35" i="175"/>
  <c r="BP34" i="175"/>
  <c r="BP9" i="175"/>
  <c r="BP21" i="175"/>
  <c r="BP39" i="175"/>
  <c r="BP27" i="175"/>
  <c r="BP10" i="175"/>
  <c r="BP48" i="175"/>
  <c r="BP28" i="175"/>
  <c r="BP31" i="175"/>
  <c r="BP4" i="175"/>
  <c r="BP37" i="175"/>
  <c r="BP7" i="175"/>
  <c r="BP29" i="175"/>
  <c r="BP25" i="175"/>
  <c r="BP46" i="175"/>
  <c r="BP43" i="175"/>
  <c r="BP45" i="175"/>
  <c r="BP8" i="175"/>
  <c r="BP24" i="175"/>
  <c r="BP44" i="175"/>
  <c r="BP18" i="175"/>
  <c r="BP15" i="175"/>
  <c r="BP26" i="175"/>
  <c r="BP38" i="175"/>
  <c r="BP19" i="175"/>
  <c r="BP16" i="175"/>
  <c r="BP33" i="175"/>
  <c r="BP41" i="175"/>
  <c r="BP47" i="175"/>
  <c r="BP20" i="175"/>
  <c r="BP36" i="175"/>
  <c r="BP12" i="175"/>
  <c r="BP30" i="175"/>
  <c r="BP6" i="175"/>
  <c r="AK18" i="175" l="1"/>
  <c r="AL18" i="175" s="1"/>
  <c r="AS18" i="175" s="1"/>
  <c r="B17" i="175" s="1"/>
  <c r="AT18" i="175" s="1"/>
  <c r="BR20" i="175"/>
  <c r="BR25" i="175"/>
  <c r="BR37" i="175"/>
  <c r="BR39" i="175"/>
  <c r="BR22" i="175"/>
  <c r="BR23" i="175"/>
  <c r="BR31" i="175"/>
  <c r="BR33" i="175"/>
  <c r="BR7" i="175"/>
  <c r="BR36" i="175"/>
  <c r="BR32" i="175"/>
  <c r="BR3" i="175"/>
  <c r="BR30" i="175"/>
  <c r="BR47" i="175"/>
  <c r="BR45" i="175"/>
  <c r="BR28" i="175"/>
  <c r="BR18" i="175"/>
  <c r="BR40" i="175"/>
  <c r="BR5" i="175"/>
  <c r="BR12" i="175"/>
  <c r="BR46" i="175"/>
  <c r="BR41" i="175"/>
  <c r="BR10" i="175"/>
  <c r="BR15" i="175"/>
  <c r="BR4" i="175"/>
  <c r="BR35" i="175"/>
  <c r="BR16" i="175"/>
  <c r="BR29" i="175"/>
  <c r="BR14" i="175"/>
  <c r="BR24" i="175"/>
  <c r="BR34" i="175"/>
  <c r="BR27" i="175"/>
  <c r="BR19" i="175"/>
  <c r="AK19" i="175" s="1"/>
  <c r="AL19" i="175" s="1"/>
  <c r="AS19" i="175" s="1"/>
  <c r="B18" i="175" s="1"/>
  <c r="F18" i="175" s="1"/>
  <c r="BR11" i="175"/>
  <c r="BR9" i="175"/>
  <c r="BR8" i="175"/>
  <c r="BR6" i="175"/>
  <c r="BR44" i="175"/>
  <c r="BR21" i="175"/>
  <c r="BR26" i="175"/>
  <c r="BR48" i="175"/>
  <c r="BR17" i="175"/>
  <c r="BR43" i="175"/>
  <c r="BR38" i="175"/>
  <c r="BR13" i="175"/>
  <c r="BU1" i="175"/>
  <c r="BV1" i="175" s="1"/>
  <c r="BT3" i="175" a="1"/>
  <c r="BT9" i="175" s="1"/>
  <c r="AW17" i="175"/>
  <c r="B16" i="175"/>
  <c r="BS3" i="175" a="1"/>
  <c r="F17" i="175" l="1"/>
  <c r="BT12" i="175"/>
  <c r="BT18" i="175"/>
  <c r="BT34" i="175"/>
  <c r="BT26" i="175"/>
  <c r="BT40" i="175"/>
  <c r="BT11" i="175"/>
  <c r="BT39" i="175"/>
  <c r="BT33" i="175"/>
  <c r="BT36" i="175"/>
  <c r="BT3" i="175"/>
  <c r="BT46" i="175"/>
  <c r="BT42" i="175"/>
  <c r="BT20" i="175"/>
  <c r="BT37" i="175"/>
  <c r="BT13" i="175"/>
  <c r="BT44" i="175"/>
  <c r="BT14" i="175"/>
  <c r="BT32" i="175"/>
  <c r="BT35" i="175"/>
  <c r="BT7" i="175"/>
  <c r="BT25" i="175"/>
  <c r="BT45" i="175"/>
  <c r="BT21" i="175"/>
  <c r="BT5" i="175"/>
  <c r="BT22" i="175"/>
  <c r="BT38" i="175"/>
  <c r="BT48" i="175"/>
  <c r="BT15" i="175"/>
  <c r="BT31" i="175"/>
  <c r="BT24" i="175"/>
  <c r="BT29" i="175"/>
  <c r="BT17" i="175"/>
  <c r="BT8" i="175"/>
  <c r="AT19" i="175"/>
  <c r="BT41" i="175"/>
  <c r="BT28" i="175"/>
  <c r="BT43" i="175"/>
  <c r="BT47" i="175"/>
  <c r="BT10" i="175"/>
  <c r="BT16" i="175"/>
  <c r="BT30" i="175"/>
  <c r="BT6" i="175"/>
  <c r="BT4" i="175"/>
  <c r="BT23" i="175"/>
  <c r="BT27" i="175"/>
  <c r="BT19" i="175"/>
  <c r="BV3" i="175" a="1"/>
  <c r="BV22" i="175" s="1"/>
  <c r="BS47" i="175"/>
  <c r="BS34" i="175"/>
  <c r="BS6" i="175"/>
  <c r="BS36" i="175"/>
  <c r="BS48" i="175"/>
  <c r="BS11" i="175"/>
  <c r="BS15" i="175"/>
  <c r="BS43" i="175"/>
  <c r="BS37" i="175"/>
  <c r="BS14" i="175"/>
  <c r="BS22" i="175"/>
  <c r="BS45" i="175"/>
  <c r="BS29" i="175"/>
  <c r="BS40" i="175"/>
  <c r="BS7" i="175"/>
  <c r="BS8" i="175"/>
  <c r="BS31" i="175"/>
  <c r="BS38" i="175"/>
  <c r="BS44" i="175"/>
  <c r="BS23" i="175"/>
  <c r="BS3" i="175"/>
  <c r="BS32" i="175"/>
  <c r="BS28" i="175"/>
  <c r="BS13" i="175"/>
  <c r="BS26" i="175"/>
  <c r="BS20" i="175"/>
  <c r="AK20" i="175" s="1"/>
  <c r="AL20" i="175" s="1"/>
  <c r="AS20" i="175" s="1"/>
  <c r="B19" i="175" s="1"/>
  <c r="BS25" i="175"/>
  <c r="BS12" i="175"/>
  <c r="BS4" i="175"/>
  <c r="BS41" i="175"/>
  <c r="BS21" i="175"/>
  <c r="BS39" i="175"/>
  <c r="BS30" i="175"/>
  <c r="BS24" i="175"/>
  <c r="BS17" i="175"/>
  <c r="BS19" i="175"/>
  <c r="BS46" i="175"/>
  <c r="BS5" i="175"/>
  <c r="BS33" i="175"/>
  <c r="BS16" i="175"/>
  <c r="BS18" i="175"/>
  <c r="BS10" i="175"/>
  <c r="BS9" i="175"/>
  <c r="BS35" i="175"/>
  <c r="BS27" i="175"/>
  <c r="BS42" i="175"/>
  <c r="F16" i="175"/>
  <c r="AT17" i="175"/>
  <c r="AV17" i="175" s="1"/>
  <c r="AY19" i="175"/>
  <c r="E53" i="175" s="1"/>
  <c r="BU3" i="175" a="1"/>
  <c r="BW1" i="175"/>
  <c r="AK21" i="175" l="1"/>
  <c r="AL21" i="175" s="1"/>
  <c r="AS21" i="175" s="1"/>
  <c r="B20" i="175" s="1"/>
  <c r="AT21" i="175" s="1"/>
  <c r="BV19" i="175"/>
  <c r="BV29" i="175"/>
  <c r="BV36" i="175"/>
  <c r="BV43" i="175"/>
  <c r="BV5" i="175"/>
  <c r="BV44" i="175"/>
  <c r="BV18" i="175"/>
  <c r="BV47" i="175"/>
  <c r="BV42" i="175"/>
  <c r="BV20" i="175"/>
  <c r="BV39" i="175"/>
  <c r="BV6" i="175"/>
  <c r="BV33" i="175"/>
  <c r="BV32" i="175"/>
  <c r="BV16" i="175"/>
  <c r="BV12" i="175"/>
  <c r="BV31" i="175"/>
  <c r="BV26" i="175"/>
  <c r="BV13" i="175"/>
  <c r="BV17" i="175"/>
  <c r="BV15" i="175"/>
  <c r="BV35" i="175"/>
  <c r="BV21" i="175"/>
  <c r="BV11" i="175"/>
  <c r="BV9" i="175"/>
  <c r="BV23" i="175"/>
  <c r="BV37" i="175"/>
  <c r="BV25" i="175"/>
  <c r="BV34" i="175"/>
  <c r="BV24" i="175"/>
  <c r="BV8" i="175"/>
  <c r="BV48" i="175"/>
  <c r="BV4" i="175"/>
  <c r="BV14" i="175"/>
  <c r="BV46" i="175"/>
  <c r="BV40" i="175"/>
  <c r="BV41" i="175"/>
  <c r="BV38" i="175"/>
  <c r="BV28" i="175"/>
  <c r="BV45" i="175"/>
  <c r="BV7" i="175"/>
  <c r="BV10" i="175"/>
  <c r="BV30" i="175"/>
  <c r="BV3" i="175"/>
  <c r="BV27" i="175"/>
  <c r="BW3" i="175" a="1"/>
  <c r="BW31" i="175" s="1"/>
  <c r="BU15" i="175"/>
  <c r="BU4" i="175"/>
  <c r="BU26" i="175"/>
  <c r="BU23" i="175"/>
  <c r="AK23" i="175" s="1"/>
  <c r="AL23" i="175" s="1"/>
  <c r="AS23" i="175" s="1"/>
  <c r="B22" i="175" s="1"/>
  <c r="F22" i="175" s="1"/>
  <c r="BU41" i="175"/>
  <c r="BU38" i="175"/>
  <c r="BU43" i="175"/>
  <c r="BU22" i="175"/>
  <c r="AK22" i="175" s="1"/>
  <c r="AL22" i="175" s="1"/>
  <c r="AS22" i="175" s="1"/>
  <c r="B21" i="175" s="1"/>
  <c r="AT22" i="175" s="1"/>
  <c r="BU46" i="175"/>
  <c r="BU10" i="175"/>
  <c r="BU5" i="175"/>
  <c r="BU33" i="175"/>
  <c r="BU30" i="175"/>
  <c r="BU7" i="175"/>
  <c r="BU8" i="175"/>
  <c r="BU21" i="175"/>
  <c r="BU13" i="175"/>
  <c r="BU20" i="175"/>
  <c r="BU18" i="175"/>
  <c r="BU3" i="175"/>
  <c r="BU45" i="175"/>
  <c r="BU19" i="175"/>
  <c r="BU29" i="175"/>
  <c r="BU6" i="175"/>
  <c r="BU39" i="175"/>
  <c r="BU42" i="175"/>
  <c r="BU14" i="175"/>
  <c r="BU17" i="175"/>
  <c r="BU44" i="175"/>
  <c r="BU47" i="175"/>
  <c r="BU32" i="175"/>
  <c r="BU12" i="175"/>
  <c r="BU40" i="175"/>
  <c r="BU24" i="175"/>
  <c r="BU27" i="175"/>
  <c r="BU48" i="175"/>
  <c r="BU37" i="175"/>
  <c r="BU34" i="175"/>
  <c r="BU36" i="175"/>
  <c r="BU25" i="175"/>
  <c r="BU35" i="175"/>
  <c r="BU11" i="175"/>
  <c r="BU28" i="175"/>
  <c r="BU31" i="175"/>
  <c r="BU16" i="175"/>
  <c r="BU9" i="175"/>
  <c r="F19" i="175"/>
  <c r="AT20" i="175"/>
  <c r="BX1" i="175"/>
  <c r="F20" i="175" l="1"/>
  <c r="BW28" i="175"/>
  <c r="BW17" i="175"/>
  <c r="BW3" i="175"/>
  <c r="BW34" i="175"/>
  <c r="BW26" i="175"/>
  <c r="BW46" i="175"/>
  <c r="BW27" i="175"/>
  <c r="BW43" i="175"/>
  <c r="BW14" i="175"/>
  <c r="BW13" i="175"/>
  <c r="BW33" i="175"/>
  <c r="BW20" i="175"/>
  <c r="BW25" i="175"/>
  <c r="BW30" i="175"/>
  <c r="BW23" i="175"/>
  <c r="BW19" i="175"/>
  <c r="BW5" i="175"/>
  <c r="BW8" i="175"/>
  <c r="BW32" i="175"/>
  <c r="BW6" i="175"/>
  <c r="BW16" i="175"/>
  <c r="BW7" i="175"/>
  <c r="BW35" i="175"/>
  <c r="BW47" i="175"/>
  <c r="BW39" i="175"/>
  <c r="BW37" i="175"/>
  <c r="BW4" i="175"/>
  <c r="BW45" i="175"/>
  <c r="BW42" i="175"/>
  <c r="BW22" i="175"/>
  <c r="AT23" i="175"/>
  <c r="BW36" i="175"/>
  <c r="BW10" i="175"/>
  <c r="BW11" i="175"/>
  <c r="BW44" i="175"/>
  <c r="BW40" i="175"/>
  <c r="BW29" i="175"/>
  <c r="BW12" i="175"/>
  <c r="BW9" i="175"/>
  <c r="AY23" i="175"/>
  <c r="F53" i="175" s="1"/>
  <c r="F21" i="175"/>
  <c r="BW15" i="175"/>
  <c r="BW48" i="175"/>
  <c r="BW21" i="175"/>
  <c r="BW38" i="175"/>
  <c r="BW18" i="175"/>
  <c r="BW24" i="175"/>
  <c r="AK24" i="175" s="1"/>
  <c r="AL24" i="175" s="1"/>
  <c r="AS24" i="175" s="1"/>
  <c r="B23" i="175" s="1"/>
  <c r="AT24" i="175" s="1"/>
  <c r="BW41" i="175"/>
  <c r="BX3" i="175" a="1"/>
  <c r="BX17" i="175" s="1"/>
  <c r="BY1" i="175"/>
  <c r="F23" i="175" l="1"/>
  <c r="BX27" i="175"/>
  <c r="BX46" i="175"/>
  <c r="BX21" i="175"/>
  <c r="BX10" i="175"/>
  <c r="BX29" i="175"/>
  <c r="BX36" i="175"/>
  <c r="BX9" i="175"/>
  <c r="BX43" i="175"/>
  <c r="BX26" i="175"/>
  <c r="BX16" i="175"/>
  <c r="BX20" i="175"/>
  <c r="BX38" i="175"/>
  <c r="BX6" i="175"/>
  <c r="BX31" i="175"/>
  <c r="BX48" i="175"/>
  <c r="BX28" i="175"/>
  <c r="BX33" i="175"/>
  <c r="BX3" i="175"/>
  <c r="BX22" i="175"/>
  <c r="BX23" i="175"/>
  <c r="BX41" i="175"/>
  <c r="BX8" i="175"/>
  <c r="BX42" i="175"/>
  <c r="BX39" i="175"/>
  <c r="BX35" i="175"/>
  <c r="BX7" i="175"/>
  <c r="BX40" i="175"/>
  <c r="BX24" i="175"/>
  <c r="BX4" i="175"/>
  <c r="BX34" i="175"/>
  <c r="BX30" i="175"/>
  <c r="BX18" i="175"/>
  <c r="BX47" i="175"/>
  <c r="BX19" i="175"/>
  <c r="BX5" i="175"/>
  <c r="BX15" i="175"/>
  <c r="BX44" i="175"/>
  <c r="BX13" i="175"/>
  <c r="BX12" i="175"/>
  <c r="BX25" i="175"/>
  <c r="AK25" i="175" s="1"/>
  <c r="AL25" i="175" s="1"/>
  <c r="AS25" i="175" s="1"/>
  <c r="B24" i="175" s="1"/>
  <c r="F24" i="175" s="1"/>
  <c r="BX14" i="175"/>
  <c r="BX45" i="175"/>
  <c r="BX32" i="175"/>
  <c r="BX37" i="175"/>
  <c r="BX11" i="175"/>
  <c r="BY3" i="175" a="1"/>
  <c r="BY38" i="175" s="1"/>
  <c r="BZ1" i="175"/>
  <c r="AT25" i="175" l="1"/>
  <c r="BY4" i="175"/>
  <c r="BY36" i="175"/>
  <c r="BY41" i="175"/>
  <c r="BY5" i="175"/>
  <c r="BY32" i="175"/>
  <c r="BY14" i="175"/>
  <c r="BY18" i="175"/>
  <c r="BY27" i="175"/>
  <c r="BY13" i="175"/>
  <c r="BY21" i="175"/>
  <c r="BY9" i="175"/>
  <c r="BY28" i="175"/>
  <c r="BY46" i="175"/>
  <c r="BY42" i="175"/>
  <c r="BY24" i="175"/>
  <c r="BY44" i="175"/>
  <c r="BY30" i="175"/>
  <c r="BY47" i="175"/>
  <c r="BY23" i="175"/>
  <c r="BY43" i="175"/>
  <c r="BY45" i="175"/>
  <c r="BY40" i="175"/>
  <c r="BY10" i="175"/>
  <c r="BY7" i="175"/>
  <c r="BY37" i="175"/>
  <c r="BY29" i="175"/>
  <c r="BY19" i="175"/>
  <c r="BY31" i="175"/>
  <c r="BY17" i="175"/>
  <c r="BY25" i="175"/>
  <c r="BY20" i="175"/>
  <c r="BY48" i="175"/>
  <c r="BY34" i="175"/>
  <c r="BY3" i="175"/>
  <c r="BY11" i="175"/>
  <c r="BY22" i="175"/>
  <c r="BY15" i="175"/>
  <c r="BY33" i="175"/>
  <c r="BY39" i="175"/>
  <c r="BY26" i="175"/>
  <c r="AK26" i="175" s="1"/>
  <c r="AL26" i="175" s="1"/>
  <c r="AS26" i="175" s="1"/>
  <c r="B25" i="175" s="1"/>
  <c r="F25" i="175" s="1"/>
  <c r="BY6" i="175"/>
  <c r="BY35" i="175"/>
  <c r="BY8" i="175"/>
  <c r="BY12" i="175"/>
  <c r="BY16" i="175"/>
  <c r="BZ3" i="175" a="1"/>
  <c r="BZ47" i="175" s="1"/>
  <c r="CA1" i="175"/>
  <c r="BZ7" i="175" l="1"/>
  <c r="BZ17" i="175"/>
  <c r="BZ21" i="175"/>
  <c r="BZ36" i="175"/>
  <c r="BZ27" i="175"/>
  <c r="AK27" i="175" s="1"/>
  <c r="AL27" i="175" s="1"/>
  <c r="AS27" i="175" s="1"/>
  <c r="B26" i="175" s="1"/>
  <c r="AY27" i="175" s="1"/>
  <c r="G53" i="175" s="1"/>
  <c r="BZ29" i="175"/>
  <c r="BZ9" i="175"/>
  <c r="BZ24" i="175"/>
  <c r="BZ45" i="175"/>
  <c r="BZ38" i="175"/>
  <c r="BZ42" i="175"/>
  <c r="BZ22" i="175"/>
  <c r="BZ46" i="175"/>
  <c r="BZ4" i="175"/>
  <c r="BZ14" i="175"/>
  <c r="BZ26" i="175"/>
  <c r="BZ5" i="175"/>
  <c r="BZ11" i="175"/>
  <c r="BZ41" i="175"/>
  <c r="BZ28" i="175"/>
  <c r="BZ18" i="175"/>
  <c r="BZ10" i="175"/>
  <c r="BZ23" i="175"/>
  <c r="BZ40" i="175"/>
  <c r="BZ12" i="175"/>
  <c r="BZ8" i="175"/>
  <c r="BZ32" i="175"/>
  <c r="BZ31" i="175"/>
  <c r="BZ25" i="175"/>
  <c r="BZ33" i="175"/>
  <c r="BZ35" i="175"/>
  <c r="BZ37" i="175"/>
  <c r="BZ15" i="175"/>
  <c r="BZ19" i="175"/>
  <c r="BZ44" i="175"/>
  <c r="BZ3" i="175"/>
  <c r="BZ13" i="175"/>
  <c r="BZ16" i="175"/>
  <c r="BZ20" i="175"/>
  <c r="BZ6" i="175"/>
  <c r="BZ43" i="175"/>
  <c r="BZ48" i="175"/>
  <c r="BZ30" i="175"/>
  <c r="BZ39" i="175"/>
  <c r="BZ34" i="175"/>
  <c r="AT26" i="175"/>
  <c r="CA3" i="175" a="1"/>
  <c r="CA19" i="175" s="1"/>
  <c r="CB1" i="175"/>
  <c r="AT27" i="175" l="1"/>
  <c r="F26" i="175"/>
  <c r="CA28" i="175"/>
  <c r="AK28" i="175" s="1"/>
  <c r="AL28" i="175" s="1"/>
  <c r="AS28" i="175" s="1"/>
  <c r="B27" i="175" s="1"/>
  <c r="AT28" i="175" s="1"/>
  <c r="CA6" i="175"/>
  <c r="CA33" i="175"/>
  <c r="CA15" i="175"/>
  <c r="CA3" i="175"/>
  <c r="CA4" i="175"/>
  <c r="CA13" i="175"/>
  <c r="CA25" i="175"/>
  <c r="CA38" i="175"/>
  <c r="CA22" i="175"/>
  <c r="CA5" i="175"/>
  <c r="CA24" i="175"/>
  <c r="CA31" i="175"/>
  <c r="CA30" i="175"/>
  <c r="CA47" i="175"/>
  <c r="CA43" i="175"/>
  <c r="CA18" i="175"/>
  <c r="CA45" i="175"/>
  <c r="CA27" i="175"/>
  <c r="CA48" i="175"/>
  <c r="CA10" i="175"/>
  <c r="CA26" i="175"/>
  <c r="CA11" i="175"/>
  <c r="CA40" i="175"/>
  <c r="CA32" i="175"/>
  <c r="CA7" i="175"/>
  <c r="CA17" i="175"/>
  <c r="CA42" i="175"/>
  <c r="CA39" i="175"/>
  <c r="CA34" i="175"/>
  <c r="CA20" i="175"/>
  <c r="CA36" i="175"/>
  <c r="CA23" i="175"/>
  <c r="CA29" i="175"/>
  <c r="CA14" i="175"/>
  <c r="CA35" i="175"/>
  <c r="CA8" i="175"/>
  <c r="CA16" i="175"/>
  <c r="CA44" i="175"/>
  <c r="CA9" i="175"/>
  <c r="CA12" i="175"/>
  <c r="CA21" i="175"/>
  <c r="CA41" i="175"/>
  <c r="CA37" i="175"/>
  <c r="CA46" i="175"/>
  <c r="CB3" i="175" a="1"/>
  <c r="CB46" i="175" s="1"/>
  <c r="CC1" i="175"/>
  <c r="CB20" i="175" l="1"/>
  <c r="CB13" i="175"/>
  <c r="CB27" i="175"/>
  <c r="CB40" i="175"/>
  <c r="CB11" i="175"/>
  <c r="CB8" i="175"/>
  <c r="CB9" i="175"/>
  <c r="CB5" i="175"/>
  <c r="CB4" i="175"/>
  <c r="CB25" i="175"/>
  <c r="CB14" i="175"/>
  <c r="CB47" i="175"/>
  <c r="CB39" i="175"/>
  <c r="CB33" i="175"/>
  <c r="CB28" i="175"/>
  <c r="CB23" i="175"/>
  <c r="CB42" i="175"/>
  <c r="CB6" i="175"/>
  <c r="CB17" i="175"/>
  <c r="CB24" i="175"/>
  <c r="CB30" i="175"/>
  <c r="CB45" i="175"/>
  <c r="CB34" i="175"/>
  <c r="F27" i="175"/>
  <c r="CB41" i="175"/>
  <c r="CB32" i="175"/>
  <c r="CB38" i="175"/>
  <c r="CB15" i="175"/>
  <c r="CB37" i="175"/>
  <c r="CB26" i="175"/>
  <c r="CB19" i="175"/>
  <c r="CB16" i="175"/>
  <c r="CB3" i="175"/>
  <c r="CB44" i="175"/>
  <c r="CB48" i="175"/>
  <c r="CB36" i="175"/>
  <c r="CB35" i="175"/>
  <c r="CB22" i="175"/>
  <c r="CB7" i="175"/>
  <c r="CB10" i="175"/>
  <c r="CB43" i="175"/>
  <c r="CB29" i="175"/>
  <c r="AK29" i="175" s="1"/>
  <c r="AL29" i="175" s="1"/>
  <c r="AS29" i="175" s="1"/>
  <c r="B28" i="175" s="1"/>
  <c r="F28" i="175" s="1"/>
  <c r="CB21" i="175"/>
  <c r="CB12" i="175"/>
  <c r="CB18" i="175"/>
  <c r="CB31" i="175"/>
  <c r="CD1" i="175"/>
  <c r="CE1" i="175" s="1"/>
  <c r="CC3" i="175" a="1"/>
  <c r="CC40" i="175" s="1"/>
  <c r="CC47" i="175" l="1"/>
  <c r="CC35" i="175"/>
  <c r="CC13" i="175"/>
  <c r="CC39" i="175"/>
  <c r="CC46" i="175"/>
  <c r="CC15" i="175"/>
  <c r="CC44" i="175"/>
  <c r="CC18" i="175"/>
  <c r="CC21" i="175"/>
  <c r="CC20" i="175"/>
  <c r="CC37" i="175"/>
  <c r="CC43" i="175"/>
  <c r="CC7" i="175"/>
  <c r="CC14" i="175"/>
  <c r="CC32" i="175"/>
  <c r="CC8" i="175"/>
  <c r="CC12" i="175"/>
  <c r="CC28" i="175"/>
  <c r="CC34" i="175"/>
  <c r="CC4" i="175"/>
  <c r="CC10" i="175"/>
  <c r="CC36" i="175"/>
  <c r="CC29" i="175"/>
  <c r="CC48" i="175"/>
  <c r="CC16" i="175"/>
  <c r="CC27" i="175"/>
  <c r="CC22" i="175"/>
  <c r="CC23" i="175"/>
  <c r="CC25" i="175"/>
  <c r="CC6" i="175"/>
  <c r="CC31" i="175"/>
  <c r="CC11" i="175"/>
  <c r="CC17" i="175"/>
  <c r="CC19" i="175"/>
  <c r="CC26" i="175"/>
  <c r="CC41" i="175"/>
  <c r="CC45" i="175"/>
  <c r="CC3" i="175"/>
  <c r="CC38" i="175"/>
  <c r="CC24" i="175"/>
  <c r="CC5" i="175"/>
  <c r="CC9" i="175"/>
  <c r="CC30" i="175"/>
  <c r="AK30" i="175" s="1"/>
  <c r="AL30" i="175" s="1"/>
  <c r="AS30" i="175" s="1"/>
  <c r="B29" i="175" s="1"/>
  <c r="AT30" i="175" s="1"/>
  <c r="CC42" i="175"/>
  <c r="CC33" i="175"/>
  <c r="AT29" i="175"/>
  <c r="CF1" i="175"/>
  <c r="CG1" i="175" s="1"/>
  <c r="CE3" i="175" a="1"/>
  <c r="CE21" i="175" s="1"/>
  <c r="CD3" i="175" a="1"/>
  <c r="CE37" i="175" l="1"/>
  <c r="CE33" i="175"/>
  <c r="CE24" i="175"/>
  <c r="CE42" i="175"/>
  <c r="CE8" i="175"/>
  <c r="CE30" i="175"/>
  <c r="CE23" i="175"/>
  <c r="CE12" i="175"/>
  <c r="CE22" i="175"/>
  <c r="CE9" i="175"/>
  <c r="CE31" i="175"/>
  <c r="CE29" i="175"/>
  <c r="CE3" i="175"/>
  <c r="CE11" i="175"/>
  <c r="CE47" i="175"/>
  <c r="CE46" i="175"/>
  <c r="CE32" i="175"/>
  <c r="CE16" i="175"/>
  <c r="CE28" i="175"/>
  <c r="CE44" i="175"/>
  <c r="CE26" i="175"/>
  <c r="CE17" i="175"/>
  <c r="CE7" i="175"/>
  <c r="F29" i="175"/>
  <c r="CE10" i="175"/>
  <c r="CE13" i="175"/>
  <c r="CE4" i="175"/>
  <c r="CE18" i="175"/>
  <c r="CE25" i="175"/>
  <c r="CE15" i="175"/>
  <c r="CE35" i="175"/>
  <c r="CE27" i="175"/>
  <c r="CE41" i="175"/>
  <c r="CE14" i="175"/>
  <c r="CE20" i="175"/>
  <c r="CE6" i="175"/>
  <c r="CE43" i="175"/>
  <c r="CE36" i="175"/>
  <c r="CE19" i="175"/>
  <c r="CE48" i="175"/>
  <c r="CE45" i="175"/>
  <c r="CE38" i="175"/>
  <c r="CE40" i="175"/>
  <c r="CG3" i="175" a="1"/>
  <c r="CG35" i="175" s="1"/>
  <c r="CD35" i="175"/>
  <c r="CD36" i="175"/>
  <c r="CD44" i="175"/>
  <c r="CD12" i="175"/>
  <c r="CD19" i="175"/>
  <c r="CD42" i="175"/>
  <c r="CD41" i="175"/>
  <c r="CD10" i="175"/>
  <c r="CD8" i="175"/>
  <c r="CD17" i="175"/>
  <c r="CD11" i="175"/>
  <c r="CD16" i="175"/>
  <c r="CD20" i="175"/>
  <c r="CD28" i="175"/>
  <c r="CD26" i="175"/>
  <c r="CD3" i="175"/>
  <c r="CD13" i="175"/>
  <c r="CD30" i="175"/>
  <c r="CD21" i="175"/>
  <c r="CD7" i="175"/>
  <c r="CD37" i="175"/>
  <c r="CD18" i="175"/>
  <c r="CD23" i="175"/>
  <c r="CD31" i="175"/>
  <c r="AK31" i="175" s="1"/>
  <c r="AL31" i="175" s="1"/>
  <c r="AS31" i="175" s="1"/>
  <c r="B30" i="175" s="1"/>
  <c r="AT31" i="175" s="1"/>
  <c r="CD33" i="175"/>
  <c r="CD29" i="175"/>
  <c r="CD46" i="175"/>
  <c r="CD15" i="175"/>
  <c r="CD32" i="175"/>
  <c r="CD4" i="175"/>
  <c r="CD47" i="175"/>
  <c r="CD22" i="175"/>
  <c r="CD48" i="175"/>
  <c r="CD14" i="175"/>
  <c r="CD24" i="175"/>
  <c r="CD45" i="175"/>
  <c r="CD38" i="175"/>
  <c r="CD6" i="175"/>
  <c r="CD43" i="175"/>
  <c r="CD40" i="175"/>
  <c r="CD27" i="175"/>
  <c r="CD39" i="175"/>
  <c r="CD34" i="175"/>
  <c r="CD25" i="175"/>
  <c r="CD9" i="175"/>
  <c r="CD5" i="175"/>
  <c r="CE34" i="175"/>
  <c r="CE39" i="175"/>
  <c r="CE5" i="175"/>
  <c r="CF3" i="175" a="1"/>
  <c r="CH1" i="175"/>
  <c r="CG3" i="175" l="1"/>
  <c r="CG18" i="175"/>
  <c r="CG41" i="175"/>
  <c r="CG43" i="175"/>
  <c r="CG46" i="175"/>
  <c r="CG4" i="175"/>
  <c r="CG21" i="175"/>
  <c r="CG47" i="175"/>
  <c r="CG42" i="175"/>
  <c r="CG16" i="175"/>
  <c r="CG24" i="175"/>
  <c r="CG11" i="175"/>
  <c r="CG12" i="175"/>
  <c r="CG32" i="175"/>
  <c r="CG22" i="175"/>
  <c r="CG36" i="175"/>
  <c r="CG29" i="175"/>
  <c r="CG20" i="175"/>
  <c r="CG28" i="175"/>
  <c r="CG33" i="175"/>
  <c r="CG5" i="175"/>
  <c r="CG31" i="175"/>
  <c r="CG7" i="175"/>
  <c r="CG38" i="175"/>
  <c r="CG23" i="175"/>
  <c r="CG34" i="175"/>
  <c r="CG40" i="175"/>
  <c r="CG27" i="175"/>
  <c r="CG25" i="175"/>
  <c r="CG19" i="175"/>
  <c r="CG48" i="175"/>
  <c r="CG14" i="175"/>
  <c r="CG15" i="175"/>
  <c r="CG17" i="175"/>
  <c r="CG45" i="175"/>
  <c r="CG39" i="175"/>
  <c r="CG13" i="175"/>
  <c r="CG37" i="175"/>
  <c r="CG44" i="175"/>
  <c r="CG8" i="175"/>
  <c r="CG30" i="175"/>
  <c r="CG26" i="175"/>
  <c r="CG6" i="175"/>
  <c r="CG10" i="175"/>
  <c r="AK32" i="175"/>
  <c r="AL32" i="175" s="1"/>
  <c r="AS32" i="175" s="1"/>
  <c r="B31" i="175" s="1"/>
  <c r="CG9" i="175"/>
  <c r="AY31" i="175"/>
  <c r="H53" i="175" s="1"/>
  <c r="F30" i="175"/>
  <c r="CH3" i="175" a="1"/>
  <c r="CH38" i="175" s="1"/>
  <c r="CF11" i="175"/>
  <c r="CF25" i="175"/>
  <c r="CF19" i="175"/>
  <c r="CF12" i="175"/>
  <c r="CF36" i="175"/>
  <c r="CF40" i="175"/>
  <c r="CF27" i="175"/>
  <c r="CF46" i="175"/>
  <c r="CF15" i="175"/>
  <c r="CF9" i="175"/>
  <c r="CF20" i="175"/>
  <c r="CF10" i="175"/>
  <c r="CF13" i="175"/>
  <c r="CF39" i="175"/>
  <c r="CF16" i="175"/>
  <c r="CF41" i="175"/>
  <c r="CF21" i="175"/>
  <c r="CF4" i="175"/>
  <c r="CF24" i="175"/>
  <c r="CF42" i="175"/>
  <c r="CF30" i="175"/>
  <c r="CF18" i="175"/>
  <c r="CF7" i="175"/>
  <c r="CF28" i="175"/>
  <c r="CF8" i="175"/>
  <c r="CF43" i="175"/>
  <c r="CF31" i="175"/>
  <c r="CF48" i="175"/>
  <c r="CF35" i="175"/>
  <c r="CF23" i="175"/>
  <c r="CF32" i="175"/>
  <c r="CF6" i="175"/>
  <c r="CF5" i="175"/>
  <c r="CF17" i="175"/>
  <c r="CF47" i="175"/>
  <c r="CF29" i="175"/>
  <c r="CF22" i="175"/>
  <c r="CF34" i="175"/>
  <c r="CF14" i="175"/>
  <c r="CF33" i="175"/>
  <c r="AK33" i="175" s="1"/>
  <c r="AL33" i="175" s="1"/>
  <c r="AS33" i="175" s="1"/>
  <c r="B32" i="175" s="1"/>
  <c r="AT33" i="175" s="1"/>
  <c r="CF44" i="175"/>
  <c r="CF38" i="175"/>
  <c r="CF3" i="175"/>
  <c r="CF37" i="175"/>
  <c r="CF26" i="175"/>
  <c r="CF45" i="175"/>
  <c r="CI1" i="175"/>
  <c r="AK34" i="175" l="1"/>
  <c r="AL34" i="175" s="1"/>
  <c r="AS34" i="175" s="1"/>
  <c r="B33" i="175" s="1"/>
  <c r="F33" i="175" s="1"/>
  <c r="CH27" i="175"/>
  <c r="CH21" i="175"/>
  <c r="CH42" i="175"/>
  <c r="CH16" i="175"/>
  <c r="CH4" i="175"/>
  <c r="CH33" i="175"/>
  <c r="CH32" i="175"/>
  <c r="CH30" i="175"/>
  <c r="CH3" i="175"/>
  <c r="CH19" i="175"/>
  <c r="CH18" i="175"/>
  <c r="CH39" i="175"/>
  <c r="CH20" i="175"/>
  <c r="CH12" i="175"/>
  <c r="CH35" i="175"/>
  <c r="AK35" i="175" s="1"/>
  <c r="AL35" i="175" s="1"/>
  <c r="AS35" i="175" s="1"/>
  <c r="B34" i="175" s="1"/>
  <c r="F34" i="175" s="1"/>
  <c r="CH45" i="175"/>
  <c r="CH34" i="175"/>
  <c r="CH13" i="175"/>
  <c r="CH5" i="175"/>
  <c r="CH40" i="175"/>
  <c r="CH41" i="175"/>
  <c r="CH22" i="175"/>
  <c r="CH44" i="175"/>
  <c r="CH48" i="175"/>
  <c r="CH14" i="175"/>
  <c r="CH29" i="175"/>
  <c r="F32" i="175"/>
  <c r="CH10" i="175"/>
  <c r="CH11" i="175"/>
  <c r="CH17" i="175"/>
  <c r="CH43" i="175"/>
  <c r="CH23" i="175"/>
  <c r="CH15" i="175"/>
  <c r="CH9" i="175"/>
  <c r="CH8" i="175"/>
  <c r="CH31" i="175"/>
  <c r="CH47" i="175"/>
  <c r="CH36" i="175"/>
  <c r="AT32" i="175"/>
  <c r="F31" i="175"/>
  <c r="CH25" i="175"/>
  <c r="CH24" i="175"/>
  <c r="CH46" i="175"/>
  <c r="CH26" i="175"/>
  <c r="CH7" i="175"/>
  <c r="CH6" i="175"/>
  <c r="CH28" i="175"/>
  <c r="CH37" i="175"/>
  <c r="CI3" i="175" a="1"/>
  <c r="CI9" i="175" s="1"/>
  <c r="CJ1" i="175"/>
  <c r="AT34" i="175" l="1"/>
  <c r="AT35" i="175"/>
  <c r="CI36" i="175"/>
  <c r="AK36" i="175" s="1"/>
  <c r="AL36" i="175" s="1"/>
  <c r="AS36" i="175" s="1"/>
  <c r="B35" i="175" s="1"/>
  <c r="F35" i="175" s="1"/>
  <c r="CI8" i="175"/>
  <c r="CI6" i="175"/>
  <c r="CI7" i="175"/>
  <c r="CI40" i="175"/>
  <c r="CI45" i="175"/>
  <c r="CI23" i="175"/>
  <c r="CI37" i="175"/>
  <c r="CI48" i="175"/>
  <c r="CI14" i="175"/>
  <c r="CI46" i="175"/>
  <c r="CI21" i="175"/>
  <c r="CI35" i="175"/>
  <c r="CI4" i="175"/>
  <c r="CI10" i="175"/>
  <c r="CI38" i="175"/>
  <c r="CI13" i="175"/>
  <c r="CI41" i="175"/>
  <c r="CI28" i="175"/>
  <c r="CI47" i="175"/>
  <c r="CI39" i="175"/>
  <c r="CI44" i="175"/>
  <c r="CI3" i="175"/>
  <c r="CI18" i="175"/>
  <c r="CI12" i="175"/>
  <c r="CI19" i="175"/>
  <c r="CI42" i="175"/>
  <c r="CI20" i="175"/>
  <c r="CI25" i="175"/>
  <c r="CI26" i="175"/>
  <c r="CI43" i="175"/>
  <c r="CI33" i="175"/>
  <c r="CI34" i="175"/>
  <c r="CI30" i="175"/>
  <c r="CI27" i="175"/>
  <c r="CI16" i="175"/>
  <c r="CI32" i="175"/>
  <c r="CI22" i="175"/>
  <c r="CI31" i="175"/>
  <c r="CI11" i="175"/>
  <c r="CI29" i="175"/>
  <c r="CI17" i="175"/>
  <c r="CI24" i="175"/>
  <c r="CI15" i="175"/>
  <c r="CI5" i="175"/>
  <c r="CJ3" i="175" a="1"/>
  <c r="CJ12" i="175" s="1"/>
  <c r="CK1" i="175"/>
  <c r="AT36" i="175" l="1"/>
  <c r="CJ11" i="175"/>
  <c r="CJ26" i="175"/>
  <c r="CJ22" i="175"/>
  <c r="CJ10" i="175"/>
  <c r="CJ29" i="175"/>
  <c r="CJ21" i="175"/>
  <c r="CJ18" i="175"/>
  <c r="CJ35" i="175"/>
  <c r="CJ40" i="175"/>
  <c r="CJ33" i="175"/>
  <c r="CJ41" i="175"/>
  <c r="CJ47" i="175"/>
  <c r="CJ32" i="175"/>
  <c r="CJ3" i="175"/>
  <c r="CJ43" i="175"/>
  <c r="CJ6" i="175"/>
  <c r="CJ46" i="175"/>
  <c r="CJ4" i="175"/>
  <c r="CJ15" i="175"/>
  <c r="CJ9" i="175"/>
  <c r="CJ25" i="175"/>
  <c r="CJ8" i="175"/>
  <c r="CJ20" i="175"/>
  <c r="CJ34" i="175"/>
  <c r="CJ48" i="175"/>
  <c r="CJ23" i="175"/>
  <c r="CJ14" i="175"/>
  <c r="CJ13" i="175"/>
  <c r="CJ7" i="175"/>
  <c r="CJ39" i="175"/>
  <c r="CJ31" i="175"/>
  <c r="CJ17" i="175"/>
  <c r="CJ19" i="175"/>
  <c r="CJ38" i="175"/>
  <c r="CJ36" i="175"/>
  <c r="CJ28" i="175"/>
  <c r="CJ5" i="175"/>
  <c r="CJ16" i="175"/>
  <c r="CJ27" i="175"/>
  <c r="CJ44" i="175"/>
  <c r="CJ30" i="175"/>
  <c r="CJ37" i="175"/>
  <c r="AK37" i="175" s="1"/>
  <c r="AL37" i="175" s="1"/>
  <c r="AS37" i="175" s="1"/>
  <c r="B36" i="175" s="1"/>
  <c r="F36" i="175" s="1"/>
  <c r="CJ45" i="175"/>
  <c r="CJ42" i="175"/>
  <c r="CJ24" i="175"/>
  <c r="CK3" i="175" a="1"/>
  <c r="CK30" i="175" s="1"/>
  <c r="CL1" i="175"/>
  <c r="CK12" i="175" l="1"/>
  <c r="CK29" i="175"/>
  <c r="CK33" i="175"/>
  <c r="CK38" i="175"/>
  <c r="AK38" i="175" s="1"/>
  <c r="AL38" i="175" s="1"/>
  <c r="AS38" i="175" s="1"/>
  <c r="B37" i="175" s="1"/>
  <c r="F37" i="175" s="1"/>
  <c r="CK22" i="175"/>
  <c r="CK8" i="175"/>
  <c r="CK46" i="175"/>
  <c r="CK17" i="175"/>
  <c r="CK6" i="175"/>
  <c r="CK45" i="175"/>
  <c r="CK42" i="175"/>
  <c r="CK39" i="175"/>
  <c r="CK37" i="175"/>
  <c r="CK44" i="175"/>
  <c r="CK47" i="175"/>
  <c r="CK32" i="175"/>
  <c r="CK15" i="175"/>
  <c r="CK36" i="175"/>
  <c r="CK20" i="175"/>
  <c r="CK19" i="175"/>
  <c r="CK16" i="175"/>
  <c r="CK3" i="175"/>
  <c r="CK35" i="175"/>
  <c r="CK31" i="175"/>
  <c r="CK43" i="175"/>
  <c r="CK23" i="175"/>
  <c r="CK14" i="175"/>
  <c r="CK7" i="175"/>
  <c r="CK25" i="175"/>
  <c r="CK9" i="175"/>
  <c r="CK34" i="175"/>
  <c r="CK27" i="175"/>
  <c r="CK13" i="175"/>
  <c r="CK21" i="175"/>
  <c r="CK24" i="175"/>
  <c r="CK28" i="175"/>
  <c r="CK41" i="175"/>
  <c r="CK4" i="175"/>
  <c r="AT37" i="175"/>
  <c r="CK40" i="175"/>
  <c r="CK5" i="175"/>
  <c r="CK10" i="175"/>
  <c r="CK48" i="175"/>
  <c r="CK11" i="175"/>
  <c r="CK26" i="175"/>
  <c r="CK18" i="175"/>
  <c r="CL3" i="175" a="1"/>
  <c r="CL7" i="175" s="1"/>
  <c r="CM1" i="175"/>
  <c r="CL19" i="175" l="1"/>
  <c r="AT38" i="175"/>
  <c r="CL6" i="175"/>
  <c r="CL29" i="175"/>
  <c r="CL4" i="175"/>
  <c r="CL22" i="175"/>
  <c r="CL3" i="175"/>
  <c r="CL17" i="175"/>
  <c r="CL41" i="175"/>
  <c r="CL46" i="175"/>
  <c r="CL38" i="175"/>
  <c r="CL45" i="175"/>
  <c r="CL16" i="175"/>
  <c r="CL42" i="175"/>
  <c r="CL26" i="175"/>
  <c r="CL14" i="175"/>
  <c r="CL24" i="175"/>
  <c r="CL20" i="175"/>
  <c r="CL25" i="175"/>
  <c r="CL21" i="175"/>
  <c r="CL47" i="175"/>
  <c r="CL43" i="175"/>
  <c r="CL8" i="175"/>
  <c r="CL35" i="175"/>
  <c r="CL12" i="175"/>
  <c r="CL9" i="175"/>
  <c r="CL10" i="175"/>
  <c r="CL32" i="175"/>
  <c r="CL18" i="175"/>
  <c r="CL5" i="175"/>
  <c r="CL37" i="175"/>
  <c r="CL23" i="175"/>
  <c r="CL30" i="175"/>
  <c r="CL28" i="175"/>
  <c r="CL33" i="175"/>
  <c r="CL11" i="175"/>
  <c r="CL40" i="175"/>
  <c r="CL44" i="175"/>
  <c r="CL27" i="175"/>
  <c r="CL36" i="175"/>
  <c r="CL48" i="175"/>
  <c r="CL13" i="175"/>
  <c r="CL39" i="175"/>
  <c r="AK39" i="175" s="1"/>
  <c r="AL39" i="175" s="1"/>
  <c r="AS39" i="175" s="1"/>
  <c r="B38" i="175" s="1"/>
  <c r="F38" i="175" s="1"/>
  <c r="CL15" i="175"/>
  <c r="CL34" i="175"/>
  <c r="CL31" i="175"/>
  <c r="CM3" i="175" a="1"/>
  <c r="CM16" i="175" s="1"/>
  <c r="CN1" i="175"/>
  <c r="CM15" i="175" l="1"/>
  <c r="CM9" i="175"/>
  <c r="CM12" i="175"/>
  <c r="CM7" i="175"/>
  <c r="CM48" i="175"/>
  <c r="CM11" i="175"/>
  <c r="CM4" i="175"/>
  <c r="CM27" i="175"/>
  <c r="CM41" i="175"/>
  <c r="CM32" i="175"/>
  <c r="CM24" i="175"/>
  <c r="CM10" i="175"/>
  <c r="CM22" i="175"/>
  <c r="CM34" i="175"/>
  <c r="CM37" i="175"/>
  <c r="CM17" i="175"/>
  <c r="CM35" i="175"/>
  <c r="CM23" i="175"/>
  <c r="CM47" i="175"/>
  <c r="CM5" i="175"/>
  <c r="CM26" i="175"/>
  <c r="CM40" i="175"/>
  <c r="AK40" i="175" s="1"/>
  <c r="AL40" i="175" s="1"/>
  <c r="AS40" i="175" s="1"/>
  <c r="B39" i="175" s="1"/>
  <c r="AT40" i="175" s="1"/>
  <c r="CM33" i="175"/>
  <c r="CM39" i="175"/>
  <c r="CM6" i="175"/>
  <c r="CM19" i="175"/>
  <c r="CM36" i="175"/>
  <c r="CM43" i="175"/>
  <c r="CM8" i="175"/>
  <c r="CM38" i="175"/>
  <c r="CM13" i="175"/>
  <c r="CM3" i="175"/>
  <c r="CM21" i="175"/>
  <c r="CM20" i="175"/>
  <c r="CM29" i="175"/>
  <c r="CM42" i="175"/>
  <c r="CM28" i="175"/>
  <c r="CM30" i="175"/>
  <c r="CM46" i="175"/>
  <c r="CM45" i="175"/>
  <c r="AT39" i="175"/>
  <c r="CM18" i="175"/>
  <c r="CM25" i="175"/>
  <c r="CM14" i="175"/>
  <c r="CM31" i="175"/>
  <c r="CM44" i="175"/>
  <c r="CN3" i="175" a="1"/>
  <c r="CN28" i="175" s="1"/>
  <c r="CO1" i="175"/>
  <c r="CN36" i="175" l="1"/>
  <c r="F39" i="175"/>
  <c r="CN11" i="175"/>
  <c r="CN40" i="175"/>
  <c r="CN34" i="175"/>
  <c r="CN33" i="175"/>
  <c r="CN8" i="175"/>
  <c r="CN15" i="175"/>
  <c r="CN29" i="175"/>
  <c r="CN5" i="175"/>
  <c r="CN27" i="175"/>
  <c r="CN46" i="175"/>
  <c r="CN24" i="175"/>
  <c r="CN44" i="175"/>
  <c r="CN10" i="175"/>
  <c r="CN39" i="175"/>
  <c r="CN45" i="175"/>
  <c r="CN32" i="175"/>
  <c r="CN17" i="175"/>
  <c r="CN6" i="175"/>
  <c r="CN7" i="175"/>
  <c r="CN35" i="175"/>
  <c r="CN19" i="175"/>
  <c r="CN22" i="175"/>
  <c r="CN3" i="175"/>
  <c r="CN48" i="175"/>
  <c r="CN26" i="175"/>
  <c r="CN43" i="175"/>
  <c r="CN4" i="175"/>
  <c r="CN16" i="175"/>
  <c r="CN18" i="175"/>
  <c r="CN47" i="175"/>
  <c r="CN37" i="175"/>
  <c r="CN31" i="175"/>
  <c r="CN25" i="175"/>
  <c r="CN42" i="175"/>
  <c r="CN9" i="175"/>
  <c r="CN12" i="175"/>
  <c r="CN14" i="175"/>
  <c r="CN13" i="175"/>
  <c r="CN23" i="175"/>
  <c r="CN20" i="175"/>
  <c r="CN41" i="175"/>
  <c r="AK41" i="175" s="1"/>
  <c r="AL41" i="175" s="1"/>
  <c r="AS41" i="175" s="1"/>
  <c r="B40" i="175" s="1"/>
  <c r="F40" i="175" s="1"/>
  <c r="CN30" i="175"/>
  <c r="CN21" i="175"/>
  <c r="CN38" i="175"/>
  <c r="CO3" i="175" a="1"/>
  <c r="CO17" i="175" s="1"/>
  <c r="CP1" i="175"/>
  <c r="CO38" i="175" l="1"/>
  <c r="CO14" i="175"/>
  <c r="CO3" i="175"/>
  <c r="CO34" i="175"/>
  <c r="CO32" i="175"/>
  <c r="CO16" i="175"/>
  <c r="CO9" i="175"/>
  <c r="CO37" i="175"/>
  <c r="CO25" i="175"/>
  <c r="CO21" i="175"/>
  <c r="CO42" i="175"/>
  <c r="AK42" i="175" s="1"/>
  <c r="AL42" i="175" s="1"/>
  <c r="AS42" i="175" s="1"/>
  <c r="B41" i="175" s="1"/>
  <c r="F41" i="175" s="1"/>
  <c r="CO11" i="175"/>
  <c r="CO10" i="175"/>
  <c r="CO7" i="175"/>
  <c r="CO13" i="175"/>
  <c r="CO40" i="175"/>
  <c r="CO44" i="175"/>
  <c r="CO15" i="175"/>
  <c r="CO5" i="175"/>
  <c r="CO20" i="175"/>
  <c r="CO29" i="175"/>
  <c r="CO4" i="175"/>
  <c r="CO27" i="175"/>
  <c r="AT41" i="175"/>
  <c r="CO12" i="175"/>
  <c r="CO39" i="175"/>
  <c r="CO26" i="175"/>
  <c r="CO43" i="175"/>
  <c r="CO6" i="175"/>
  <c r="CO41" i="175"/>
  <c r="CO46" i="175"/>
  <c r="CO22" i="175"/>
  <c r="CO47" i="175"/>
  <c r="CO45" i="175"/>
  <c r="CO18" i="175"/>
  <c r="CO33" i="175"/>
  <c r="CO8" i="175"/>
  <c r="CO31" i="175"/>
  <c r="CO36" i="175"/>
  <c r="CO48" i="175"/>
  <c r="CO28" i="175"/>
  <c r="CO23" i="175"/>
  <c r="CO30" i="175"/>
  <c r="CO35" i="175"/>
  <c r="CO24" i="175"/>
  <c r="CO19" i="175"/>
  <c r="CP3" i="175" a="1"/>
  <c r="CP6" i="175" s="1"/>
  <c r="CQ1" i="175"/>
  <c r="CP33" i="175" l="1"/>
  <c r="AT42" i="175"/>
  <c r="CP7" i="175"/>
  <c r="CP29" i="175"/>
  <c r="CP44" i="175"/>
  <c r="CP5" i="175"/>
  <c r="CP26" i="175"/>
  <c r="CP4" i="175"/>
  <c r="CP13" i="175"/>
  <c r="CP30" i="175"/>
  <c r="CP14" i="175"/>
  <c r="CP37" i="175"/>
  <c r="CP47" i="175"/>
  <c r="CP12" i="175"/>
  <c r="CP10" i="175"/>
  <c r="CP23" i="175"/>
  <c r="CP41" i="175"/>
  <c r="CP18" i="175"/>
  <c r="CP39" i="175"/>
  <c r="CP25" i="175"/>
  <c r="CP8" i="175"/>
  <c r="CP45" i="175"/>
  <c r="CP42" i="175"/>
  <c r="CP19" i="175"/>
  <c r="CP36" i="175"/>
  <c r="CP9" i="175"/>
  <c r="CP27" i="175"/>
  <c r="CP3" i="175"/>
  <c r="CP11" i="175"/>
  <c r="CP22" i="175"/>
  <c r="CP40" i="175"/>
  <c r="CP15" i="175"/>
  <c r="CP38" i="175"/>
  <c r="CP24" i="175"/>
  <c r="CP16" i="175"/>
  <c r="CP17" i="175"/>
  <c r="CP28" i="175"/>
  <c r="CP31" i="175"/>
  <c r="CP34" i="175"/>
  <c r="CP20" i="175"/>
  <c r="CP46" i="175"/>
  <c r="CP32" i="175"/>
  <c r="CP35" i="175"/>
  <c r="CP43" i="175"/>
  <c r="AK43" i="175" s="1"/>
  <c r="AL43" i="175" s="1"/>
  <c r="AS43" i="175" s="1"/>
  <c r="B42" i="175" s="1"/>
  <c r="F42" i="175" s="1"/>
  <c r="CP21" i="175"/>
  <c r="CP48" i="175"/>
  <c r="CQ3" i="175" a="1"/>
  <c r="CQ45" i="175" s="1"/>
  <c r="CR1" i="175"/>
  <c r="CQ33" i="175" l="1"/>
  <c r="CQ24" i="175"/>
  <c r="CQ9" i="175"/>
  <c r="CQ28" i="175"/>
  <c r="CQ13" i="175"/>
  <c r="CQ48" i="175"/>
  <c r="CQ36" i="175"/>
  <c r="AT43" i="175"/>
  <c r="CQ43" i="175"/>
  <c r="CQ37" i="175"/>
  <c r="CQ27" i="175"/>
  <c r="CQ4" i="175"/>
  <c r="CQ38" i="175"/>
  <c r="CQ39" i="175"/>
  <c r="CQ41" i="175"/>
  <c r="CQ12" i="175"/>
  <c r="CQ17" i="175"/>
  <c r="CQ14" i="175"/>
  <c r="CQ31" i="175"/>
  <c r="CQ19" i="175"/>
  <c r="CQ5" i="175"/>
  <c r="CQ7" i="175"/>
  <c r="CQ46" i="175"/>
  <c r="CQ47" i="175"/>
  <c r="CQ35" i="175"/>
  <c r="CQ23" i="175"/>
  <c r="CQ30" i="175"/>
  <c r="CQ6" i="175"/>
  <c r="CQ25" i="175"/>
  <c r="CQ42" i="175"/>
  <c r="CQ10" i="175"/>
  <c r="CQ3" i="175"/>
  <c r="CQ34" i="175"/>
  <c r="CQ29" i="175"/>
  <c r="CQ8" i="175"/>
  <c r="CQ18" i="175"/>
  <c r="CQ11" i="175"/>
  <c r="CQ20" i="175"/>
  <c r="CQ26" i="175"/>
  <c r="CQ21" i="175"/>
  <c r="CQ40" i="175"/>
  <c r="CQ15" i="175"/>
  <c r="CQ22" i="175"/>
  <c r="CQ32" i="175"/>
  <c r="CQ16" i="175"/>
  <c r="CQ44" i="175"/>
  <c r="AK44" i="175" s="1"/>
  <c r="AL44" i="175" s="1"/>
  <c r="AS44" i="175" s="1"/>
  <c r="B43" i="175" s="1"/>
  <c r="F43" i="175" s="1"/>
  <c r="F49" i="175" s="1"/>
  <c r="CR3" i="175" a="1"/>
  <c r="CR13" i="175" s="1"/>
  <c r="CS1" i="175"/>
  <c r="CR48" i="175" l="1"/>
  <c r="CR6" i="175"/>
  <c r="CR24" i="175"/>
  <c r="CR36" i="175"/>
  <c r="CR16" i="175"/>
  <c r="CR21" i="175"/>
  <c r="CR3" i="175"/>
  <c r="CR5" i="175"/>
  <c r="CR42" i="175"/>
  <c r="CR14" i="175"/>
  <c r="CR10" i="175"/>
  <c r="CR37" i="175"/>
  <c r="CR33" i="175"/>
  <c r="CR46" i="175"/>
  <c r="CR9" i="175"/>
  <c r="CR31" i="175"/>
  <c r="CR17" i="175"/>
  <c r="CR39" i="175"/>
  <c r="CR19" i="175"/>
  <c r="CR47" i="175"/>
  <c r="CR34" i="175"/>
  <c r="CR23" i="175"/>
  <c r="CR32" i="175"/>
  <c r="CR38" i="175"/>
  <c r="CR44" i="175"/>
  <c r="CR4" i="175"/>
  <c r="CR25" i="175"/>
  <c r="CR11" i="175"/>
  <c r="CR29" i="175"/>
  <c r="CR27" i="175"/>
  <c r="CR15" i="175"/>
  <c r="CR40" i="175"/>
  <c r="CR28" i="175"/>
  <c r="CR26" i="175"/>
  <c r="CR35" i="175"/>
  <c r="CR22" i="175"/>
  <c r="CR7" i="175"/>
  <c r="CR45" i="175"/>
  <c r="AK45" i="175" s="1"/>
  <c r="AL45" i="175" s="1"/>
  <c r="AS45" i="175" s="1"/>
  <c r="B44" i="175" s="1"/>
  <c r="F44" i="175" s="1"/>
  <c r="CR41" i="175"/>
  <c r="CR30" i="175"/>
  <c r="AT44" i="175"/>
  <c r="CR20" i="175"/>
  <c r="CR12" i="175"/>
  <c r="CR8" i="175"/>
  <c r="CR18" i="175"/>
  <c r="CR43" i="175"/>
  <c r="CS3" i="175" a="1"/>
  <c r="CS43" i="175" s="1"/>
  <c r="CT1" i="175"/>
  <c r="CS11" i="175" l="1"/>
  <c r="CS21" i="175"/>
  <c r="CS15" i="175"/>
  <c r="CS42" i="175"/>
  <c r="CS20" i="175"/>
  <c r="CS8" i="175"/>
  <c r="CS10" i="175"/>
  <c r="CS32" i="175"/>
  <c r="CS27" i="175"/>
  <c r="CS22" i="175"/>
  <c r="CS33" i="175"/>
  <c r="CS9" i="175"/>
  <c r="CS17" i="175"/>
  <c r="CS35" i="175"/>
  <c r="CS36" i="175"/>
  <c r="CS41" i="175"/>
  <c r="CS40" i="175"/>
  <c r="CS34" i="175"/>
  <c r="AT45" i="175"/>
  <c r="CS26" i="175"/>
  <c r="CS47" i="175"/>
  <c r="CS12" i="175"/>
  <c r="CS7" i="175"/>
  <c r="CS28" i="175"/>
  <c r="CS24" i="175"/>
  <c r="CS3" i="175"/>
  <c r="CS5" i="175"/>
  <c r="CS48" i="175"/>
  <c r="CS38" i="175"/>
  <c r="CS23" i="175"/>
  <c r="CS6" i="175"/>
  <c r="CS39" i="175"/>
  <c r="CS29" i="175"/>
  <c r="CS37" i="175"/>
  <c r="CS13" i="175"/>
  <c r="CS30" i="175"/>
  <c r="CS46" i="175"/>
  <c r="AK46" i="175" s="1"/>
  <c r="AL46" i="175" s="1"/>
  <c r="AS46" i="175" s="1"/>
  <c r="B45" i="175" s="1"/>
  <c r="AT46" i="175" s="1"/>
  <c r="CS4" i="175"/>
  <c r="CS19" i="175"/>
  <c r="CS18" i="175"/>
  <c r="CS25" i="175"/>
  <c r="CS14" i="175"/>
  <c r="CS44" i="175"/>
  <c r="CS31" i="175"/>
  <c r="CS16" i="175"/>
  <c r="CS45" i="175"/>
  <c r="CT3" i="175" a="1"/>
  <c r="CT28" i="175" s="1"/>
  <c r="CU1" i="175"/>
  <c r="CT20" i="175" l="1"/>
  <c r="CT48" i="175"/>
  <c r="CT31" i="175"/>
  <c r="CT10" i="175"/>
  <c r="CT47" i="175"/>
  <c r="AK47" i="175" s="1"/>
  <c r="AL47" i="175" s="1"/>
  <c r="AS47" i="175" s="1"/>
  <c r="B46" i="175" s="1"/>
  <c r="F46" i="175" s="1"/>
  <c r="CT46" i="175"/>
  <c r="CT7" i="175"/>
  <c r="CT18" i="175"/>
  <c r="CT38" i="175"/>
  <c r="CT6" i="175"/>
  <c r="CT37" i="175"/>
  <c r="CT19" i="175"/>
  <c r="CT21" i="175"/>
  <c r="CT32" i="175"/>
  <c r="CT42" i="175"/>
  <c r="CT23" i="175"/>
  <c r="CT30" i="175"/>
  <c r="CT11" i="175"/>
  <c r="CT4" i="175"/>
  <c r="CT27" i="175"/>
  <c r="CT17" i="175"/>
  <c r="CT15" i="175"/>
  <c r="CT9" i="175"/>
  <c r="CT33" i="175"/>
  <c r="CT14" i="175"/>
  <c r="CT35" i="175"/>
  <c r="CT29" i="175"/>
  <c r="CT34" i="175"/>
  <c r="CT44" i="175"/>
  <c r="CT25" i="175"/>
  <c r="F45" i="175"/>
  <c r="CT8" i="175"/>
  <c r="CT22" i="175"/>
  <c r="CT45" i="175"/>
  <c r="CT3" i="175"/>
  <c r="CT24" i="175"/>
  <c r="CT12" i="175"/>
  <c r="CT26" i="175"/>
  <c r="CT5" i="175"/>
  <c r="CT39" i="175"/>
  <c r="CT41" i="175"/>
  <c r="CT13" i="175"/>
  <c r="CT16" i="175"/>
  <c r="CT36" i="175"/>
  <c r="CT43" i="175"/>
  <c r="CT40" i="175"/>
  <c r="CU3" i="175" a="1"/>
  <c r="CU8" i="175" s="1"/>
  <c r="CU48" i="175" l="1"/>
  <c r="AK48" i="175" s="1"/>
  <c r="AL48" i="175" s="1"/>
  <c r="AS48" i="175" s="1"/>
  <c r="B47" i="175" s="1"/>
  <c r="F47" i="175" s="1"/>
  <c r="CU15" i="175"/>
  <c r="CU31" i="175"/>
  <c r="CU46" i="175"/>
  <c r="CU7" i="175"/>
  <c r="CU16" i="175"/>
  <c r="CU26" i="175"/>
  <c r="CU38" i="175"/>
  <c r="CU23" i="175"/>
  <c r="CU29" i="175"/>
  <c r="CU4" i="175"/>
  <c r="CU27" i="175"/>
  <c r="CU28" i="175"/>
  <c r="CU39" i="175"/>
  <c r="CU22" i="175"/>
  <c r="CU43" i="175"/>
  <c r="CU40" i="175"/>
  <c r="CU14" i="175"/>
  <c r="CU20" i="175"/>
  <c r="CU34" i="175"/>
  <c r="CU45" i="175"/>
  <c r="CU3" i="175"/>
  <c r="CU10" i="175"/>
  <c r="CU5" i="175"/>
  <c r="CU44" i="175"/>
  <c r="CU47" i="175"/>
  <c r="CU11" i="175"/>
  <c r="CU36" i="175"/>
  <c r="CU30" i="175"/>
  <c r="AT47" i="175"/>
  <c r="CU25" i="175"/>
  <c r="CU19" i="175"/>
  <c r="CU17" i="175"/>
  <c r="CU42" i="175"/>
  <c r="CU37" i="175"/>
  <c r="CU24" i="175"/>
  <c r="CU6" i="175"/>
  <c r="CU12" i="175"/>
  <c r="CU9" i="175"/>
  <c r="CU13" i="175"/>
  <c r="CU21" i="175"/>
  <c r="CU35" i="175"/>
  <c r="CU18" i="175"/>
  <c r="CU32" i="175"/>
  <c r="CU33" i="175"/>
  <c r="CU41" i="175"/>
  <c r="AT48" i="175" l="1"/>
  <c r="B49" i="1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G51" authorId="0" shapeId="0" xr:uid="{A4A0920C-16B8-41D6-9026-80C0F9F4D7AA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this is technically a level, not a rate, but base rates are typically low so this implicitly assumes 0% base rate</t>
        </r>
      </text>
    </comment>
    <comment ref="H51" authorId="0" shapeId="0" xr:uid="{2D7D9640-1606-474C-90FB-BEF2B92E6CE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this is technically a level, not a rate, but base rates are typically low so this implicitly assumes 0% base rate</t>
        </r>
      </text>
    </comment>
    <comment ref="G53" authorId="0" shapeId="0" xr:uid="{773896B4-A23C-4132-BDB7-E544F80254F4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this is technically a level, not a rate, but base rates are typically low so this implicitly assumes 0% base rate</t>
        </r>
      </text>
    </comment>
    <comment ref="H53" authorId="0" shapeId="0" xr:uid="{5AE765F2-9F41-429F-937B-3DA4EC476AC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this is technically a level, not a rate, but base rates are typically low so this implicitly assumes 0% base rate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1DBD50-66D1-43A7-A505-FA5CA033E8BD}" keepAlive="1" name="Query - HTML Code" description="Connection to the 'HTML Code' query in the workbook." type="5" refreshedVersion="0" background="1">
    <dbPr connection="Provider=Microsoft.Mashup.OleDb.1;Data Source=$Workbook$;Location=&quot;HTML Code&quot;;Extended Properties=&quot;&quot;" command="SELECT * FROM [HTML Code]"/>
  </connection>
  <connection id="2" xr16:uid="{6AD36893-63A3-472A-BBD5-7A79AEABBCF0}" keepAlive="1" name="Query - Table 1" description="Connection to the 'Table 1' query in the workbook." type="5" refreshedVersion="0" background="1">
    <dbPr connection="Provider=Microsoft.Mashup.OleDb.1;Data Source=$Workbook$;Location=&quot;Table 1&quot;;Extended Properties=&quot;&quot;" command="SELECT * FROM [Table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<sst xmlns="http://schemas.openxmlformats.org/spreadsheetml/2006/main" count="12675" uniqueCount="3785">
  <si>
    <t>Effective Rate</t>
  </si>
  <si>
    <t>Pre-Sub</t>
  </si>
  <si>
    <t>Increase</t>
  </si>
  <si>
    <t>All In</t>
  </si>
  <si>
    <t>Post-Sub</t>
  </si>
  <si>
    <t>Prices</t>
  </si>
  <si>
    <t>Cost</t>
  </si>
  <si>
    <t>Revenue</t>
  </si>
  <si>
    <t>Conventional</t>
  </si>
  <si>
    <t>Dynamic</t>
  </si>
  <si>
    <t>Macro</t>
  </si>
  <si>
    <t>2025 Q4-Q4</t>
  </si>
  <si>
    <t>2026 Q4-Q4</t>
  </si>
  <si>
    <t>U rate 2025 Q4</t>
  </si>
  <si>
    <t>U rate 2026 Q4</t>
  </si>
  <si>
    <t>Payroll 2025 Q4</t>
  </si>
  <si>
    <t>Payroll 2026 Q4</t>
  </si>
  <si>
    <t>Long Run GDP</t>
  </si>
  <si>
    <t>2024 equiv</t>
  </si>
  <si>
    <t>Sector</t>
  </si>
  <si>
    <t>Agriculture</t>
  </si>
  <si>
    <t>Mining &amp; Extraction</t>
  </si>
  <si>
    <t>Total Manufacturing</t>
  </si>
  <si>
    <t>Durable Manufacturing</t>
  </si>
  <si>
    <t>Advanced Manufacturing</t>
  </si>
  <si>
    <t>Nondurable Manufacturing</t>
  </si>
  <si>
    <t>Utilities</t>
  </si>
  <si>
    <t>Construction</t>
  </si>
  <si>
    <t>Services</t>
  </si>
  <si>
    <t>Overall Real GDP</t>
  </si>
  <si>
    <t>Global</t>
  </si>
  <si>
    <t>USA</t>
  </si>
  <si>
    <t>China</t>
  </si>
  <si>
    <t>ROW</t>
  </si>
  <si>
    <t>Canada</t>
  </si>
  <si>
    <t>Mexico</t>
  </si>
  <si>
    <t>FTROW</t>
  </si>
  <si>
    <t>Japan</t>
  </si>
  <si>
    <t>EU</t>
  </si>
  <si>
    <t>UK</t>
  </si>
  <si>
    <t>Commodity prices</t>
  </si>
  <si>
    <t>Food</t>
  </si>
  <si>
    <t>SR</t>
  </si>
  <si>
    <t>LR</t>
  </si>
  <si>
    <t>Change in Average Effective US Tariff Rate due to New 2025 Policy Through November 17</t>
  </si>
  <si>
    <t xml:space="preserve">Pre- and post-substitution </t>
  </si>
  <si>
    <t>Average Effective Tariff Rate</t>
  </si>
  <si>
    <t>Share of Goods Imports</t>
  </si>
  <si>
    <t>Contribution</t>
  </si>
  <si>
    <t>Pre-Substitution</t>
  </si>
  <si>
    <t>Post-Substitution</t>
  </si>
  <si>
    <t>Rest of World</t>
  </si>
  <si>
    <t>Total</t>
  </si>
  <si>
    <t>Source: GTAP v7, The Budget Lab analysis.</t>
  </si>
  <si>
    <t>Table Ee424-430.  Merchandise imports and duties: 1790-2000 \1</t>
  </si>
  <si>
    <t xml:space="preserve">Year </t>
  </si>
  <si>
    <t xml:space="preserve">Imports </t>
  </si>
  <si>
    <t xml:space="preserve">Duties calculated </t>
  </si>
  <si>
    <t xml:space="preserve">Total </t>
  </si>
  <si>
    <t xml:space="preserve">For consumption </t>
  </si>
  <si>
    <t xml:space="preserve">As a percentage of </t>
  </si>
  <si>
    <t xml:space="preserve">Free </t>
  </si>
  <si>
    <t xml:space="preserve">Dutiable </t>
  </si>
  <si>
    <t xml:space="preserve">Total imports </t>
  </si>
  <si>
    <t xml:space="preserve">Dutiable imports </t>
  </si>
  <si>
    <t xml:space="preserve">Ee424 </t>
  </si>
  <si>
    <t xml:space="preserve">Ee425 </t>
  </si>
  <si>
    <t xml:space="preserve">Ee426 </t>
  </si>
  <si>
    <t xml:space="preserve">Ee427 </t>
  </si>
  <si>
    <t xml:space="preserve">Ee428 </t>
  </si>
  <si>
    <t xml:space="preserve">Ee429 </t>
  </si>
  <si>
    <t xml:space="preserve">Ee430 </t>
  </si>
  <si>
    <t>Million dollars</t>
  </si>
  <si>
    <t>Percent</t>
  </si>
  <si>
    <t>1790</t>
  </si>
  <si>
    <t/>
  </si>
  <si>
    <t>----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</si>
  <si>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</si>
  <si>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</si>
  <si>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</si>
  <si>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</si>
  <si>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</si>
  <si>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</si>
  <si>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</si>
  <si>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</si>
  <si>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</si>
  <si>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</si>
  <si>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</si>
  <si>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</si>
  <si>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</si>
  <si>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</si>
  <si>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</si>
  <si>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</si>
  <si>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</si>
  <si>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</si>
  <si>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</si>
  <si>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</si>
  <si>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</si>
  <si>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</si>
  <si>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</si>
  <si>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</si>
  <si>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</si>
  <si>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</si>
  <si>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</si>
  <si>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</si>
  <si>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</si>
  <si>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</si>
  <si>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</si>
  <si>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</si>
  <si>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</si>
  <si>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</si>
  <si>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</si>
  <si>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</si>
  <si>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</si>
  <si>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</si>
  <si>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</si>
  <si>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</si>
  <si>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</si>
  <si>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</si>
  <si>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</si>
  <si>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</si>
  <si>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</si>
  <si>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</si>
  <si>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</si>
  <si>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</si>
  <si>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</si>
  <si>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</si>
  <si>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</si>
  <si>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</si>
  <si>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</si>
  <si>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\2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</si>
  <si>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</si>
  <si>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</si>
  <si>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</si>
  <si>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</si>
  <si>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</si>
  <si>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</si>
  <si>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</si>
  <si>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</si>
  <si>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</si>
  <si>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</si>
  <si>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</si>
  <si>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</si>
  <si>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</si>
  <si>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</si>
  <si>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</si>
  <si>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</si>
  <si>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</si>
  <si>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</si>
  <si>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</si>
  <si>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</si>
  <si>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</si>
  <si>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</si>
  <si>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</si>
  <si>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</si>
  <si>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</si>
  <si>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</si>
  <si>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</si>
  <si>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</si>
  <si>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</si>
  <si>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</si>
  <si>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</si>
  <si>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</si>
  <si>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</si>
  <si>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</si>
  <si>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</si>
  <si>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</si>
  <si>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</si>
  <si>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</si>
  <si>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</si>
  <si>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</si>
  <si>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</si>
  <si>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</si>
  <si>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</si>
  <si>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</si>
  <si>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</si>
  <si>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</si>
  <si>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</si>
  <si>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</si>
  <si>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</si>
  <si>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</si>
  <si>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</si>
  <si>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</si>
  <si>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</si>
  <si>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</si>
  <si>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</si>
  <si>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</si>
  <si>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</si>
  <si>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</si>
  <si>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</si>
  <si>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</si>
  <si>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</si>
  <si>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</si>
  <si>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</si>
  <si>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</si>
  <si>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</si>
  <si>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</si>
  <si>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\3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</si>
  <si>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</si>
  <si>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</si>
  <si>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</si>
  <si>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</si>
  <si>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</si>
  <si>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</si>
  <si>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</si>
  <si>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</si>
  <si>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</si>
  <si>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</si>
  <si>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</si>
  <si>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</si>
  <si>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</si>
  <si>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</si>
  <si>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</si>
  <si>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</si>
  <si>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</si>
  <si>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</si>
  <si>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</si>
  <si>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</si>
  <si>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</si>
  <si>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</si>
  <si>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</si>
  <si>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</si>
  <si>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</si>
  <si>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</si>
  <si>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</si>
  <si>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</si>
  <si>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</si>
  <si>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</si>
  <si>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</si>
  <si>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</si>
  <si>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</si>
  <si>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</si>
  <si>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</si>
  <si>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</si>
  <si>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</si>
  <si>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</si>
  <si>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</si>
  <si>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</si>
  <si>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</si>
  <si>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</si>
  <si>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</si>
  <si>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</si>
  <si>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</si>
  <si>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</si>
  <si>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</si>
  <si>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</si>
  <si>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</si>
  <si>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</si>
  <si>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</si>
  <si>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</si>
  <si>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</si>
  <si>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</si>
  <si>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</si>
  <si>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</si>
  <si>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</si>
  <si>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</si>
  <si>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</si>
  <si>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</si>
  <si>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</si>
  <si>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</si>
  <si>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</si>
  <si>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</si>
  <si>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</si>
  <si>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</si>
  <si>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</si>
  <si>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</si>
  <si>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</si>
  <si>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</si>
  <si>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</si>
  <si>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</si>
  <si>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</si>
  <si>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</si>
  <si>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</si>
  <si>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</si>
  <si>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</si>
  <si>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</si>
  <si>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</si>
  <si>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</si>
  <si>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</si>
  <si>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</si>
  <si>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</si>
  <si>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</si>
  <si>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</si>
  <si>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</si>
  <si>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</si>
  <si>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</si>
  <si>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</si>
  <si>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</si>
  <si>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</si>
  <si>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Footnotes</t>
  </si>
  <si>
    <t xml:space="preserve">1.  Year-ending date varies over time.  See text. </t>
  </si>
  <si>
    <t xml:space="preserve">2.  Period beginning October 1, 1842, and ending June 30, 1843. </t>
  </si>
  <si>
    <t xml:space="preserve">3.  Agrees with source; however, figures for components do not add to imports total shown. </t>
  </si>
  <si>
    <t>Annotation</t>
  </si>
  <si>
    <t>10% Broad China</t>
  </si>
  <si>
    <t>20% China, 25% Can/Mex</t>
  </si>
  <si>
    <t>+ 25% Steel &amp; Aluminum</t>
  </si>
  <si>
    <t>+ April 2, 25% Automobile</t>
  </si>
  <si>
    <t>April 9 revision</t>
  </si>
  <si>
    <t>April 13 Semiconductor clarification</t>
  </si>
  <si>
    <t>UK Deal + China Pause</t>
  </si>
  <si>
    <t>EU Tariff</t>
  </si>
  <si>
    <t>EU Tariff Off</t>
  </si>
  <si>
    <t>USCIT decision</t>
  </si>
  <si>
    <t>USCIT decision stayed</t>
  </si>
  <si>
    <t>50% Steel &amp; Aluminum</t>
  </si>
  <si>
    <t>Reported</t>
  </si>
  <si>
    <t>Adjusted</t>
  </si>
  <si>
    <t>x`</t>
  </si>
  <si>
    <t>BASELINE</t>
  </si>
  <si>
    <t>SHOCK</t>
  </si>
  <si>
    <t>NEW MAUS LEVELS</t>
  </si>
  <si>
    <t>All 2025</t>
  </si>
  <si>
    <t>GDP</t>
  </si>
  <si>
    <t>PC</t>
  </si>
  <si>
    <t>LEB</t>
  </si>
  <si>
    <t>LURC</t>
  </si>
  <si>
    <t>RFF</t>
  </si>
  <si>
    <t>VIX</t>
  </si>
  <si>
    <t>UTFIBC</t>
  </si>
  <si>
    <t>UTFIBC Delta</t>
  </si>
  <si>
    <t>New TBL GDP</t>
  </si>
  <si>
    <t>DIFFERENCE IN 4Q GROWTH</t>
  </si>
  <si>
    <t>DIFFERENCE IN FY GROWTH</t>
  </si>
  <si>
    <t>FOR CBO:</t>
  </si>
  <si>
    <t>CM01</t>
  </si>
  <si>
    <t>OUTDISP</t>
  </si>
  <si>
    <t>Intermediate Output</t>
  </si>
  <si>
    <t>DURABLES</t>
  </si>
  <si>
    <t>NONDURABLES</t>
  </si>
  <si>
    <t>qva</t>
  </si>
  <si>
    <t>1 pdr</t>
  </si>
  <si>
    <t>Paddy rice</t>
  </si>
  <si>
    <t>pdr</t>
  </si>
  <si>
    <t>2 wht</t>
  </si>
  <si>
    <t>Wheat</t>
  </si>
  <si>
    <t>wht</t>
  </si>
  <si>
    <t>3 gro</t>
  </si>
  <si>
    <t>Cereal grains nec</t>
  </si>
  <si>
    <t>gro</t>
  </si>
  <si>
    <t>4 v_f</t>
  </si>
  <si>
    <t>Vegetables, fruit, nuts</t>
  </si>
  <si>
    <t>v_f</t>
  </si>
  <si>
    <t>5 osd</t>
  </si>
  <si>
    <t>Oil seeds</t>
  </si>
  <si>
    <t>osd</t>
  </si>
  <si>
    <t>6 c_b</t>
  </si>
  <si>
    <t>Sugar cane, sugar beet</t>
  </si>
  <si>
    <t>c_b</t>
  </si>
  <si>
    <t>7 pfb</t>
  </si>
  <si>
    <t>Plant-based fibers</t>
  </si>
  <si>
    <t>pfb</t>
  </si>
  <si>
    <t>8 ocr</t>
  </si>
  <si>
    <t>Crops nec</t>
  </si>
  <si>
    <t>ocr</t>
  </si>
  <si>
    <t>9 ctl</t>
  </si>
  <si>
    <t>Bovine cattle, sheep and goats</t>
  </si>
  <si>
    <t>ctl</t>
  </si>
  <si>
    <t>10 oap</t>
  </si>
  <si>
    <t>Animal products nec</t>
  </si>
  <si>
    <t>oap</t>
  </si>
  <si>
    <t>11 rmk</t>
  </si>
  <si>
    <t>Raw milk</t>
  </si>
  <si>
    <t>rmk</t>
  </si>
  <si>
    <t>12 wol</t>
  </si>
  <si>
    <t>Wool, silk-worm cocoons</t>
  </si>
  <si>
    <t>wol</t>
  </si>
  <si>
    <t>13 frs</t>
  </si>
  <si>
    <t>Forestry</t>
  </si>
  <si>
    <t>frs</t>
  </si>
  <si>
    <t>14 fsh</t>
  </si>
  <si>
    <t>Fishing</t>
  </si>
  <si>
    <t>fsh</t>
  </si>
  <si>
    <t>15 coa</t>
  </si>
  <si>
    <t>Coal</t>
  </si>
  <si>
    <t>coa</t>
  </si>
  <si>
    <t>16 oil</t>
  </si>
  <si>
    <t>Oil</t>
  </si>
  <si>
    <t>oil</t>
  </si>
  <si>
    <t>17 gas</t>
  </si>
  <si>
    <t>Gas</t>
  </si>
  <si>
    <t>gas</t>
  </si>
  <si>
    <t>18 oxt</t>
  </si>
  <si>
    <t>Minerals nec</t>
  </si>
  <si>
    <t>oxt</t>
  </si>
  <si>
    <t>19 cmt</t>
  </si>
  <si>
    <t>Bovine meat products</t>
  </si>
  <si>
    <t>cmt</t>
  </si>
  <si>
    <t>20 omt</t>
  </si>
  <si>
    <t>Meat products nec</t>
  </si>
  <si>
    <t>omt</t>
  </si>
  <si>
    <t>21 vol</t>
  </si>
  <si>
    <t>Vegetable oils and fats</t>
  </si>
  <si>
    <t>vol</t>
  </si>
  <si>
    <t>22 mil</t>
  </si>
  <si>
    <t>Dairy products</t>
  </si>
  <si>
    <t>mil</t>
  </si>
  <si>
    <t>23 pcr</t>
  </si>
  <si>
    <t>Processed rice</t>
  </si>
  <si>
    <t>pcr</t>
  </si>
  <si>
    <t>24 sgr</t>
  </si>
  <si>
    <t>Sugar</t>
  </si>
  <si>
    <t>sgr</t>
  </si>
  <si>
    <t>25 ofd</t>
  </si>
  <si>
    <t>Food products nec</t>
  </si>
  <si>
    <t>ofd</t>
  </si>
  <si>
    <t>26 b_t</t>
  </si>
  <si>
    <t>Beverages and tobacco products</t>
  </si>
  <si>
    <t>b_t</t>
  </si>
  <si>
    <t>27 tex</t>
  </si>
  <si>
    <t>Textiles</t>
  </si>
  <si>
    <t>tex</t>
  </si>
  <si>
    <t>28 wap</t>
  </si>
  <si>
    <t>Wearing apparel</t>
  </si>
  <si>
    <t>wap</t>
  </si>
  <si>
    <t>29 lea</t>
  </si>
  <si>
    <t>Leather products</t>
  </si>
  <si>
    <t>lea</t>
  </si>
  <si>
    <t>30 lum</t>
  </si>
  <si>
    <t>Wood products</t>
  </si>
  <si>
    <t>lum</t>
  </si>
  <si>
    <t>31 ppp</t>
  </si>
  <si>
    <t>Paper products, publishing</t>
  </si>
  <si>
    <t>ppp</t>
  </si>
  <si>
    <t>32 p_c</t>
  </si>
  <si>
    <t>Petroleum, coal products</t>
  </si>
  <si>
    <t>p_c</t>
  </si>
  <si>
    <t>33 chm</t>
  </si>
  <si>
    <t>Chemical products</t>
  </si>
  <si>
    <t>chm</t>
  </si>
  <si>
    <t>34 bph</t>
  </si>
  <si>
    <t>Basic pharmaceutical products</t>
  </si>
  <si>
    <t>bph</t>
  </si>
  <si>
    <t>35 rpp</t>
  </si>
  <si>
    <t>Rubber and plastic products</t>
  </si>
  <si>
    <t>rpp</t>
  </si>
  <si>
    <t>36 nmm</t>
  </si>
  <si>
    <t>Mineral products nec</t>
  </si>
  <si>
    <t>nmm</t>
  </si>
  <si>
    <t>37 i_s</t>
  </si>
  <si>
    <t>Ferrous metals</t>
  </si>
  <si>
    <t>i_s</t>
  </si>
  <si>
    <t>38 nfm</t>
  </si>
  <si>
    <t>Metals nec</t>
  </si>
  <si>
    <t>nfm</t>
  </si>
  <si>
    <t>39 fmp</t>
  </si>
  <si>
    <t>Metal products</t>
  </si>
  <si>
    <t>fmp</t>
  </si>
  <si>
    <t>40 ele</t>
  </si>
  <si>
    <t>Computer, electronic and optic</t>
  </si>
  <si>
    <t>ele</t>
  </si>
  <si>
    <t>41 eeq</t>
  </si>
  <si>
    <t>Electrical equipment</t>
  </si>
  <si>
    <t>eeq</t>
  </si>
  <si>
    <t>42 ome</t>
  </si>
  <si>
    <t>Machinery and equipment nec</t>
  </si>
  <si>
    <t>ome</t>
  </si>
  <si>
    <t>43 mvh</t>
  </si>
  <si>
    <t>Motor vehicles and parts</t>
  </si>
  <si>
    <t>mvh</t>
  </si>
  <si>
    <t>44 otn</t>
  </si>
  <si>
    <t>Transport equipment nec</t>
  </si>
  <si>
    <t>otn</t>
  </si>
  <si>
    <t>45 omf</t>
  </si>
  <si>
    <t>Manufactures nec</t>
  </si>
  <si>
    <t>omf</t>
  </si>
  <si>
    <t>46 ely</t>
  </si>
  <si>
    <t>Electricity</t>
  </si>
  <si>
    <t>ely</t>
  </si>
  <si>
    <t>47 gdt</t>
  </si>
  <si>
    <t>Gas manufacture, distribution</t>
  </si>
  <si>
    <t>gdt</t>
  </si>
  <si>
    <t>48 wtr</t>
  </si>
  <si>
    <t>Water</t>
  </si>
  <si>
    <t>wtr</t>
  </si>
  <si>
    <t>49 cns</t>
  </si>
  <si>
    <t>cns</t>
  </si>
  <si>
    <t>50 trd</t>
  </si>
  <si>
    <t>Trade</t>
  </si>
  <si>
    <t>trd</t>
  </si>
  <si>
    <t>51 afs</t>
  </si>
  <si>
    <t>Accommodation, Food and servic</t>
  </si>
  <si>
    <t>afs</t>
  </si>
  <si>
    <t>52 otp</t>
  </si>
  <si>
    <t>Transport nec</t>
  </si>
  <si>
    <t>otp</t>
  </si>
  <si>
    <t>53 wtp</t>
  </si>
  <si>
    <t>Water transport</t>
  </si>
  <si>
    <t>wtp</t>
  </si>
  <si>
    <t>54 atp</t>
  </si>
  <si>
    <t>Air transport</t>
  </si>
  <si>
    <t>atp</t>
  </si>
  <si>
    <t>55 whs</t>
  </si>
  <si>
    <t>Warehousing and support activi</t>
  </si>
  <si>
    <t>whs</t>
  </si>
  <si>
    <t>56 cmn</t>
  </si>
  <si>
    <t>Communication</t>
  </si>
  <si>
    <t>cmn</t>
  </si>
  <si>
    <t>57 ofi</t>
  </si>
  <si>
    <t>Financial services nec</t>
  </si>
  <si>
    <t>ofi</t>
  </si>
  <si>
    <t>58 ins</t>
  </si>
  <si>
    <t>Insurance</t>
  </si>
  <si>
    <t>ins</t>
  </si>
  <si>
    <t>59 rsa</t>
  </si>
  <si>
    <t>Real estate activities</t>
  </si>
  <si>
    <t>rsa</t>
  </si>
  <si>
    <t>60 obs</t>
  </si>
  <si>
    <t>Business services nec</t>
  </si>
  <si>
    <t>obs</t>
  </si>
  <si>
    <t>61 ros</t>
  </si>
  <si>
    <t>Recreational and other service</t>
  </si>
  <si>
    <t>ros</t>
  </si>
  <si>
    <t>62 osg</t>
  </si>
  <si>
    <t>Public Administration and defe</t>
  </si>
  <si>
    <t>osg</t>
  </si>
  <si>
    <t>63 edu</t>
  </si>
  <si>
    <t>Education</t>
  </si>
  <si>
    <t>edu</t>
  </si>
  <si>
    <t>64 hht</t>
  </si>
  <si>
    <t>Human health and social work a</t>
  </si>
  <si>
    <t>hht</t>
  </si>
  <si>
    <t>65 dwe</t>
  </si>
  <si>
    <t>Dwellings</t>
  </si>
  <si>
    <t>dwe</t>
  </si>
  <si>
    <t>Other</t>
  </si>
  <si>
    <t>cgds</t>
  </si>
  <si>
    <t>April 2 Only</t>
  </si>
  <si>
    <t>All 2025 Tariffs to Date</t>
  </si>
  <si>
    <t>qgdp</t>
  </si>
  <si>
    <t>(Sim)</t>
  </si>
  <si>
    <t xml:space="preserve">Pre  </t>
  </si>
  <si>
    <t xml:space="preserve">Post  </t>
  </si>
  <si>
    <t xml:space="preserve">Ch/%Ch  </t>
  </si>
  <si>
    <t xml:space="preserve">World Total
</t>
  </si>
  <si>
    <t>World Total</t>
  </si>
  <si>
    <t xml:space="preserve">World ex USA
</t>
  </si>
  <si>
    <t>World ex USA</t>
  </si>
  <si>
    <t>Estimated Revenue Effects of All 2025 Tariffs, as of November 17</t>
  </si>
  <si>
    <t>By Fiscal Year</t>
  </si>
  <si>
    <t>Billions of dollars</t>
  </si>
  <si>
    <t>2026-35</t>
  </si>
  <si>
    <t>Dynamic effect</t>
  </si>
  <si>
    <t>* FY2025 reflects actual tariff revenue to date.</t>
  </si>
  <si>
    <t>Source: Congressional Budget Office, GTAP v7 [Corong et al (2017)], The Budget Lab analysis.</t>
  </si>
  <si>
    <t xml:space="preserve"> </t>
  </si>
  <si>
    <t>Target PCE</t>
  </si>
  <si>
    <t>NVPA</t>
  </si>
  <si>
    <t>Shares</t>
  </si>
  <si>
    <t>DECILES</t>
  </si>
  <si>
    <t>2023</t>
  </si>
  <si>
    <t>.excel_last</t>
  </si>
  <si>
    <t>(CD1XFHC@SURVEYS)*100/CD1X@SURVEYS</t>
  </si>
  <si>
    <t>(CD1XFHM@SURVEYS)*100/CD1X@SURVEYS</t>
  </si>
  <si>
    <t>(CD1XFHD@SURVEYS)*100/CD1X@SURVEYS</t>
  </si>
  <si>
    <t>(CD1XFHF@SURVEYS)*100/CD1X@SURVEYS</t>
  </si>
  <si>
    <t>(CD1XFHO@SURVEYS)*100/CD1X@SURVEYS</t>
  </si>
  <si>
    <t>(CD1XFW@SURVEYS)*100/CD1X@SURVEYS</t>
  </si>
  <si>
    <t>(CD1XA@SURVEYS+CD1XOT@SURVEYS)*100/CD1X@SURVEYS</t>
  </si>
  <si>
    <t>(CD1XHS@SURVEYS)*100/CD1X@SURVEYS</t>
  </si>
  <si>
    <t>(CD1XHU@SURVEYS)*100/CD1X@SURVEYS</t>
  </si>
  <si>
    <t>(CD1XHP@SURVEYS+CD1XOP@SURVEYS)*100/CD1X@SURVEYS</t>
  </si>
  <si>
    <t>(CD1XHK@SURVEYS)*100/CD1X@SURVEYS</t>
  </si>
  <si>
    <t>(CD1XHF@SURVEYS)*100/CD1X@SURVEYS</t>
  </si>
  <si>
    <t>(CD1XP@SURVEYS)*100/CD1X@SURVEYS</t>
  </si>
  <si>
    <t>(CD1XT@SURVEYS)*100/CD1X@SURVEYS</t>
  </si>
  <si>
    <t>(CD1XM@SURVEYS)*100/CD1X@SURVEYS</t>
  </si>
  <si>
    <t>(CD1XE@SURVEYS)*100/CD1X@SURVEYS</t>
  </si>
  <si>
    <t>LL((CD1XOE@SURVEYS)*100/CD1X@SURVEYS,-1)</t>
  </si>
  <si>
    <t>(CD1XOM@SURVEYS)*100/CD1X@SURVEYS</t>
  </si>
  <si>
    <t>(CD1XI@SURVEYS)*100/CD1X@SURVEYS</t>
  </si>
  <si>
    <t>(CD2XFHC@SURVEYS)*100/CD2X@SURVEYS</t>
  </si>
  <si>
    <t>(CD2XFHM@SURVEYS)*100/CD2X@SURVEYS</t>
  </si>
  <si>
    <t>(CD2XFHD@SURVEYS)*100/CD2X@SURVEYS</t>
  </si>
  <si>
    <t>(CD2XFHF@SURVEYS)*100/CD2X@SURVEYS</t>
  </si>
  <si>
    <t>(CD2XFHO@SURVEYS)*100/CD2X@SURVEYS</t>
  </si>
  <si>
    <t>(CD2XFW@SURVEYS)*100/CD2X@SURVEYS</t>
  </si>
  <si>
    <t>(CD2XA@SURVEYS+CD2XOT@SURVEYS)*100/CD2X@SURVEYS</t>
  </si>
  <si>
    <t>(CD2XHS@SURVEYS)*100/CD2X@SURVEYS</t>
  </si>
  <si>
    <t>(CD2XHU@SURVEYS)*100/CD2X@SURVEYS</t>
  </si>
  <si>
    <t>(CD2XHP@SURVEYS+CD2XOP@SURVEYS)*100/CD2X@SURVEYS</t>
  </si>
  <si>
    <t>(CD2XHK@SURVEYS)*100/CD2X@SURVEYS</t>
  </si>
  <si>
    <t>(CD2XHF@SURVEYS)*100/CD2X@SURVEYS</t>
  </si>
  <si>
    <t>(CD2XP@SURVEYS)*100/CD2X@SURVEYS</t>
  </si>
  <si>
    <t>(CD2XT@SURVEYS)*100/CD2X@SURVEYS</t>
  </si>
  <si>
    <t>(CD2XM@SURVEYS)*100/CD2X@SURVEYS</t>
  </si>
  <si>
    <t>(CD2XE@SURVEYS)*100/CD2X@SURVEYS</t>
  </si>
  <si>
    <t>LL((CD2XOE@SURVEYS)*100/CD2X@SURVEYS,-2)</t>
  </si>
  <si>
    <t>(CD2XOM@SURVEYS)*100/CD2X@SURVEYS</t>
  </si>
  <si>
    <t>(CD2XI@SURVEYS)*100/CD2X@SURVEYS</t>
  </si>
  <si>
    <t>(CD3XFHC@SURVEYS)*100/CD3X@SURVEYS</t>
  </si>
  <si>
    <t>(CD3XFHM@SURVEYS)*100/CD3X@SURVEYS</t>
  </si>
  <si>
    <t>(CD3XFHD@SURVEYS)*100/CD3X@SURVEYS</t>
  </si>
  <si>
    <t>(CD3XFHF@SURVEYS)*100/CD3X@SURVEYS</t>
  </si>
  <si>
    <t>(CD3XFHO@SURVEYS)*100/CD3X@SURVEYS</t>
  </si>
  <si>
    <t>(CD3XFW@SURVEYS)*100/CD3X@SURVEYS</t>
  </si>
  <si>
    <t>(CD3XA@SURVEYS+CD3XOT@SURVEYS)*100/CD3X@SURVEYS</t>
  </si>
  <si>
    <t>(CD3XHS@SURVEYS)*100/CD3X@SURVEYS</t>
  </si>
  <si>
    <t>(CD3XHU@SURVEYS)*100/CD3X@SURVEYS</t>
  </si>
  <si>
    <t>(CD3XHP@SURVEYS+CD3XOP@SURVEYS)*100/CD3X@SURVEYS</t>
  </si>
  <si>
    <t>(CD3XHK@SURVEYS)*100/CD3X@SURVEYS</t>
  </si>
  <si>
    <t>(CD3XHF@SURVEYS)*100/CD3X@SURVEYS</t>
  </si>
  <si>
    <t>(CD3XP@SURVEYS)*100/CD3X@SURVEYS</t>
  </si>
  <si>
    <t>(CD3XT@SURVEYS)*100/CD3X@SURVEYS</t>
  </si>
  <si>
    <t>(CD3XM@SURVEYS)*100/CD3X@SURVEYS</t>
  </si>
  <si>
    <t>(CD3XE@SURVEYS)*100/CD3X@SURVEYS</t>
  </si>
  <si>
    <t>LL((CD3XOE@SURVEYS)*100/CD3X@SURVEYS,-1)</t>
  </si>
  <si>
    <t>(CD3XOM@SURVEYS)*100/CD3X@SURVEYS</t>
  </si>
  <si>
    <t>(CD3XI@SURVEYS)*100/CD3X@SURVEYS</t>
  </si>
  <si>
    <t>(CD4XFHC@SURVEYS)*100/CD4X@SURVEYS</t>
  </si>
  <si>
    <t>(CD4XFHM@SURVEYS)*100/CD4X@SURVEYS</t>
  </si>
  <si>
    <t>(CD4XFHD@SURVEYS)*100/CD4X@SURVEYS</t>
  </si>
  <si>
    <t>(CD4XFHF@SURVEYS)*100/CD4X@SURVEYS</t>
  </si>
  <si>
    <t>(CD4XFHO@SURVEYS)*100/CD4X@SURVEYS</t>
  </si>
  <si>
    <t>(CD4XFW@SURVEYS)*100/CD4X@SURVEYS</t>
  </si>
  <si>
    <t>(CD4XA@SURVEYS+CD4XOT@SURVEYS)*100/CD4X@SURVEYS</t>
  </si>
  <si>
    <t>(CD4XHS@SURVEYS)*100/CD4X@SURVEYS</t>
  </si>
  <si>
    <t>(CD4XHU@SURVEYS)*100/CD4X@SURVEYS</t>
  </si>
  <si>
    <t>(CD4XHP@SURVEYS+CD4XOP@SURVEYS)*100/CD4X@SURVEYS</t>
  </si>
  <si>
    <t>(CD4XHK@SURVEYS)*100/CD4X@SURVEYS</t>
  </si>
  <si>
    <t>(CD4XHF@SURVEYS)*100/CD4X@SURVEYS</t>
  </si>
  <si>
    <t>(CD4XP@SURVEYS)*100/CD4X@SURVEYS</t>
  </si>
  <si>
    <t>(CD4XT@SURVEYS)*100/CD4X@SURVEYS</t>
  </si>
  <si>
    <t>(CD4XM@SURVEYS)*100/CD4X@SURVEYS</t>
  </si>
  <si>
    <t>(CD4XE@SURVEYS)*100/CD4X@SURVEYS</t>
  </si>
  <si>
    <t>(CD4XOE@SURVEYS)*100/CD4X@SURVEYS</t>
  </si>
  <si>
    <t>LL((CD4XOM@SURVEYS)*100/CD4X@SURVEYS,-1)</t>
  </si>
  <si>
    <t>(CD4XI@SURVEYS)*100/CD4X@SURVEYS</t>
  </si>
  <si>
    <t>(CD5XFHC@SURVEYS)*100/CD5X@SURVEYS</t>
  </si>
  <si>
    <t>(CD5XFHM@SURVEYS)*100/CD5X@SURVEYS</t>
  </si>
  <si>
    <t>(CD5XFHD@SURVEYS)*100/CD5X@SURVEYS</t>
  </si>
  <si>
    <t>(CD5XFHF@SURVEYS)*100/CD5X@SURVEYS</t>
  </si>
  <si>
    <t>(CD5XFHO@SURVEYS)*100/CD5X@SURVEYS</t>
  </si>
  <si>
    <t>(CD5XFW@SURVEYS)*100/CD5X@SURVEYS</t>
  </si>
  <si>
    <t>(CD5XA@SURVEYS+CD5XOT@SURVEYS)*100/CD5X@SURVEYS</t>
  </si>
  <si>
    <t>(CD5XHS@SURVEYS)*100/CD5X@SURVEYS</t>
  </si>
  <si>
    <t>(CD5XHU@SURVEYS)*100/CD5X@SURVEYS</t>
  </si>
  <si>
    <t>(CD5XHP@SURVEYS+CD5XOP@SURVEYS)*100/CD5X@SURVEYS</t>
  </si>
  <si>
    <t>(CD5XHK@SURVEYS)*100/CD5X@SURVEYS</t>
  </si>
  <si>
    <t>(CD5XHF@SURVEYS)*100/CD5X@SURVEYS</t>
  </si>
  <si>
    <t>(CD5XP@SURVEYS)*100/CD5X@SURVEYS</t>
  </si>
  <si>
    <t>(CD5XT@SURVEYS)*100/CD5X@SURVEYS</t>
  </si>
  <si>
    <t>(CD5XM@SURVEYS)*100/CD5X@SURVEYS</t>
  </si>
  <si>
    <t>(CD5XE@SURVEYS)*100/CD5X@SURVEYS</t>
  </si>
  <si>
    <t>(CD5XOE@SURVEYS)*100/CD5X@SURVEYS</t>
  </si>
  <si>
    <t>(CD5XOM@SURVEYS)*100/CD5X@SURVEYS</t>
  </si>
  <si>
    <t>(CD5XI@SURVEYS)*100/CD5X@SURVEYS</t>
  </si>
  <si>
    <t>(CD6XFHC@SURVEYS)*100/CD6X@SURVEYS</t>
  </si>
  <si>
    <t>(CD6XFHM@SURVEYS)*100/CD6X@SURVEYS</t>
  </si>
  <si>
    <t>(CD6XFHD@SURVEYS)*100/CD6X@SURVEYS</t>
  </si>
  <si>
    <t>(CD6XFHF@SURVEYS)*100/CD6X@SURVEYS</t>
  </si>
  <si>
    <t>(CD6XFHO@SURVEYS)*100/CD6X@SURVEYS</t>
  </si>
  <si>
    <t>(CD6XFW@SURVEYS)*100/CD6X@SURVEYS</t>
  </si>
  <si>
    <t>(CD6XA@SURVEYS+CD6XOT@SURVEYS)*100/CD6X@SURVEYS</t>
  </si>
  <si>
    <t>(CD6XHS@SURVEYS)*100/CD6X@SURVEYS</t>
  </si>
  <si>
    <t>(CD6XHU@SURVEYS)*100/CD6X@SURVEYS</t>
  </si>
  <si>
    <t>(CD6XHP@SURVEYS+CD6XOP@SURVEYS)*100/CD6X@SURVEYS</t>
  </si>
  <si>
    <t>(CD6XHK@SURVEYS)*100/CD6X@SURVEYS</t>
  </si>
  <si>
    <t>(CD6XHF@SURVEYS)*100/CD6X@SURVEYS</t>
  </si>
  <si>
    <t>(CD6XP@SURVEYS)*100/CD6X@SURVEYS</t>
  </si>
  <si>
    <t>(CD6XT@SURVEYS)*100/CD6X@SURVEYS</t>
  </si>
  <si>
    <t>(CD6XM@SURVEYS)*100/CD6X@SURVEYS</t>
  </si>
  <si>
    <t>(CD6XE@SURVEYS)*100/CD6X@SURVEYS</t>
  </si>
  <si>
    <t>(CD6XOE@SURVEYS)*100/CD6X@SURVEYS</t>
  </si>
  <si>
    <t>(CD6XOM@SURVEYS)*100/CD6X@SURVEYS</t>
  </si>
  <si>
    <t>(CD6XI@SURVEYS)*100/CD6X@SURVEYS</t>
  </si>
  <si>
    <t>(CD7XFHC@SURVEYS)*100/CD7X@SURVEYS</t>
  </si>
  <si>
    <t>(CD7XFHM@SURVEYS)*100/CD7X@SURVEYS</t>
  </si>
  <si>
    <t>(CD7XFHD@SURVEYS)*100/CD7X@SURVEYS</t>
  </si>
  <si>
    <t>(CD7XFHF@SURVEYS)*100/CD7X@SURVEYS</t>
  </si>
  <si>
    <t>(CD7XFHO@SURVEYS)*100/CD7X@SURVEYS</t>
  </si>
  <si>
    <t>(CD7XFW@SURVEYS)*100/CD7X@SURVEYS</t>
  </si>
  <si>
    <t>(CD7XA@SURVEYS+CD7XOT@SURVEYS)*100/CD7X@SURVEYS</t>
  </si>
  <si>
    <t>(CD7XHS@SURVEYS)*100/CD7X@SURVEYS</t>
  </si>
  <si>
    <t>(CD7XHU@SURVEYS)*100/CD7X@SURVEYS</t>
  </si>
  <si>
    <t>(CD7XHP@SURVEYS+CD7XOP@SURVEYS)*100/CD7X@SURVEYS</t>
  </si>
  <si>
    <t>(CD7XHK@SURVEYS)*100/CD7X@SURVEYS</t>
  </si>
  <si>
    <t>(CD7XHF@SURVEYS)*100/CD7X@SURVEYS</t>
  </si>
  <si>
    <t>(CD7XP@SURVEYS)*100/CD7X@SURVEYS</t>
  </si>
  <si>
    <t>(CD7XT@SURVEYS)*100/CD7X@SURVEYS</t>
  </si>
  <si>
    <t>(CD7XM@SURVEYS)*100/CD7X@SURVEYS</t>
  </si>
  <si>
    <t>(CD7XE@SURVEYS)*100/CD7X@SURVEYS</t>
  </si>
  <si>
    <t>(CD7XOE@SURVEYS)*100/CD7X@SURVEYS</t>
  </si>
  <si>
    <t>(CD7XOM@SURVEYS)*100/CD7X@SURVEYS</t>
  </si>
  <si>
    <t>(CD7XI@SURVEYS)*100/CD7X@SURVEYS</t>
  </si>
  <si>
    <t>(CD8XFHC@SURVEYS)*100/CD8X@SURVEYS</t>
  </si>
  <si>
    <t>(CD8XFHM@SURVEYS)*100/CD8X@SURVEYS</t>
  </si>
  <si>
    <t>(CD8XFHD@SURVEYS)*100/CD8X@SURVEYS</t>
  </si>
  <si>
    <t>(CD8XFHF@SURVEYS)*100/CD8X@SURVEYS</t>
  </si>
  <si>
    <t>(CD8XFHO@SURVEYS)*100/CD8X@SURVEYS</t>
  </si>
  <si>
    <t>(CD8XFW@SURVEYS)*100/CD8X@SURVEYS</t>
  </si>
  <si>
    <t>(CD8XA@SURVEYS+CD8XOT@SURVEYS)*100/CD8X@SURVEYS</t>
  </si>
  <si>
    <t>(CD8XHS@SURVEYS)*100/CD8X@SURVEYS</t>
  </si>
  <si>
    <t>(CD8XHU@SURVEYS)*100/CD8X@SURVEYS</t>
  </si>
  <si>
    <t>(CD8XHP@SURVEYS+CD8XOP@SURVEYS)*100/CD8X@SURVEYS</t>
  </si>
  <si>
    <t>(CD8XHK@SURVEYS)*100/CD8X@SURVEYS</t>
  </si>
  <si>
    <t>(CD8XHF@SURVEYS)*100/CD8X@SURVEYS</t>
  </si>
  <si>
    <t>(CD8XP@SURVEYS)*100/CD8X@SURVEYS</t>
  </si>
  <si>
    <t>(CD8XT@SURVEYS)*100/CD8X@SURVEYS</t>
  </si>
  <si>
    <t>(CD8XM@SURVEYS)*100/CD8X@SURVEYS</t>
  </si>
  <si>
    <t>(CD8XE@SURVEYS)*100/CD8X@SURVEYS</t>
  </si>
  <si>
    <t>(CD8XOE@SURVEYS)*100/CD8X@SURVEYS</t>
  </si>
  <si>
    <t>(CD8XOM@SURVEYS)*100/CD8X@SURVEYS</t>
  </si>
  <si>
    <t>(CD8XI@SURVEYS)*100/CD8X@SURVEYS</t>
  </si>
  <si>
    <t>(CD9XFHC@SURVEYS)*100/CD9X@SURVEYS</t>
  </si>
  <si>
    <t>(CD9XFHM@SURVEYS)*100/CD9X@SURVEYS</t>
  </si>
  <si>
    <t>(CD9XFHD@SURVEYS)*100/CD9X@SURVEYS</t>
  </si>
  <si>
    <t>(CD9XFHF@SURVEYS)*100/CD9X@SURVEYS</t>
  </si>
  <si>
    <t>(CD9XFHO@SURVEYS)*100/CD9X@SURVEYS</t>
  </si>
  <si>
    <t>(CD9XFW@SURVEYS)*100/CD9X@SURVEYS</t>
  </si>
  <si>
    <t>(CD9XA@SURVEYS+CD9XOT@SURVEYS)*100/CD9X@SURVEYS</t>
  </si>
  <si>
    <t>(CD9XHS@SURVEYS)*100/CD9X@SURVEYS</t>
  </si>
  <si>
    <t>(CD9XHU@SURVEYS)*100/CD9X@SURVEYS</t>
  </si>
  <si>
    <t>(CD9XHP@SURVEYS+CD9XOP@SURVEYS)*100/CD9X@SURVEYS</t>
  </si>
  <si>
    <t>(CD9XHK@SURVEYS)*100/CD9X@SURVEYS</t>
  </si>
  <si>
    <t>(CD9XHF@SURVEYS)*100/CD9X@SURVEYS</t>
  </si>
  <si>
    <t>(CD9XP@SURVEYS)*100/CD9X@SURVEYS</t>
  </si>
  <si>
    <t>(CD9XT@SURVEYS)*100/CD9X@SURVEYS</t>
  </si>
  <si>
    <t>(CD9XM@SURVEYS)*100/CD9X@SURVEYS</t>
  </si>
  <si>
    <t>(CD9XE@SURVEYS)*100/CD9X@SURVEYS</t>
  </si>
  <si>
    <t>(CD9XOE@SURVEYS)*100/CD9X@SURVEYS</t>
  </si>
  <si>
    <t>(CD9XOM@SURVEYS)*100/CD9X@SURVEYS</t>
  </si>
  <si>
    <t>(CD9XI@SURVEYS)*100/CD9X@SURVEYS</t>
  </si>
  <si>
    <t>(CD10XFHC@SURVEYS)*100/CD10X@SURVEYS</t>
  </si>
  <si>
    <t>(CD10XFHM@SURVEYS)*100/CD10X@SURVEYS</t>
  </si>
  <si>
    <t>(CD10XFHD@SURVEYS)*100/CD10X@SURVEYS</t>
  </si>
  <si>
    <t>(CD10XFHF@SURVEYS)*100/CD10X@SURVEYS</t>
  </si>
  <si>
    <t>(CD10XFHO@SURVEYS)*100/CD10X@SURVEYS</t>
  </si>
  <si>
    <t>(CD10XFW@SURVEYS)*100/CD10X@SURVEYS</t>
  </si>
  <si>
    <t>(CD10XA@SURVEYS+CD10XOT@SURVEYS)*100/CD10X@SURVEYS</t>
  </si>
  <si>
    <t>(CD10XHS@SURVEYS)*100/CD10X@SURVEYS</t>
  </si>
  <si>
    <t>(CD10XHU@SURVEYS)*100/CD10X@SURVEYS</t>
  </si>
  <si>
    <t>(CD10XHP@SURVEYS+CD10XOP@SURVEYS)*100/CD10X@SURVEYS</t>
  </si>
  <si>
    <t>(CD10XHK@SURVEYS)*100/CD10X@SURVEYS</t>
  </si>
  <si>
    <t>(CD10XHF@SURVEYS)*100/CD10X@SURVEYS</t>
  </si>
  <si>
    <t>(CD10XP@SURVEYS)*100/CD10X@SURVEYS</t>
  </si>
  <si>
    <t>(CD10XT@SURVEYS)*100/CD10X@SURVEYS</t>
  </si>
  <si>
    <t>(CD10XM@SURVEYS)*100/CD10X@SURVEYS</t>
  </si>
  <si>
    <t>(CD10XE@SURVEYS)*100/CD10X@SURVEYS</t>
  </si>
  <si>
    <t>(CD10XOE@SURVEYS)*100/CD10X@SURVEYS</t>
  </si>
  <si>
    <t>(CD10XOM@SURVEYS)*100/CD10X@SURVEYS</t>
  </si>
  <si>
    <t>(CD10XI@SURVEYS)*100/CD10X@SURVEYS</t>
  </si>
  <si>
    <t>0.5*CD1IND@SURVEYS+0.5*CD2IND@SURVEYS</t>
  </si>
  <si>
    <t>CBO Post-Tax-Transfer</t>
  </si>
  <si>
    <t>Other food from home</t>
  </si>
  <si>
    <t>.DESC</t>
  </si>
  <si>
    <t>CD1NUM: Number of Consumer Units: Lowest Decile Pre-Tax Income (Thous) CD1X: Average annual Expenditure: Lowest Decile Pre-Tax Income ($) CESX: CES: Average annual Expenditure ($) CESNUM: CES: Number of Consumer Units (Thous)</t>
  </si>
  <si>
    <t>CD2NUM: Number of Consumer Units: Second Decile Pre-Tax Income (Thous) CD2X: Average annual Expenditure: Second Decile Pre-Tax Income ($) CESX: CES: Average annual Expenditure ($) CESNUM: CES: Number of Consumer Units (Thous)</t>
  </si>
  <si>
    <t>CD3NUM: Number of Consumer Units: Third Decile Pre-Tax Income (Thous) CD3X: Average annual Expenditure: Third Decile Pre-Tax Income ($) CESX: CES: Average annual Expenditure ($) CESNUM: CES: Number of Consumer Units (Thous)</t>
  </si>
  <si>
    <t>CD4NUM: Number of Consumer Units: Fourth Decile Pre-Tax Income (Thous) CD4X: Average annual Expenditure: Fourth Decile Pre-Tax Income ($) CESX: CES: Average annual Expenditure ($) CESNUM: CES: Number of Consumer Units (Thous)</t>
  </si>
  <si>
    <t>CD5NUM: Number of Consumer Units: Fifth Decile Pre-Tax Income (Thous) CD5X: Average annual Expenditure: Fifth Decile Pre-Tax Income ($) CESX: CES: Average annual Expenditure ($) CESNUM: CES: Number of Consumer Units (Thous)</t>
  </si>
  <si>
    <t>CD6NUM: Number of Consumer Units: Sixth Decile Pre-Tax Income (Thous) CD6X: Average annual Expenditure: Sixth Decile Pre-Tax Income ($) CESX: CES: Average annual Expenditure ($) CESNUM: CES: Number of Consumer Units (Thous)</t>
  </si>
  <si>
    <t>CD7NUM: Number of Consumer Units: Seventh Decile Pre-Tax Income (Thous) CD7X: Average annual Expenditure: Seventh Decile Pre-Tax Income ($) CESX: CES: Average annual Expenditure ($) CESNUM: CES: Number of Consumer Units (Thous)</t>
  </si>
  <si>
    <t>CD8NUM: Number of Consumer Units: Eighth Decile Pre-Tax Income (Thous) CD8X: Average annual Expenditure: Eighth Decile Pre-Tax Income ($) CESX: CES: Average annual Expenditure ($) CESNUM: CES: Number of Consumer Units (Thous)</t>
  </si>
  <si>
    <t>CD9NUM: Number of Consumer Units: Ninth Decile Pre-Tax Income (Thous) CD9X: Average annual Expenditure: Ninth Decile Pre-Tax Income ($) CESX: CES: Average annual Expenditure ($) CESNUM: CES: Number of Consumer Units (Thous)</t>
  </si>
  <si>
    <t>CD10NUM: Number of Consumer Units: Highest Decile Pre-Tax Income (Thous) CD10X: Average annuall Expenditure: Highest Decile Pre-Tax Income ($) CESX: CES: Average annual Expenditure ($) CESNUM: CES: Number of Consumer Units (Thous)</t>
  </si>
  <si>
    <t>CD1XFHC: Average Expenditure: Cereals &amp; Bakery Products: Lowest Decile Pre-Tax Income ($) CD1X: Average annual Expenditure: Lowest Decile Pre-Tax Income ($)</t>
  </si>
  <si>
    <t>CD1XFHM: Avg Expenditure: Meats, Poultry, Fish and Eggs: Lowest Decile Pre-Tax Income ($) CD1X: Average annual Expenditure: Lowest Decile Pre-Tax Income ($)</t>
  </si>
  <si>
    <t>CD1XFHD: Average Annual Expenditures: Dairy Products: Lowest Decile Pre-Tax Income ($) CD1X: Average annual Expenditure: Lowest Decile Pre-Tax Income ($)</t>
  </si>
  <si>
    <t>CD1XFHF: Average Expenditure: Fruits and Vegetables: Lowest Decile Pre-Tax Income ($) CD1X: Average annual Expenditure: Lowest Decile Pre-Tax Income ($)</t>
  </si>
  <si>
    <t>CD1XFHO: Average Annual Expenditure: Other Food at Home: Lowest Decile Pre-Tax Income ($) CD1X: Average annual Expenditure: Lowest Decile Pre-Tax Income ($)</t>
  </si>
  <si>
    <t>CD1XFW: Food Away from Home Expenditures: Lowest Decile Pre-Tax Income ($) CD1X: Average annual Expenditure: Lowest Decile Pre-Tax Income ($)</t>
  </si>
  <si>
    <t>CD1XA: Alcoholic Beverages Expenditures: Lowest Decile Pre-Tax Income ($) CD1XOT: Tobacco Prods &amp; Smoking Supply Expenditure: Lowest Decile Pre-Tax Income($) CD1X: Average annual Expenditure: Lowest Decile Pre-Tax Income ($)</t>
  </si>
  <si>
    <t>CD1XHS: Shelter Expenditures: Lowest Decile Pre-Tax Income ($) CD1X: Average annual Expenditure: Lowest Decile Pre-Tax Income ($)</t>
  </si>
  <si>
    <t>CD1XHU: Utilities/Fuels/Public Svc Expenditures: Lowest Decile Pre-Tax Income ($) CD1X: Average annual Expenditure: Lowest Decile Pre-Tax Income ($)</t>
  </si>
  <si>
    <t>CD1XHP: Household Operation Expenditures: Lowest Decile Pre-Tax Income ($) CD1XOP: Avg Expenditure: Personal Care Products &amp; Svcs: Lowest Decile Pre-Tax Income($) CD1X: Average annual Expenditure: Lowest Decile Pre-Tax Income ($)</t>
  </si>
  <si>
    <t>CD1XHK: Housekeeping Supplies Expenditures: Lowest Decile Pre-Tax Income ($) CD1X: Average annual Expenditure: Lowest Decile Pre-Tax Income ($)</t>
  </si>
  <si>
    <t>CD1XHF: Household Furnishings/Eqpt Expenditures: Lowest Decile Pre-Tax Income ($) CD1X: Average annual Expenditure: Lowest Decile Pre-Tax Income ($)</t>
  </si>
  <si>
    <t>CD1XP: Apparel &amp; Services Expenditures: Lowest Decile Pre-Tax Income ($) CD1X: Average annual Expenditure: Lowest Decile Pre-Tax Income ($)</t>
  </si>
  <si>
    <t>CD1XT: Transportation Expenditures: Lowest Decile Pre-Tax Income ($) CD1X: Average annual Expenditure: Lowest Decile Pre-Tax Income ($)</t>
  </si>
  <si>
    <t>CD1XM: Health Care Expenditures: Lowest Decile Pre-Tax Income($) CD1X: Average annual Expenditure: Lowest Decile Pre-Tax Income ($)</t>
  </si>
  <si>
    <t>CD1XE: Entertainment Expenditures: Lowest Decile Pre-Tax Income($) CD1X: Average annual Expenditure: Lowest Decile Pre-Tax Income ($)</t>
  </si>
  <si>
    <t>CD1XOE: Average Annual Expenditure: Education: Lowest Decile Pre-Tax Income ($) CD1X: Average annual Expenditure: Lowest Decile Pre-Tax Income ($) [-1]</t>
  </si>
  <si>
    <t>CD1XOM: Miscellaneous Expenditures: Lowest Decile Pre-Tax Income ($) CD1X: Average annual Expenditure: Lowest Decile Pre-Tax Income ($)</t>
  </si>
  <si>
    <t>CD1XI: Personal Insurance &amp; Pensions: Lowest Decile Pre-Tax Income($) CD1X: Average annual Expenditure: Lowest Decile Pre-Tax Income ($)</t>
  </si>
  <si>
    <t>CD2XFHC: Average Expenditure: Cereals &amp; Bakery Products: Second Decile Pre-Tax Income ($) CD2X: Average annual Expenditure: Second Decile Pre-Tax Income ($)</t>
  </si>
  <si>
    <t>CD2XFHM: Avg Expenditure: Meats, Poultry, Fish and Eggs: Second Decile Pre-Tax Income ($) CD2X: Average annual Expenditure: Second Decile Pre-Tax Income ($)</t>
  </si>
  <si>
    <t>CD2XFHD: Average Annual Expenditures: Dairy Products: Second Decile Pre-Tax Income ($) CD2X: Average annual Expenditure: Second Decile Pre-Tax Income ($)</t>
  </si>
  <si>
    <t>CD2XFHF: Average Expenditure: Fruits and Vegetables: Second Decile Pre-Tax Income ($) CD2X: Average annual Expenditure: Second Decile Pre-Tax Income ($)</t>
  </si>
  <si>
    <t>CD2XFHO: Average Annual Expenditure: Other Food at Home: Second Decile Pre-Tax Income ($) CD2X: Average annual Expenditure: Second Decile Pre-Tax Income ($)</t>
  </si>
  <si>
    <t>CD2XFW: Food Away from Home Expenditures: Second Decile Pre-Tax Income ($) CD2X: Average annual Expenditure: Second Decile Pre-Tax Income ($)</t>
  </si>
  <si>
    <t>CD2XA: Alcoholic Beverages Expenditures: Second Decile Pre-Tax Income ($) CD2XOT: Tobacco Prods &amp; Smoking Supply Expenditure: 2nd Decile Pre-Tax Income($) CD2X: Average annual Expenditure: Second Decile Pre-Tax Income ($)</t>
  </si>
  <si>
    <t>CD2XHS: Shelter Expenditures: Second Decile Pre-Tax Income ($) CD2X: Average annual Expenditure: Second Decile Pre-Tax Income ($)</t>
  </si>
  <si>
    <t>CD2XHU: Utilities/Fuels/Public Svc Expenditures: Second Decile Pre-Tax Income ($) CD2X: Average annual Expenditure: Second Decile Pre-Tax Income ($)</t>
  </si>
  <si>
    <t>CD2XHP: Household Operation Expenditures: Second Decile Pre-Tax Income ($) CD2XOP: Avg Expenditure: Personal Care Products and Svcs: 2nd Decile Pre-Tax Income($) CD2X: Average annual Expenditure: Second Decile Pre-Tax Income ($)</t>
  </si>
  <si>
    <t>CD2XHK: Housekeeping Supplies Expenditures: Second Decile Pre-Tax Income ($) CD2X: Average annual Expenditure: Second Decile Pre-Tax Income ($)</t>
  </si>
  <si>
    <t>CD2XHF: Household Furnishings/Eqpt Expenditures: Second Decile Pre-Tax Income ($) CD2X: Average annual Expenditure: Second Decile Pre-Tax Income ($)</t>
  </si>
  <si>
    <t>CD2XP: Apparel &amp; Services Expenditures: Second Decile Pre-Tax Income ($) CD2X: Average annual Expenditure: Second Decile Pre-Tax Income ($)</t>
  </si>
  <si>
    <t>CD2XT: Transportation Expenditures: Second Decile Pre-Tax Income ($) CD2X: Average annual Expenditure: Second Decile Pre-Tax Income ($)</t>
  </si>
  <si>
    <t>CD2XM: Health Care Expenditures: 2nd Decile Pre-Tax Income($) CD2X: Average annual Expenditure: Second Decile Pre-Tax Income ($)</t>
  </si>
  <si>
    <t>CD2XE: Entertainment Expenditures: 2nd Decile Pre-Tax Income($) CD2X: Average annual Expenditure: Second Decile Pre-Tax Income ($)</t>
  </si>
  <si>
    <t>CD2XOE: Average Annual Expenditure: Education: Second Decile Pre-Tax Income ($) CD2X: Average annual Expenditure: Second Decile Pre-Tax Income ($) [-2]</t>
  </si>
  <si>
    <t>CD2XOM: Miscellaneous Expenditures: Second Decile Pre-Tax Income ($) CD2X: Average annual Expenditure: Second Decile Pre-Tax Income ($)</t>
  </si>
  <si>
    <t>CD2XI: Personal Insurance &amp; Pensions: 2nd Decile Pre-Tax Income($) CD2X: Average annual Expenditure: Second Decile Pre-Tax Income ($)</t>
  </si>
  <si>
    <t>CD3XFHC: Average Expenditure: Cereals &amp; Bakery Products: Third Decile Pre-Tax Income ($) CD3X: Average annual Expenditure: Third Decile Pre-Tax Income ($)</t>
  </si>
  <si>
    <t>CD3XFHM: Avg Expenditure: Meats, Poultry, Fish and Eggs: Third Decile Pre-Tax Income ($) CD3X: Average annual Expenditure: Third Decile Pre-Tax Income ($)</t>
  </si>
  <si>
    <t>CD3XFHD: Average Annual Expenditures: Dairy Products: Third Decile Pre-Tax Income ($) CD3X: Average annual Expenditure: Third Decile Pre-Tax Income ($)</t>
  </si>
  <si>
    <t>CD3XFHF: Average Expenditure: Fruits and Vegetables: Third Decile Pre-Tax Income ($) CD3X: Average annual Expenditure: Third Decile Pre-Tax Income ($)</t>
  </si>
  <si>
    <t>CD3XFHO: Average Annual Expenditure: Other Food at Home: Third Decile Pre-Tax Income ($) CD3X: Average annual Expenditure: Third Decile Pre-Tax Income ($)</t>
  </si>
  <si>
    <t>CD3XFW: Food Away from Home Expenditures: Third Decile Pre-Tax Income ($) CD3X: Average annual Expenditure: Third Decile Pre-Tax Income ($)</t>
  </si>
  <si>
    <t>CD3XA: Alcoholic Beverages Expenditures: Third Decile Pre-Tax Income ($) CD3XOT: Tobacco Prods &amp; Smoking Supply Expenditure: 3rd Decile Pre-Tax Income($) CD3X: Average annual Expenditure: Third Decile Pre-Tax Income ($)</t>
  </si>
  <si>
    <t>CD3XHS: Shelter Expenditures: Third Decile Pre-Tax Income ($) CD3X: Average annual Expenditure: Third Decile Pre-Tax Income ($)</t>
  </si>
  <si>
    <t>CD3XHU: Utilities/Fuels/Public Svc Expenditures: Third Decile Pre-Tax Income ($) CD3X: Average annual Expenditure: Third Decile Pre-Tax Income ($)</t>
  </si>
  <si>
    <t>CD3XHP: Household Operation Expenditures: Third Decile Pre-Tax Income ($) CD3XOP: Avg Expenditure: Personal Care Products and Svcs: 3rd Decile Pre-Tax Income($) CD3X: Average annual Expenditure: Third Decile Pre-Tax Income ($)</t>
  </si>
  <si>
    <t>CD3XHK: Housekeeping Supplies Expenditures: Third Decile Pre-Tax Income ($) CD3X: Average annual Expenditure: Third Decile Pre-Tax Income ($)</t>
  </si>
  <si>
    <t>CD3XHF: Household Furnishings/Eqpt Expenditures: Third Decile Pre-Tax Income ($) CD3X: Average annual Expenditure: Third Decile Pre-Tax Income ($)</t>
  </si>
  <si>
    <t>CD3XP: Apparel &amp; Services Expenditures: Third Decile Pre-Tax Income ($) CD3X: Average annual Expenditure: Third Decile Pre-Tax Income ($)</t>
  </si>
  <si>
    <t>CD3XT: Transportation Expenditures: Third Decile Pre-Tax Income ($) CD3X: Average annual Expenditure: Third Decile Pre-Tax Income ($)</t>
  </si>
  <si>
    <t>CD3XM: Health Care Expenditures: 3rd Decile Pre-Tax Income($) CD3X: Average annual Expenditure: Third Decile Pre-Tax Income ($)</t>
  </si>
  <si>
    <t>CD3XE: Entertainment Expenditures: 3rd Decile Pre-Tax Income($) CD3X: Average annual Expenditure: Third Decile Pre-Tax Income ($)</t>
  </si>
  <si>
    <t>CD3XOE: Average Annual Expenditure: Education: Third Decile Pre-Tax Income ($) CD3X: Average annual Expenditure: Third Decile Pre-Tax Income ($) [-1]</t>
  </si>
  <si>
    <t>CD3XOM: Miscellaneous Expenditures: Third Decile Pre-Tax Income ($) CD3X: Average annual Expenditure: Third Decile Pre-Tax Income ($)</t>
  </si>
  <si>
    <t>CD3XI: Personal Insurance &amp; Pensions: 3rd Decile Pre-Tax Income($) CD3X: Average annual Expenditure: Third Decile Pre-Tax Income ($)</t>
  </si>
  <si>
    <t>CD4XFHC: Average Expenditure: Cereals &amp; Bakery Products: Fourth Decile Pre-Tax Income ($) CD4X: Average annual Expenditure: Fourth Decile Pre-Tax Income ($)</t>
  </si>
  <si>
    <t>CD4XFHM: Avg Expenditure: Meats, Poultry, Fish and Eggs: Fourth Decile Pre-Tax Income ($) CD4X: Average annual Expenditure: Fourth Decile Pre-Tax Income ($)</t>
  </si>
  <si>
    <t>CD4XFHD: Average Annual Expenditures: Dairy Products: Fourth Decile Pre-Tax Income ($) CD4X: Average annual Expenditure: Fourth Decile Pre-Tax Income ($)</t>
  </si>
  <si>
    <t>CD4XFHF: Average Expenditure: Fruits and Vegetables: Fourth Decile Pre-Tax Income ($) CD4X: Average annual Expenditure: Fourth Decile Pre-Tax Income ($)</t>
  </si>
  <si>
    <t>CD4XFHO: Average Annual Expenditure: Other Food at Home: Fourth Decile Pre-Tax Income ($) CD4X: Average annual Expenditure: Fourth Decile Pre-Tax Income ($)</t>
  </si>
  <si>
    <t>CD4XFW: Food Away from Home Expenditures: Fourth Decile Pre-Tax Income ($) CD4X: Average annual Expenditure: Fourth Decile Pre-Tax Income ($)</t>
  </si>
  <si>
    <t>CD4XA: Alcoholic Beverages Expenditures: Fourth Decile Pre-Tax Income ($) CD4XOT: Tobacco Prods &amp; Smoking Supply Expenditure: 4th Decile Pre-Tax Income($) CD4X: Average annual Expenditure: Fourth Decile Pre-Tax Income ($)</t>
  </si>
  <si>
    <t>CD4XHS: Shelter Expenditures: Fourth Decile Pre-Tax Income ($) CD4X: Average annual Expenditure: Fourth Decile Pre-Tax Income ($)</t>
  </si>
  <si>
    <t>CD4XHU: Utilities/Fuels/Public Svc Expenditures: Fourth Decile Pre-Tax Income ($) CD4X: Average annual Expenditure: Fourth Decile Pre-Tax Income ($)</t>
  </si>
  <si>
    <t>CD4XHP: Household Operation Expenditures: Fourth Decile Pre-Tax Income ($) CD4XOP: Avg Expenditure: Personal Care Products and Svcs: 4th Decile Pre-Tax Income($) CD4X: Average annual Expenditure: Fourth Decile Pre-Tax Income ($)</t>
  </si>
  <si>
    <t>CD4XHK: Housekeeping Supplies Expenditures: Fourth Decile Pre-Tax Income ($) CD4X: Average annual Expenditure: Fourth Decile Pre-Tax Income ($)</t>
  </si>
  <si>
    <t>CD4XHF: Household Furnishings/Eqpt Expenditures: Fourth Decile Pre-Tax Income ($) CD4X: Average annual Expenditure: Fourth Decile Pre-Tax Income ($)</t>
  </si>
  <si>
    <t>CD4XP: Apparel &amp; Services Expenditures: Fourth Decile Pre-Tax Income ($) CD4X: Average annual Expenditure: Fourth Decile Pre-Tax Income ($)</t>
  </si>
  <si>
    <t>CD4XT: Transportation Expenditures: Fourth Decile Pre-Tax Income ($) CD4X: Average annual Expenditure: Fourth Decile Pre-Tax Income ($)</t>
  </si>
  <si>
    <t>CD4XM: Health Care Expenditures: 4th Decile Pre-Tax Income($) CD4X: Average annual Expenditure: Fourth Decile Pre-Tax Income ($)</t>
  </si>
  <si>
    <t>CD4XE: Entertainment Expenditures: 4th Decile Pre-Tax Income($) CD4X: Average annual Expenditure: Fourth Decile Pre-Tax Income ($)</t>
  </si>
  <si>
    <t>CD4XOE: Average Annual Expenditure: Education: Fourth Decile Pre-Tax Income ($) CD4X: Average annual Expenditure: Fourth Decile Pre-Tax Income ($)</t>
  </si>
  <si>
    <t>CD4XOM: Miscellaneous Expenditures: Fourth Decile Pre-Tax Income ($) CD4X: Average annual Expenditure: Fourth Decile Pre-Tax Income ($) [-1]</t>
  </si>
  <si>
    <t>CD4XI: Personal Insurance &amp; Pensions: 4th Decile Pre-Tax Income($) CD4X: Average annual Expenditure: Fourth Decile Pre-Tax Income ($)</t>
  </si>
  <si>
    <t>CD5XFHC: Average Expenditure: Cereals &amp; Bakery Products: Fifth Decile Pre-Tax Income ($) CD5X: Average annual Expenditure: Fifth Decile Pre-Tax Income ($)</t>
  </si>
  <si>
    <t>CD5XFHM: Avg Expenditure: Meats, Poultry, Fish and Eggs: Fifth Decile Pre-Tax Income ($) CD5X: Average annual Expenditure: Fifth Decile Pre-Tax Income ($)</t>
  </si>
  <si>
    <t>CD5XFHD: Average Annual Expenditures: Dairy Products: Fifth Decile Pre-Tax Income ($) CD5X: Average annual Expenditure: Fifth Decile Pre-Tax Income ($)</t>
  </si>
  <si>
    <t>CD5XFHF: Average Expenditure: Fruits and Vegetables: Fifth Decile Pre-Tax Income ($) CD5X: Average annual Expenditure: Fifth Decile Pre-Tax Income ($)</t>
  </si>
  <si>
    <t>CD5XFHO: Average Annual Expenditure: Other Food at Home: Fifth Decile Pre-Tax Income ($) CD5X: Average annual Expenditure: Fifth Decile Pre-Tax Income ($)</t>
  </si>
  <si>
    <t>CD5XFW: Food Away from Home Expenditures: Fifth Decile Pre-Tax Income ($) CD5X: Average annual Expenditure: Fifth Decile Pre-Tax Income ($)</t>
  </si>
  <si>
    <t>CD5XA: Alcoholic Beverages Expenditures: Fifth Decile Pre-Tax Income ($) CD5XOT: Tobacco Prods &amp; Smoking Supply Expenditure: 5th Decile Pre-Tax Income($) CD5X: Average annual Expenditure: Fifth Decile Pre-Tax Income ($)</t>
  </si>
  <si>
    <t>CD5XHS: Shelter Expenditures: Fifth Decile Pre-Tax Income ($) CD5X: Average annual Expenditure: Fifth Decile Pre-Tax Income ($)</t>
  </si>
  <si>
    <t>CD5XHU: Utilities/Fuels/Public Svc Expenditures: Fifth Decile Pre-Tax Income ($) CD5X: Average annual Expenditure: Fifth Decile Pre-Tax Income ($)</t>
  </si>
  <si>
    <t>CD5XHP: Household Operation Expenditures: Fifth Decile Pre-Tax Income ($) CD5XOP: Avg Expenditure: Personal Care Products and Svcs: 5th Decile Pre-Tax Income($) CD5X: Average annual Expenditure: Fifth Decile Pre-Tax Income ($)</t>
  </si>
  <si>
    <t>CD5XHK: Housekeeping Supplies Expenditures: Fifth Decile Pre-Tax Income ($) CD5X: Average annual Expenditure: Fifth Decile Pre-Tax Income ($)</t>
  </si>
  <si>
    <t>CD5XHF: Household Furnishings/Eqpt Expenditures: Fifth Decile Pre-Tax Income ($) CD5X: Average annual Expenditure: Fifth Decile Pre-Tax Income ($)</t>
  </si>
  <si>
    <t>CD5XP: Apparel &amp; Services Expenditures: Fifth Decile Pre-Tax Income ($) CD5X: Average annual Expenditure: Fifth Decile Pre-Tax Income ($)</t>
  </si>
  <si>
    <t>CD5XT: Transportation Expenditures: Fifth Decile Pre-Tax Income ($) CD5X: Average annual Expenditure: Fifth Decile Pre-Tax Income ($)</t>
  </si>
  <si>
    <t>CD5XM: Health Care Expenditures: 5th Decile Pre-Tax Income($) CD5X: Average annual Expenditure: Fifth Decile Pre-Tax Income ($)</t>
  </si>
  <si>
    <t>CD5XE: Entertainment Expenditures: 5th Decile Pre-Tax Income($) CD5X: Average annual Expenditure: Fifth Decile Pre-Tax Income ($)</t>
  </si>
  <si>
    <t>CD5XOE: Average Annual Expenditure: Education: Fifth Decile Pre-Tax Income ($) CD5X: Average annual Expenditure: Fifth Decile Pre-Tax Income ($)</t>
  </si>
  <si>
    <t>CD5XOM: Miscellaneous Expenditures: Fifth Decile Pre-Tax Income ($) CD5X: Average annual Expenditure: Fifth Decile Pre-Tax Income ($)</t>
  </si>
  <si>
    <t>CD5XI: Personal Insurance &amp; Pensions: 5th Decile Pre-Tax Income($) CD5X: Average annual Expenditure: Fifth Decile Pre-Tax Income ($)</t>
  </si>
  <si>
    <t>CD6XFHC: Average Expenditure: Cereals &amp; Bakery Products: Sixth Decile Pre-Tax Income ($) CD6X: Average annual Expenditure: Sixth Decile Pre-Tax Income ($)</t>
  </si>
  <si>
    <t>CD6XFHM: Avg Expenditure: Meats, Poultry, Fish and Eggs: Sixth Decile Pre-Tax Income ($) CD6X: Average annual Expenditure: Sixth Decile Pre-Tax Income ($)</t>
  </si>
  <si>
    <t>CD6XFHD: Average Annual Expenditures: Dairy Products: Sixth Decile Pre-Tax Income ($) CD6X: Average annual Expenditure: Sixth Decile Pre-Tax Income ($)</t>
  </si>
  <si>
    <t>CD6XFHF: Average Expenditure: Fruits and Vegetables: Sixth Decile Pre-Tax Income ($) CD6X: Average annual Expenditure: Sixth Decile Pre-Tax Income ($)</t>
  </si>
  <si>
    <t>CD6XFHO: Average Annual Expenditure: Other Food at Home: Sixth Decile Pre-Tax Income ($) CD6X: Average annual Expenditure: Sixth Decile Pre-Tax Income ($)</t>
  </si>
  <si>
    <t>CD6XFW: Food Away from Home Expenditures: Sixth Decile Pre-Tax Income ($) CD6X: Average annual Expenditure: Sixth Decile Pre-Tax Income ($)</t>
  </si>
  <si>
    <t>CD6XA: Alcoholic Beverages Expenditures: Sixth Decile Pre-Tax Income ($) CD6XOT: Tobacco Prods &amp; Smoking Supply Expenditure: 6th Decile Pre-Tax Income($) CD6X: Average annual Expenditure: Sixth Decile Pre-Tax Income ($)</t>
  </si>
  <si>
    <t>CD6XHS: Shelter Expenditures: Sixth Decile Pre-Tax Income ($) CD6X: Average annual Expenditure: Sixth Decile Pre-Tax Income ($)</t>
  </si>
  <si>
    <t>CD6XHU: Utilities/Fuels/Public Svc Expenditures: Sixth Decile Pre-Tax Income ($) CD6X: Average annual Expenditure: Sixth Decile Pre-Tax Income ($)</t>
  </si>
  <si>
    <t>CD6XHP: Household Operation Expenditures: Sixth Decile Pre-Tax Income ($) CD6XOP: Avg Expenditure: Personal Care Products and Svcs: 6th Decile Pre-Tax Income($) CD6X: Average annual Expenditure: Sixth Decile Pre-Tax Income ($)</t>
  </si>
  <si>
    <t>CD6XHK: Housekeeping Supplies Expenditures: Sixth Decile Pre-Tax Income ($) CD6X: Average annual Expenditure: Sixth Decile Pre-Tax Income ($)</t>
  </si>
  <si>
    <t>CD6XHF: Household Furnishings/Eqpt Expenditures: Sixth Decile Pre-Tax Income ($) CD6X: Average annual Expenditure: Sixth Decile Pre-Tax Income ($)</t>
  </si>
  <si>
    <t>CD6XP: Apparel &amp; Services Expenditures: Sixth Decile Pre-Tax Income ($) CD6X: Average annual Expenditure: Sixth Decile Pre-Tax Income ($)</t>
  </si>
  <si>
    <t>CD6XT: Transportation Expenditures: Sixth Decile Pre-Tax Income ($) CD6X: Average annual Expenditure: Sixth Decile Pre-Tax Income ($)</t>
  </si>
  <si>
    <t>CD6XM: Health Care Expenditures: 6th Decile Pre-Tax Income($) CD6X: Average annual Expenditure: Sixth Decile Pre-Tax Income ($)</t>
  </si>
  <si>
    <t>CD6XE: Entertainment Expenditures: 6th Decile Pre-Tax Income($) CD6X: Average annual Expenditure: Sixth Decile Pre-Tax Income ($)</t>
  </si>
  <si>
    <t>CD6XOE: Average Annual Expenditure: Education: Sixth Decile Pre-Tax Income ($) CD6X: Average annual Expenditure: Sixth Decile Pre-Tax Income ($)</t>
  </si>
  <si>
    <t>CD6XOM: Miscellaneous Expenditures: Sixth Decile Pre-Tax Income ($) CD6X: Average annual Expenditure: Sixth Decile Pre-Tax Income ($)</t>
  </si>
  <si>
    <t>CD6XI: Personal Insurance &amp; Pensions: 6th Decile Pre-Tax Income($) CD6X: Average annual Expenditure: Sixth Decile Pre-Tax Income ($)</t>
  </si>
  <si>
    <t>CD7XFHC: Avg Expenditure: Cereals &amp; Bakery Products: Seventh Decile Pre-Tax Income ($) CD7X: Average annual Expenditure: Seventh Decile Pre-Tax Income ($)</t>
  </si>
  <si>
    <t>CD7XFHM: Avg Expenditure: Meats, Poultry, Fish and Eggs: Seventh Decile Pre-Tax Income($) CD7X: Average annual Expenditure: Seventh Decile Pre-Tax Income ($)</t>
  </si>
  <si>
    <t>CD7XFHD: Average Annual Expenditures: Dairy Products: Seventh Decile Pre-Tax Income ($) CD7X: Average annual Expenditure: Seventh Decile Pre-Tax Income ($)</t>
  </si>
  <si>
    <t>CD7XFHF: Average Expenditure: Fruits and Vegetables: Seventh Decile Pre-Tax Income ($) CD7X: Average annual Expenditure: Seventh Decile Pre-Tax Income ($)</t>
  </si>
  <si>
    <t>CD7XFHO: Average Expenditure: Other Food at Home: Seventh Decile Pre-Tax Income ($) CD7X: Average annual Expenditure: Seventh Decile Pre-Tax Income ($)</t>
  </si>
  <si>
    <t>CD7XFW: Food Away from Home Expenditures: Seventh Decile Pre-Tax Income ($) CD7X: Average annual Expenditure: Seventh Decile Pre-Tax Income ($)</t>
  </si>
  <si>
    <t>CD7XA: Alcoholic Beverages Expenditures: Seventh Decile Pre-Tax Income ($) CD7XOT: Tobacco Prods &amp; Smoking Supply Expenditure: 7th Decile Pre-Tax Income($) CD7X: Average annual Expenditure: Seventh Decile Pre-Tax Income ($)</t>
  </si>
  <si>
    <t>CD7XHS: Shelter Expenditures: Seventh Decile Pre-Tax Income ($) CD7X: Average annual Expenditure: Seventh Decile Pre-Tax Income ($)</t>
  </si>
  <si>
    <t>CD7XHU: Utilities/Fuels/Public Svc Expenditures: Seventh Decile Pre-Tax Income ($) CD7X: Average annual Expenditure: Seventh Decile Pre-Tax Income ($)</t>
  </si>
  <si>
    <t>CD7XHP: Household Operation Expenditures: Seventh Decile Pre-Tax Income ($) CD7XOP: Avg Expenditure: Personal Care Products and Svcs: 7th Decile Pre-Tax Income($) CD7X: Average annual Expenditure: Seventh Decile Pre-Tax Income ($)</t>
  </si>
  <si>
    <t>CD7XHK: Housekeeping Supplies Expenditures: Seventh Decile Pre-Tax Income ($) CD7X: Average annual Expenditure: Seventh Decile Pre-Tax Income ($)</t>
  </si>
  <si>
    <t>CD7XHF: Household Furnishings/Eqpt Expenditures: Seventh Decile Pre-Tax Income ($) CD7X: Average annual Expenditure: Seventh Decile Pre-Tax Income ($)</t>
  </si>
  <si>
    <t>CD7XP: Apparel &amp; Services Expenditures: Seventh Decile Pre-Tax Income ($) CD7X: Average annual Expenditure: Seventh Decile Pre-Tax Income ($)</t>
  </si>
  <si>
    <t>CD7XT: Transportation Expenditures: Seventh Decile Pre-Tax Income ($) CD7X: Average annual Expenditure: Seventh Decile Pre-Tax Income ($)</t>
  </si>
  <si>
    <t>CD7XM: Health Care Expenditures: 7th Decile Pre-Tax Income($) CD7X: Average annual Expenditure: Seventh Decile Pre-Tax Income ($)</t>
  </si>
  <si>
    <t>CD7XE: Entertainment Expenditures: 7th Decile Pre-Tax Income($) CD7X: Average annual Expenditure: Seventh Decile Pre-Tax Income ($)</t>
  </si>
  <si>
    <t>CD7XOE: Average Annual Expenditure: Education: Seventh Decile Pre-Tax Income ($) CD7X: Average annual Expenditure: Seventh Decile Pre-Tax Income ($)</t>
  </si>
  <si>
    <t>CD7XOM: Miscellaneous Expenditures: Seventh Decile Pre-Tax Income ($) CD7X: Average annual Expenditure: Seventh Decile Pre-Tax Income ($)</t>
  </si>
  <si>
    <t>CD7XI: Personal Insurance &amp; Pensions: 7th Decile Pre-Tax Income($) CD7X: Average annual Expenditure: Seventh Decile Pre-Tax Income ($)</t>
  </si>
  <si>
    <t>CD8XFHC: Average Expenditure: Cereals &amp; Bakery Products: Eighth Decile Pre-Tax Income ($) CD8X: Average annual Expenditure: Eighth Decile Pre-Tax Income ($)</t>
  </si>
  <si>
    <t>CD8XFHM: Avg Expenditure: Meats, Poultry, Fish and Eggs: Eighth Decile Pre-Tax Income ($) CD8X: Average annual Expenditure: Eighth Decile Pre-Tax Income ($)</t>
  </si>
  <si>
    <t>CD8XFHD: Average Annual Expenditures: Dairy Products: Eighth Decile Pre-Tax Income ($) CD8X: Average annual Expenditure: Eighth Decile Pre-Tax Income ($)</t>
  </si>
  <si>
    <t>CD8XFHF: Average Expenditure: Fruits and Vegetables: Eighth Decile Pre-Tax Income ($) CD8X: Average annual Expenditure: Eighth Decile Pre-Tax Income ($)</t>
  </si>
  <si>
    <t>CD8XFHO: Average Annual Expenditure: Other Food at Home: Eighth Decile Pre-Tax Income ($) CD8X: Average annual Expenditure: Eighth Decile Pre-Tax Income ($)</t>
  </si>
  <si>
    <t>CD8XFW: Food Away from Home Expenditures: Eighth Decile Pre-Tax Income ($) CD8X: Average annual Expenditure: Eighth Decile Pre-Tax Income ($)</t>
  </si>
  <si>
    <t>CD8XA: Alcoholic Beverages Expenditures: Eighth Decile Pre-Tax Income ($) CD8XOT: Tobacco Prods &amp; Smoking Supply Expenditure: 8th Decile Pre-Tax Income($) CD8X: Average annual Expenditure: Eighth Decile Pre-Tax Income ($)</t>
  </si>
  <si>
    <t>CD8XHS: Shelter Expenditures: Eighth Decile Pre-Tax Income ($) CD8X: Average annual Expenditure: Eighth Decile Pre-Tax Income ($)</t>
  </si>
  <si>
    <t>CD8XHU: Utilities/Fuels/Public Svc Expenditures: Eighth Decile Pre-Tax Income ($) CD8X: Average annual Expenditure: Eighth Decile Pre-Tax Income ($)</t>
  </si>
  <si>
    <t>CD8XHP: Household Operation Expenditures: Eighth Decile Pre-Tax Income ($) CD8XOP: Avg Expenditure: Personal Care Products and Svcs: 8th Decile Pre-Tax Income($) CD8X: Average annual Expenditure: Eighth Decile Pre-Tax Income ($)</t>
  </si>
  <si>
    <t>CD8XHK: Housekeeping Supplies Expenditures: Eighth Decile Pre-Tax Income ($) CD8X: Average annual Expenditure: Eighth Decile Pre-Tax Income ($)</t>
  </si>
  <si>
    <t>CD8XHF: Household Furnishings/Eqpt Expenditures: Eighth Decile Pre-Tax Income ($) CD8X: Average annual Expenditure: Eighth Decile Pre-Tax Income ($)</t>
  </si>
  <si>
    <t>CD8XP: Apparel &amp; Services Expenditures: Eighth Decile Pre-Tax Income ($) CD8X: Average annual Expenditure: Eighth Decile Pre-Tax Income ($)</t>
  </si>
  <si>
    <t>CD8XT: Transportation Expenditures: Eighth Decile Pre-Tax Income ($) CD8X: Average annual Expenditure: Eighth Decile Pre-Tax Income ($)</t>
  </si>
  <si>
    <t>CD8XM: Health Care Expenditures: 8th Decile Pre-Tax Income($) CD8X: Average annual Expenditure: Eighth Decile Pre-Tax Income ($)</t>
  </si>
  <si>
    <t>CD8XE: Entertainment Expenditures: 8th Decile Pre-Tax Income($) CD8X: Average annual Expenditure: Eighth Decile Pre-Tax Income ($)</t>
  </si>
  <si>
    <t>CD8XOE: Average Annual Expenditure: Education: Eighth Decile Pre-Tax Income ($) CD8X: Average annual Expenditure: Eighth Decile Pre-Tax Income ($)</t>
  </si>
  <si>
    <t>CD8XOM: Miscellaneous Expenditures: Eighth Decile Pre-Tax Income ($) CD8X: Average annual Expenditure: Eighth Decile Pre-Tax Income ($)</t>
  </si>
  <si>
    <t>CD8XI: Personal Insurance &amp; Pensions: 8th Decile Pre-Tax Income($) CD8X: Average annual Expenditure: Eighth Decile Pre-Tax Income ($)</t>
  </si>
  <si>
    <t>CD9XFHC: Average Expenditure: Cereals &amp; Bakery Products: Ninth Decile Pre-Tax Income ($) CD9X: Average annual Expenditure: Ninth Decile Pre-Tax Income ($)</t>
  </si>
  <si>
    <t>CD9XFHM: Avg Expenditure: Meats, Poultry, Fish and Eggs: Ninth Decile Pre-Tax Income ($) CD9X: Average annual Expenditure: Ninth Decile Pre-Tax Income ($)</t>
  </si>
  <si>
    <t>CD9XFHD: Average Annual Expenditures: Dairy Products: Ninth Decile Pre-Tax Income ($) CD9X: Average annual Expenditure: Ninth Decile Pre-Tax Income ($)</t>
  </si>
  <si>
    <t>CD9XFHF: Average Expenditure: Fruits and Vegetables: Ninth Decile Pre-Tax Income ($) CD9X: Average annual Expenditure: Ninth Decile Pre-Tax Income ($)</t>
  </si>
  <si>
    <t>CD9XFHO: Average Annual Expenditure: Other Food at Home: Ninth Decile Pre-Tax Income ($) CD9X: Average annual Expenditure: Ninth Decile Pre-Tax Income ($)</t>
  </si>
  <si>
    <t>CD9XFW: Food Away from Home Expenditures: Ninth Decile Pre-Tax Income ($) CD9X: Average annual Expenditure: Ninth Decile Pre-Tax Income ($)</t>
  </si>
  <si>
    <t>CD9XA: Alcoholic Beverages Expenditures: Ninth Decile Pre-Tax Income ($) CD9XOT: Tobacco Prods &amp; Smoking Supply Expenditure: 9th Decile Pre-Tax Income($) CD9X: Average annual Expenditure: Ninth Decile Pre-Tax Income ($)</t>
  </si>
  <si>
    <t>CD9XHS: Shelter Expenditures: Ninth Decile Pre-Tax Income ($) CD9X: Average annual Expenditure: Ninth Decile Pre-Tax Income ($)</t>
  </si>
  <si>
    <t>CD9XHU: Utilities/Fuels/Public Svc Expenditures: Ninth Decile Pre-Tax Income ($) CD9X: Average annual Expenditure: Ninth Decile Pre-Tax Income ($)</t>
  </si>
  <si>
    <t>CD9XHP: Household Operation Expenditures: Ninth Decile Pre-Tax Income ($) CD9XOP: Avg Expenditure: Personal Care Products and Svcs: 9th Decile Pre-Tax Income($) CD9X: Average annual Expenditure: Ninth Decile Pre-Tax Income ($)</t>
  </si>
  <si>
    <t>CD9XHK: Housekeeping Supplies Expenditures: Ninth Decile Pre-Tax Income ($) CD9X: Average annual Expenditure: Ninth Decile Pre-Tax Income ($)</t>
  </si>
  <si>
    <t>CD9XHF: Household Furnishings/Eqpt Expenditures: Ninth Decile Pre-Tax Income ($) CD9X: Average annual Expenditure: Ninth Decile Pre-Tax Income ($)</t>
  </si>
  <si>
    <t>CD9XP: Apparel &amp; Services Expenditures: Ninth Decile Pre-Tax Income ($) CD9X: Average annual Expenditure: Ninth Decile Pre-Tax Income ($)</t>
  </si>
  <si>
    <t>CD9XT: Transportation Expenditures: Ninth Decile Pre-Tax Income ($) CD9X: Average annual Expenditure: Ninth Decile Pre-Tax Income ($)</t>
  </si>
  <si>
    <t>CD9XM: Health Care Expenditures: 9th Decile Pre-Tax Income($) CD9X: Average annual Expenditure: Ninth Decile Pre-Tax Income ($)</t>
  </si>
  <si>
    <t>CD9XE: Entertainment Expenditures: 9th Decile Pre-Tax Income($) CD9X: Average annual Expenditure: Ninth Decile Pre-Tax Income ($)</t>
  </si>
  <si>
    <t>CD9XOE: Average Annual Expenditure: Education: Ninth Decile Pre-Tax Income ($) CD9X: Average annual Expenditure: Ninth Decile Pre-Tax Income ($)</t>
  </si>
  <si>
    <t>CD9XOM: Miscellaneous Expenditures: Ninth Decile Pre-Tax Income ($) CD9X: Average annual Expenditure: Ninth Decile Pre-Tax Income ($)</t>
  </si>
  <si>
    <t>CD9XI: Personal Insurance &amp; Pensions: 9th Decile Pre-Tax Income($) CD9X: Average annual Expenditure: Ninth Decile Pre-Tax Income ($)</t>
  </si>
  <si>
    <t>CD10XFHC: Avg Expenditure: Cereals &amp; Bakery Products: Highest Decile Pre-Tax Income ($) CD10X: Average annuall Expenditure: Highest Decile Pre-Tax Income ($)</t>
  </si>
  <si>
    <t>CD10XFHM: Avg Expenditure: Meats, Poultry, Fish and Eggs: Highest Decile Pre-Tax Income($) CD10X: Average annuall Expenditure: Highest Decile Pre-Tax Income ($)</t>
  </si>
  <si>
    <t>CD10XFHD: Average Annual Expenditures: Dairy Products: Highest Decile Pre-Tax Income ($) CD10X: Average annuall Expenditure: Highest Decile Pre-Tax Income ($)</t>
  </si>
  <si>
    <t>CD10XFHF: Average Expenditure: Fruits and Vegetables: Highest Decile Pre-Tax Income ($) CD10X: Average annuall Expenditure: Highest Decile Pre-Tax Income ($)</t>
  </si>
  <si>
    <t>CD10XFHO: Average Expenditure: Other Food at Home: Highest Decile Pre-Tax Income ($) CD10X: Average annuall Expenditure: Highest Decile Pre-Tax Income ($)</t>
  </si>
  <si>
    <t>CD10XFW: Food Away from Home Expenditures: Highest Decile Pre-Tax Income ($) CD10X: Average annuall Expenditure: Highest Decile Pre-Tax Income ($)</t>
  </si>
  <si>
    <t>CD10XA: Alcoholic Beverages Expenditures: Highest Decile Pre-Tax Income ($) CD10XOT: Tobacco Prods &amp; Smoking Supply Expenditure: 10th Decile Pre-Tax Income($) CD10X: Average annuall Expenditure: Highest Decile Pre-Tax Income ($)</t>
  </si>
  <si>
    <t>CD10XHS: Shelter Expenditures: Highest Decile Pre-Tax Income ($) CD10X: Average annuall Expenditure: Highest Decile Pre-Tax Income ($)</t>
  </si>
  <si>
    <t>CD10XHU: Utilities/Fuels/Public Svc Expenditures: Highest Decile Pre-Tax Income ($) CD10X: Average annuall Expenditure: Highest Decile Pre-Tax Income ($)</t>
  </si>
  <si>
    <t>CD10XHP: Household Operation Expenditures: Highest Decile Pre-Tax Income ($) CD10XOP: Avg Expenditure: Personal Care Products &amp; Svcs: Highest Decile Pre-Tax Income($) CD10X: Average annuall Expenditure: Highest Decile Pre-Tax Income ($)</t>
  </si>
  <si>
    <t>CD10XHK: Housekeeping Supplies Expenditures: Highest Decile Pre-Tax Income ($) CD10X: Average annuall Expenditure: Highest Decile Pre-Tax Income ($)</t>
  </si>
  <si>
    <t>CD10XHF: Household Furnishings/Eqpt Expenditures: Highest Decile Pre-Tax Income ($) CD10X: Average annuall Expenditure: Highest Decile Pre-Tax Income ($)</t>
  </si>
  <si>
    <t>CD10XP: Apparel &amp; Services Expenditures: Highest Decile Pre-Tax Income ($) CD10X: Average annuall Expenditure: Highest Decile Pre-Tax Income ($)</t>
  </si>
  <si>
    <t>CD10XT: Transportation Expenditures: Highest Decile Pre-Tax Income ($) CD10X: Average annuall Expenditure: Highest Decile Pre-Tax Income ($)</t>
  </si>
  <si>
    <t>CD10XM: Health Care Expenditures: Highest Decile Pre-Tax Income($) CD10X: Average annuall Expenditure: Highest Decile Pre-Tax Income ($)</t>
  </si>
  <si>
    <t>CD10XE: Entertainment Expenditures: Highest Decile Pre-Tax Income($) CD10X: Average annuall Expenditure: Highest Decile Pre-Tax Income ($)</t>
  </si>
  <si>
    <t>CD10XOE: Average Annual Expenditure: Education: Highest Decile Pre-Tax Income ($) CD10X: Average annuall Expenditure: Highest Decile Pre-Tax Income ($)</t>
  </si>
  <si>
    <t>CD10XOM: Miscellaneous Expenditures: Highest Decile Pre-Tax Income ($) CD10X: Average annuall Expenditure: Highest Decile Pre-Tax Income ($)</t>
  </si>
  <si>
    <t>CD10XI: Personal Insurance &amp; Pensions: Highest Decile Pre-Tax Income($) CD10X: Average annuall Expenditure: Highest Decile Pre-Tax Income ($)</t>
  </si>
  <si>
    <t>CD1IND: Income After Taxes: Lowest Decile Pre-Tax Income ($) CD2IND: Income After Taxes: Second Decile Pre-Tax Income ($)</t>
  </si>
  <si>
    <t>Income After Taxes: Second Decile Pre-Tax Income ($)</t>
  </si>
  <si>
    <t>Income After Taxes: Third Decile Pre-Tax Income ($)</t>
  </si>
  <si>
    <t>Income After Taxes: Fourth Decile Pre-Tax Income ($)</t>
  </si>
  <si>
    <t>Income After Taxes: Fifth Decile Pre-Tax Income ($)</t>
  </si>
  <si>
    <t>Income After Taxes: Sixth Decile Pre-Tax Income ($)</t>
  </si>
  <si>
    <t>Income After Taxes: Seventh Decile Pre-Tax Income ($)</t>
  </si>
  <si>
    <t>Income After Taxes: Eighth Decile Pre-Tax Income ($)</t>
  </si>
  <si>
    <t>Income After Taxes: Ninth Decile Pre-Tax Income ($)</t>
  </si>
  <si>
    <t>Income After Taxes: Highest Decile Pre-Tax Income ($)</t>
  </si>
  <si>
    <t>2027 PCE (2025$)</t>
  </si>
  <si>
    <t>Cereals and bakery products</t>
  </si>
  <si>
    <t>CD1XFHC: Average Expenditure: Cereals &amp; Bakery Products: Lowest Decile Pre-Tax Income ($) CD1IND: Income After Taxes: Lowest Decile Pre-Tax Income ($)</t>
  </si>
  <si>
    <t>Cereals &amp; Bakery Products</t>
  </si>
  <si>
    <t>.MAG</t>
  </si>
  <si>
    <t>RESULT: 0 CD1NUM: 3 CD1X: 0 CESX: 0 CESNUM: 3</t>
  </si>
  <si>
    <t>RESULT: 0 CD2NUM: 3 CD2X: 0 CESX: 0 CESNUM: 3</t>
  </si>
  <si>
    <t>RESULT: 0 CD3NUM: 3 CD3X: 0 CESX: 0 CESNUM: 3</t>
  </si>
  <si>
    <t>RESULT: 0 CD4NUM: 3 CD4X: 0 CESX: 0 CESNUM: 3</t>
  </si>
  <si>
    <t>RESULT: 0 CD5NUM: 3 CD5X: 0 CESX: 0 CESNUM: 3</t>
  </si>
  <si>
    <t>RESULT: 0 CD6NUM: 3 CD6X: 0 CESX: 0 CESNUM: 3</t>
  </si>
  <si>
    <t>RESULT: 0 CD7NUM: 3 CD7X: 0 CESX: 0 CESNUM: 3</t>
  </si>
  <si>
    <t>RESULT: 0 CD8NUM: 3 CD8X: 0 CESX: 0 CESNUM: 3</t>
  </si>
  <si>
    <t>RESULT: 0 CD9NUM: 3 CD9X: 0 CESX: 0 CESNUM: 3</t>
  </si>
  <si>
    <t>RESULT: 0 CD10NUM: 3 CD10X: 0 CESX: 0 CESNUM: 3</t>
  </si>
  <si>
    <t>RESULT: 0 CD1XFHC: 0 CD1X: 0</t>
  </si>
  <si>
    <t>RESULT: 0 CD1XFHM: 0 CD1X: 0</t>
  </si>
  <si>
    <t>RESULT: 0 CD1XFHD: 0 CD1X: 0</t>
  </si>
  <si>
    <t>RESULT: 0 CD1XFHF: 0 CD1X: 0</t>
  </si>
  <si>
    <t>RESULT: 0 CD1XFHO: 0 CD1X: 0</t>
  </si>
  <si>
    <t>RESULT: 0 CD1XFW: 0 CD1X: 0</t>
  </si>
  <si>
    <t>RESULT: 0 CD1XA: 0 CD1XOT: 0 CD1X: 0</t>
  </si>
  <si>
    <t>RESULT: 0 CD1XHS: 0 CD1X: 0</t>
  </si>
  <si>
    <t>RESULT: 0 CD1XHU: 0 CD1X: 0</t>
  </si>
  <si>
    <t>RESULT: 0 CD1XHP: 0 CD1XOP: 0 CD1X: 0</t>
  </si>
  <si>
    <t>RESULT: 0 CD1XHK: 0 CD1X: 0</t>
  </si>
  <si>
    <t>RESULT: 0 CD1XHF: 0 CD1X: 0</t>
  </si>
  <si>
    <t>RESULT: 0 CD1XP: 0 CD1X: 0</t>
  </si>
  <si>
    <t>RESULT: 0 CD1XT: 0 CD1X: 0</t>
  </si>
  <si>
    <t>RESULT: 0 CD1XM: 0 CD1X: 0</t>
  </si>
  <si>
    <t>RESULT: 0 CD1XE: 0 CD1X: 0</t>
  </si>
  <si>
    <t>RESULT: 0 CD1XOE: 0 CD1X: 0</t>
  </si>
  <si>
    <t>RESULT: 0 CD1XOM: 0 CD1X: 0</t>
  </si>
  <si>
    <t>RESULT: 0 CD1XI: 0 CD1X: 0</t>
  </si>
  <si>
    <t>RESULT: 0 CD2XFHC: 0 CD2X: 0</t>
  </si>
  <si>
    <t>RESULT: 0 CD2XFHM: 0 CD2X: 0</t>
  </si>
  <si>
    <t>RESULT: 0 CD2XFHD: 0 CD2X: 0</t>
  </si>
  <si>
    <t>RESULT: 0 CD2XFHF: 0 CD2X: 0</t>
  </si>
  <si>
    <t>RESULT: 0 CD2XFHO: 0 CD2X: 0</t>
  </si>
  <si>
    <t>RESULT: 0 CD2XFW: 0 CD2X: 0</t>
  </si>
  <si>
    <t>RESULT: 0 CD2XA: 0 CD2XOT: 0 CD2X: 0</t>
  </si>
  <si>
    <t>RESULT: 0 CD2XHS: 0 CD2X: 0</t>
  </si>
  <si>
    <t>RESULT: 0 CD2XHU: 0 CD2X: 0</t>
  </si>
  <si>
    <t>RESULT: 0 CD2XHP: 0 CD2XOP: 0 CD2X: 0</t>
  </si>
  <si>
    <t>RESULT: 0 CD2XHK: 0 CD2X: 0</t>
  </si>
  <si>
    <t>RESULT: 0 CD2XHF: 0 CD2X: 0</t>
  </si>
  <si>
    <t>RESULT: 0 CD2XP: 0 CD2X: 0</t>
  </si>
  <si>
    <t>RESULT: 0 CD2XT: 0 CD2X: 0</t>
  </si>
  <si>
    <t>RESULT: 0 CD2XM: 0 CD2X: 0</t>
  </si>
  <si>
    <t>RESULT: 0 CD2XE: 0 CD2X: 0</t>
  </si>
  <si>
    <t>RESULT: 0 CD2XOE: 0 CD2X: 0</t>
  </si>
  <si>
    <t>RESULT: 0 CD2XOM: 0 CD2X: 0</t>
  </si>
  <si>
    <t>RESULT: 0 CD2XI: 0 CD2X: 0</t>
  </si>
  <si>
    <t>RESULT: 0 CD3XFHC: 0 CD3X: 0</t>
  </si>
  <si>
    <t>RESULT: 0 CD3XFHM: 0 CD3X: 0</t>
  </si>
  <si>
    <t>RESULT: 0 CD3XFHD: 0 CD3X: 0</t>
  </si>
  <si>
    <t>RESULT: 0 CD3XFHF: 0 CD3X: 0</t>
  </si>
  <si>
    <t>RESULT: 0 CD3XFHO: 0 CD3X: 0</t>
  </si>
  <si>
    <t>RESULT: 0 CD3XFW: 0 CD3X: 0</t>
  </si>
  <si>
    <t>RESULT: 0 CD3XA: 0 CD3XOT: 0 CD3X: 0</t>
  </si>
  <si>
    <t>RESULT: 0 CD3XHS: 0 CD3X: 0</t>
  </si>
  <si>
    <t>RESULT: 0 CD3XHU: 0 CD3X: 0</t>
  </si>
  <si>
    <t>RESULT: 0 CD3XHP: 0 CD3XOP: 0 CD3X: 0</t>
  </si>
  <si>
    <t>RESULT: 0 CD3XHK: 0 CD3X: 0</t>
  </si>
  <si>
    <t>RESULT: 0 CD3XHF: 0 CD3X: 0</t>
  </si>
  <si>
    <t>RESULT: 0 CD3XP: 0 CD3X: 0</t>
  </si>
  <si>
    <t>RESULT: 0 CD3XT: 0 CD3X: 0</t>
  </si>
  <si>
    <t>RESULT: 0 CD3XM: 0 CD3X: 0</t>
  </si>
  <si>
    <t>RESULT: 0 CD3XE: 0 CD3X: 0</t>
  </si>
  <si>
    <t>RESULT: 0 CD3XOE: 0 CD3X: 0</t>
  </si>
  <si>
    <t>RESULT: 0 CD3XOM: 0 CD3X: 0</t>
  </si>
  <si>
    <t>RESULT: 0 CD3XI: 0 CD3X: 0</t>
  </si>
  <si>
    <t>RESULT: 0 CD4XFHC: 0 CD4X: 0</t>
  </si>
  <si>
    <t>RESULT: 0 CD4XFHM: 0 CD4X: 0</t>
  </si>
  <si>
    <t>RESULT: 0 CD4XFHD: 0 CD4X: 0</t>
  </si>
  <si>
    <t>RESULT: 0 CD4XFHF: 0 CD4X: 0</t>
  </si>
  <si>
    <t>RESULT: 0 CD4XFHO: 0 CD4X: 0</t>
  </si>
  <si>
    <t>RESULT: 0 CD4XFW: 0 CD4X: 0</t>
  </si>
  <si>
    <t>RESULT: 0 CD4XA: 0 CD4XOT: 0 CD4X: 0</t>
  </si>
  <si>
    <t>RESULT: 0 CD4XHS: 0 CD4X: 0</t>
  </si>
  <si>
    <t>RESULT: 0 CD4XHU: 0 CD4X: 0</t>
  </si>
  <si>
    <t>RESULT: 0 CD4XHP: 0 CD4XOP: 0 CD4X: 0</t>
  </si>
  <si>
    <t>RESULT: 0 CD4XHK: 0 CD4X: 0</t>
  </si>
  <si>
    <t>RESULT: 0 CD4XHF: 0 CD4X: 0</t>
  </si>
  <si>
    <t>RESULT: 0 CD4XP: 0 CD4X: 0</t>
  </si>
  <si>
    <t>RESULT: 0 CD4XT: 0 CD4X: 0</t>
  </si>
  <si>
    <t>RESULT: 0 CD4XM: 0 CD4X: 0</t>
  </si>
  <si>
    <t>RESULT: 0 CD4XE: 0 CD4X: 0</t>
  </si>
  <si>
    <t>RESULT: 0 CD4XOE: 0 CD4X: 0</t>
  </si>
  <si>
    <t>RESULT: 0 CD4XOM: 0 CD4X: 0</t>
  </si>
  <si>
    <t>RESULT: 0 CD4XI: 0 CD4X: 0</t>
  </si>
  <si>
    <t>RESULT: 0 CD5XFHC: 0 CD5X: 0</t>
  </si>
  <si>
    <t>RESULT: 0 CD5XFHM: 0 CD5X: 0</t>
  </si>
  <si>
    <t>RESULT: 0 CD5XFHD: 0 CD5X: 0</t>
  </si>
  <si>
    <t>RESULT: 0 CD5XFHF: 0 CD5X: 0</t>
  </si>
  <si>
    <t>RESULT: 0 CD5XFHO: 0 CD5X: 0</t>
  </si>
  <si>
    <t>RESULT: 0 CD5XFW: 0 CD5X: 0</t>
  </si>
  <si>
    <t>RESULT: 0 CD5XA: 0 CD5XOT: 0 CD5X: 0</t>
  </si>
  <si>
    <t>RESULT: 0 CD5XHS: 0 CD5X: 0</t>
  </si>
  <si>
    <t>RESULT: 0 CD5XHU: 0 CD5X: 0</t>
  </si>
  <si>
    <t>RESULT: 0 CD5XHP: 0 CD5XOP: 0 CD5X: 0</t>
  </si>
  <si>
    <t>RESULT: 0 CD5XHK: 0 CD5X: 0</t>
  </si>
  <si>
    <t>RESULT: 0 CD5XHF: 0 CD5X: 0</t>
  </si>
  <si>
    <t>RESULT: 0 CD5XP: 0 CD5X: 0</t>
  </si>
  <si>
    <t>RESULT: 0 CD5XT: 0 CD5X: 0</t>
  </si>
  <si>
    <t>RESULT: 0 CD5XM: 0 CD5X: 0</t>
  </si>
  <si>
    <t>RESULT: 0 CD5XE: 0 CD5X: 0</t>
  </si>
  <si>
    <t>RESULT: 0 CD5XOE: 0 CD5X: 0</t>
  </si>
  <si>
    <t>RESULT: 0 CD5XOM: 0 CD5X: 0</t>
  </si>
  <si>
    <t>RESULT: 0 CD5XI: 0 CD5X: 0</t>
  </si>
  <si>
    <t>RESULT: 0 CD6XFHC: 0 CD6X: 0</t>
  </si>
  <si>
    <t>RESULT: 0 CD6XFHM: 0 CD6X: 0</t>
  </si>
  <si>
    <t>RESULT: 0 CD6XFHD: 0 CD6X: 0</t>
  </si>
  <si>
    <t>RESULT: 0 CD6XFHF: 0 CD6X: 0</t>
  </si>
  <si>
    <t>RESULT: 0 CD6XFHO: 0 CD6X: 0</t>
  </si>
  <si>
    <t>RESULT: 0 CD6XFW: 0 CD6X: 0</t>
  </si>
  <si>
    <t>RESULT: 0 CD6XA: 0 CD6XOT: 0 CD6X: 0</t>
  </si>
  <si>
    <t>RESULT: 0 CD6XHS: 0 CD6X: 0</t>
  </si>
  <si>
    <t>RESULT: 0 CD6XHU: 0 CD6X: 0</t>
  </si>
  <si>
    <t>RESULT: 0 CD6XHP: 0 CD6XOP: 0 CD6X: 0</t>
  </si>
  <si>
    <t>RESULT: 0 CD6XHK: 0 CD6X: 0</t>
  </si>
  <si>
    <t>RESULT: 0 CD6XHF: 0 CD6X: 0</t>
  </si>
  <si>
    <t>RESULT: 0 CD6XP: 0 CD6X: 0</t>
  </si>
  <si>
    <t>RESULT: 0 CD6XT: 0 CD6X: 0</t>
  </si>
  <si>
    <t>RESULT: 0 CD6XM: 0 CD6X: 0</t>
  </si>
  <si>
    <t>RESULT: 0 CD6XE: 0 CD6X: 0</t>
  </si>
  <si>
    <t>RESULT: 0 CD6XOE: 0 CD6X: 0</t>
  </si>
  <si>
    <t>RESULT: 0 CD6XOM: 0 CD6X: 0</t>
  </si>
  <si>
    <t>RESULT: 0 CD6XI: 0 CD6X: 0</t>
  </si>
  <si>
    <t>RESULT: 0 CD7XFHC: 0 CD7X: 0</t>
  </si>
  <si>
    <t>RESULT: 0 CD7XFHM: 0 CD7X: 0</t>
  </si>
  <si>
    <t>RESULT: 0 CD7XFHD: 0 CD7X: 0</t>
  </si>
  <si>
    <t>RESULT: 0 CD7XFHF: 0 CD7X: 0</t>
  </si>
  <si>
    <t>RESULT: 0 CD7XFHO: 0 CD7X: 0</t>
  </si>
  <si>
    <t>RESULT: 0 CD7XFW: 0 CD7X: 0</t>
  </si>
  <si>
    <t>RESULT: 0 CD7XA: 0 CD7XOT: 0 CD7X: 0</t>
  </si>
  <si>
    <t>RESULT: 0 CD7XHS: 0 CD7X: 0</t>
  </si>
  <si>
    <t>RESULT: 0 CD7XHU: 0 CD7X: 0</t>
  </si>
  <si>
    <t>RESULT: 0 CD7XHP: 0 CD7XOP: 0 CD7X: 0</t>
  </si>
  <si>
    <t>RESULT: 0 CD7XHK: 0 CD7X: 0</t>
  </si>
  <si>
    <t>RESULT: 0 CD7XHF: 0 CD7X: 0</t>
  </si>
  <si>
    <t>RESULT: 0 CD7XP: 0 CD7X: 0</t>
  </si>
  <si>
    <t>RESULT: 0 CD7XT: 0 CD7X: 0</t>
  </si>
  <si>
    <t>RESULT: 0 CD7XM: 0 CD7X: 0</t>
  </si>
  <si>
    <t>RESULT: 0 CD7XE: 0 CD7X: 0</t>
  </si>
  <si>
    <t>RESULT: 0 CD7XOE: 0 CD7X: 0</t>
  </si>
  <si>
    <t>RESULT: 0 CD7XOM: 0 CD7X: 0</t>
  </si>
  <si>
    <t>RESULT: 0 CD7XI: 0 CD7X: 0</t>
  </si>
  <si>
    <t>RESULT: 0 CD8XFHC: 0 CD8X: 0</t>
  </si>
  <si>
    <t>RESULT: 0 CD8XFHM: 0 CD8X: 0</t>
  </si>
  <si>
    <t>RESULT: 0 CD8XFHD: 0 CD8X: 0</t>
  </si>
  <si>
    <t>RESULT: 0 CD8XFHF: 0 CD8X: 0</t>
  </si>
  <si>
    <t>RESULT: 0 CD8XFHO: 0 CD8X: 0</t>
  </si>
  <si>
    <t>RESULT: 0 CD8XFW: 0 CD8X: 0</t>
  </si>
  <si>
    <t>RESULT: 0 CD8XA: 0 CD8XOT: 0 CD8X: 0</t>
  </si>
  <si>
    <t>RESULT: 0 CD8XHS: 0 CD8X: 0</t>
  </si>
  <si>
    <t>RESULT: 0 CD8XHU: 0 CD8X: 0</t>
  </si>
  <si>
    <t>RESULT: 0 CD8XHP: 0 CD8XOP: 0 CD8X: 0</t>
  </si>
  <si>
    <t>RESULT: 0 CD8XHK: 0 CD8X: 0</t>
  </si>
  <si>
    <t>RESULT: 0 CD8XHF: 0 CD8X: 0</t>
  </si>
  <si>
    <t>RESULT: 0 CD8XP: 0 CD8X: 0</t>
  </si>
  <si>
    <t>RESULT: 0 CD8XT: 0 CD8X: 0</t>
  </si>
  <si>
    <t>RESULT: 0 CD8XM: 0 CD8X: 0</t>
  </si>
  <si>
    <t>RESULT: 0 CD8XE: 0 CD8X: 0</t>
  </si>
  <si>
    <t>RESULT: 0 CD8XOE: 0 CD8X: 0</t>
  </si>
  <si>
    <t>RESULT: 0 CD8XOM: 0 CD8X: 0</t>
  </si>
  <si>
    <t>RESULT: 0 CD8XI: 0 CD8X: 0</t>
  </si>
  <si>
    <t>RESULT: 0 CD9XFHC: 0 CD9X: 0</t>
  </si>
  <si>
    <t>RESULT: 0 CD9XFHM: 0 CD9X: 0</t>
  </si>
  <si>
    <t>RESULT: 0 CD9XFHD: 0 CD9X: 0</t>
  </si>
  <si>
    <t>RESULT: 0 CD9XFHF: 0 CD9X: 0</t>
  </si>
  <si>
    <t>RESULT: 0 CD9XFHO: 0 CD9X: 0</t>
  </si>
  <si>
    <t>RESULT: 0 CD9XFW: 0 CD9X: 0</t>
  </si>
  <si>
    <t>RESULT: 0 CD9XA: 0 CD9XOT: 0 CD9X: 0</t>
  </si>
  <si>
    <t>RESULT: 0 CD9XHS: 0 CD9X: 0</t>
  </si>
  <si>
    <t>RESULT: 0 CD9XHU: 0 CD9X: 0</t>
  </si>
  <si>
    <t>RESULT: 0 CD9XHP: 0 CD9XOP: 0 CD9X: 0</t>
  </si>
  <si>
    <t>RESULT: 0 CD9XHK: 0 CD9X: 0</t>
  </si>
  <si>
    <t>RESULT: 0 CD9XHF: 0 CD9X: 0</t>
  </si>
  <si>
    <t>RESULT: 0 CD9XP: 0 CD9X: 0</t>
  </si>
  <si>
    <t>RESULT: 0 CD9XT: 0 CD9X: 0</t>
  </si>
  <si>
    <t>RESULT: 0 CD9XM: 0 CD9X: 0</t>
  </si>
  <si>
    <t>RESULT: 0 CD9XE: 0 CD9X: 0</t>
  </si>
  <si>
    <t>RESULT: 0 CD9XOE: 0 CD9X: 0</t>
  </si>
  <si>
    <t>RESULT: 0 CD9XOM: 0 CD9X: 0</t>
  </si>
  <si>
    <t>RESULT: 0 CD9XI: 0 CD9X: 0</t>
  </si>
  <si>
    <t>RESULT: 0 CD10XFHC: 0 CD10X: 0</t>
  </si>
  <si>
    <t>RESULT: 0 CD10XFHM: 0 CD10X: 0</t>
  </si>
  <si>
    <t>RESULT: 0 CD10XFHD: 0 CD10X: 0</t>
  </si>
  <si>
    <t>RESULT: 0 CD10XFHF: 0 CD10X: 0</t>
  </si>
  <si>
    <t>RESULT: 0 CD10XFHO: 0 CD10X: 0</t>
  </si>
  <si>
    <t>RESULT: 0 CD10XFW: 0 CD10X: 0</t>
  </si>
  <si>
    <t>RESULT: 0 CD10XA: 0 CD10XOT: 0 CD10X: 0</t>
  </si>
  <si>
    <t>RESULT: 0 CD10XHS: 0 CD10X: 0</t>
  </si>
  <si>
    <t>RESULT: 0 CD10XHU: 0 CD10X: 0</t>
  </si>
  <si>
    <t>RESULT: 0 CD10XHP: 0 CD10XOP: 0 CD10X: 0</t>
  </si>
  <si>
    <t>RESULT: 0 CD10XHK: 0 CD10X: 0</t>
  </si>
  <si>
    <t>RESULT: 0 CD10XHF: 0 CD10X: 0</t>
  </si>
  <si>
    <t>RESULT: 0 CD10XP: 0 CD10X: 0</t>
  </si>
  <si>
    <t>RESULT: 0 CD10XT: 0 CD10X: 0</t>
  </si>
  <si>
    <t>RESULT: 0 CD10XM: 0 CD10X: 0</t>
  </si>
  <si>
    <t>RESULT: 0 CD10XE: 0 CD10X: 0</t>
  </si>
  <si>
    <t>RESULT: 0 CD10XOE: 0 CD10X: 0</t>
  </si>
  <si>
    <t>RESULT: 0 CD10XOM: 0 CD10X: 0</t>
  </si>
  <si>
    <t>RESULT: 0 CD10XI: 0 CD10X: 0</t>
  </si>
  <si>
    <t>RESULT: 0 CD1IND: 0 CD2IND: 0</t>
  </si>
  <si>
    <t>0</t>
  </si>
  <si>
    <t>2027 Households</t>
  </si>
  <si>
    <t>Meats, poultry, fish, and eggs</t>
  </si>
  <si>
    <t>CD1XFHM: Avg Expenditure: Meats, Poultry, Fish and Eggs: Lowest Decile Pre-Tax Income ($) CD1IND: Income After Taxes: Lowest Decile Pre-Tax Income ($)</t>
  </si>
  <si>
    <t>Meats, Poultry, Fish and Eggs</t>
  </si>
  <si>
    <t>.GRP</t>
  </si>
  <si>
    <t>CD1NUM: C94 CD1X: C94 CESX: C94 CESNUM: C94</t>
  </si>
  <si>
    <t>CD2NUM: C94 CD2X: C94 CESX: C94 CESNUM: C94</t>
  </si>
  <si>
    <t>CD3NUM: C94 CD3X: C94 CESX: C94 CESNUM: C94</t>
  </si>
  <si>
    <t>CD4NUM: C94 CD4X: C94 CESX: C94 CESNUM: C94</t>
  </si>
  <si>
    <t>CD5NUM: C94 CD5X: C94 CESX: C94 CESNUM: C94</t>
  </si>
  <si>
    <t>CD6NUM: C94 CD6X: C94 CESX: C94 CESNUM: C94</t>
  </si>
  <si>
    <t>CD7NUM: C94 CD7X: C94 CESX: C94 CESNUM: C94</t>
  </si>
  <si>
    <t>CD8NUM: C94 CD8X: C94 CESX: C94 CESNUM: C94</t>
  </si>
  <si>
    <t>CD9NUM: C94 CD9X: C94 CESX: C94 CESNUM: C94</t>
  </si>
  <si>
    <t>CD10NUM: C94 CD10X: C94 CESX: C94 CESNUM: C94</t>
  </si>
  <si>
    <t>CD1XFHC: C94 CD1X: C94</t>
  </si>
  <si>
    <t>CD1XFHM: C94 CD1X: C94</t>
  </si>
  <si>
    <t>CD1XFHD: C94 CD1X: C94</t>
  </si>
  <si>
    <t>CD1XFHF: C94 CD1X: C94</t>
  </si>
  <si>
    <t>CD1XFHO: C94 CD1X: C94</t>
  </si>
  <si>
    <t>CD1XFW: C94 CD1X: C94</t>
  </si>
  <si>
    <t>CD1XA: C94 CD1XOT: C94 CD1X: C94</t>
  </si>
  <si>
    <t>CD1XHS: C94 CD1X: C94</t>
  </si>
  <si>
    <t>CD1XHU: C94 CD1X: C94</t>
  </si>
  <si>
    <t>CD1XHP: C94 CD1XOP: C94 CD1X: C94</t>
  </si>
  <si>
    <t>CD1XHK: C94 CD1X: C94</t>
  </si>
  <si>
    <t>CD1XHF: C94 CD1X: C94</t>
  </si>
  <si>
    <t>CD1XP: C94 CD1X: C94</t>
  </si>
  <si>
    <t>CD1XT: C94 CD1X: C94</t>
  </si>
  <si>
    <t>CD1XM: C94 CD1X: C94</t>
  </si>
  <si>
    <t>CD1XE: C94 CD1X: C94</t>
  </si>
  <si>
    <t>CD1XOE: C94 CD1X: C94</t>
  </si>
  <si>
    <t>CD1XOM: C94 CD1X: C94</t>
  </si>
  <si>
    <t>CD1XI: C94 CD1X: C94</t>
  </si>
  <si>
    <t>CD2XFHC: C94 CD2X: C94</t>
  </si>
  <si>
    <t>CD2XFHM: C94 CD2X: C94</t>
  </si>
  <si>
    <t>CD2XFHD: C94 CD2X: C94</t>
  </si>
  <si>
    <t>CD2XFHF: C94 CD2X: C94</t>
  </si>
  <si>
    <t>CD2XFHO: C94 CD2X: C94</t>
  </si>
  <si>
    <t>CD2XFW: C94 CD2X: C94</t>
  </si>
  <si>
    <t>CD2XA: C94 CD2XOT: C94 CD2X: C94</t>
  </si>
  <si>
    <t>CD2XHS: C94 CD2X: C94</t>
  </si>
  <si>
    <t>CD2XHU: C94 CD2X: C94</t>
  </si>
  <si>
    <t>CD2XHP: C94 CD2XOP: C94 CD2X: C94</t>
  </si>
  <si>
    <t>CD2XHK: C94 CD2X: C94</t>
  </si>
  <si>
    <t>CD2XHF: C94 CD2X: C94</t>
  </si>
  <si>
    <t>CD2XP: C94 CD2X: C94</t>
  </si>
  <si>
    <t>CD2XT: C94 CD2X: C94</t>
  </si>
  <si>
    <t>CD2XM: C94 CD2X: C94</t>
  </si>
  <si>
    <t>CD2XE: C94 CD2X: C94</t>
  </si>
  <si>
    <t>CD2XOE: C94 CD2X: C94</t>
  </si>
  <si>
    <t>CD2XOM: C94 CD2X: C94</t>
  </si>
  <si>
    <t>CD2XI: C94 CD2X: C94</t>
  </si>
  <si>
    <t>CD3XFHC: C94 CD3X: C94</t>
  </si>
  <si>
    <t>CD3XFHM: C94 CD3X: C94</t>
  </si>
  <si>
    <t>CD3XFHD: C94 CD3X: C94</t>
  </si>
  <si>
    <t>CD3XFHF: C94 CD3X: C94</t>
  </si>
  <si>
    <t>CD3XFHO: C94 CD3X: C94</t>
  </si>
  <si>
    <t>CD3XFW: C94 CD3X: C94</t>
  </si>
  <si>
    <t>CD3XA: C94 CD3XOT: C94 CD3X: C94</t>
  </si>
  <si>
    <t>CD3XHS: C94 CD3X: C94</t>
  </si>
  <si>
    <t>CD3XHU: C94 CD3X: C94</t>
  </si>
  <si>
    <t>CD3XHP: C94 CD3XOP: C94 CD3X: C94</t>
  </si>
  <si>
    <t>CD3XHK: C94 CD3X: C94</t>
  </si>
  <si>
    <t>CD3XHF: C94 CD3X: C94</t>
  </si>
  <si>
    <t>CD3XP: C94 CD3X: C94</t>
  </si>
  <si>
    <t>CD3XT: C94 CD3X: C94</t>
  </si>
  <si>
    <t>CD3XM: C94 CD3X: C94</t>
  </si>
  <si>
    <t>CD3XE: C94 CD3X: C94</t>
  </si>
  <si>
    <t>CD3XOE: C94 CD3X: C94</t>
  </si>
  <si>
    <t>CD3XOM: C94 CD3X: C94</t>
  </si>
  <si>
    <t>CD3XI: C94 CD3X: C94</t>
  </si>
  <si>
    <t>CD4XFHC: C94 CD4X: C94</t>
  </si>
  <si>
    <t>CD4XFHM: C94 CD4X: C94</t>
  </si>
  <si>
    <t>CD4XFHD: C94 CD4X: C94</t>
  </si>
  <si>
    <t>CD4XFHF: C94 CD4X: C94</t>
  </si>
  <si>
    <t>CD4XFHO: C94 CD4X: C94</t>
  </si>
  <si>
    <t>CD4XFW: C94 CD4X: C94</t>
  </si>
  <si>
    <t>CD4XA: C94 CD4XOT: C94 CD4X: C94</t>
  </si>
  <si>
    <t>CD4XHS: C94 CD4X: C94</t>
  </si>
  <si>
    <t>CD4XHU: C94 CD4X: C94</t>
  </si>
  <si>
    <t>CD4XHP: C94 CD4XOP: C94 CD4X: C94</t>
  </si>
  <si>
    <t>CD4XHK: C94 CD4X: C94</t>
  </si>
  <si>
    <t>CD4XHF: C94 CD4X: C94</t>
  </si>
  <si>
    <t>CD4XP: C94 CD4X: C94</t>
  </si>
  <si>
    <t>CD4XT: C94 CD4X: C94</t>
  </si>
  <si>
    <t>CD4XM: C94 CD4X: C94</t>
  </si>
  <si>
    <t>CD4XE: C94 CD4X: C94</t>
  </si>
  <si>
    <t>CD4XOE: C94 CD4X: C94</t>
  </si>
  <si>
    <t>CD4XOM: C94 CD4X: C94</t>
  </si>
  <si>
    <t>CD4XI: C94 CD4X: C94</t>
  </si>
  <si>
    <t>CD5XFHC: C94 CD5X: C94</t>
  </si>
  <si>
    <t>CD5XFHM: C94 CD5X: C94</t>
  </si>
  <si>
    <t>CD5XFHD: C94 CD5X: C94</t>
  </si>
  <si>
    <t>CD5XFHF: C94 CD5X: C94</t>
  </si>
  <si>
    <t>CD5XFHO: C94 CD5X: C94</t>
  </si>
  <si>
    <t>CD5XFW: C94 CD5X: C94</t>
  </si>
  <si>
    <t>CD5XA: C94 CD5XOT: C94 CD5X: C94</t>
  </si>
  <si>
    <t>CD5XHS: C94 CD5X: C94</t>
  </si>
  <si>
    <t>CD5XHU: C94 CD5X: C94</t>
  </si>
  <si>
    <t>CD5XHP: C94 CD5XOP: C94 CD5X: C94</t>
  </si>
  <si>
    <t>CD5XHK: C94 CD5X: C94</t>
  </si>
  <si>
    <t>CD5XHF: C94 CD5X: C94</t>
  </si>
  <si>
    <t>CD5XP: C94 CD5X: C94</t>
  </si>
  <si>
    <t>CD5XT: C94 CD5X: C94</t>
  </si>
  <si>
    <t>CD5XM: C94 CD5X: C94</t>
  </si>
  <si>
    <t>CD5XE: C94 CD5X: C94</t>
  </si>
  <si>
    <t>CD5XOE: C94 CD5X: C94</t>
  </si>
  <si>
    <t>CD5XOM: C94 CD5X: C94</t>
  </si>
  <si>
    <t>CD5XI: C94 CD5X: C94</t>
  </si>
  <si>
    <t>CD6XFHC: C94 CD6X: C94</t>
  </si>
  <si>
    <t>CD6XFHM: C94 CD6X: C94</t>
  </si>
  <si>
    <t>CD6XFHD: C94 CD6X: C94</t>
  </si>
  <si>
    <t>CD6XFHF: C94 CD6X: C94</t>
  </si>
  <si>
    <t>CD6XFHO: C94 CD6X: C94</t>
  </si>
  <si>
    <t>CD6XFW: C94 CD6X: C94</t>
  </si>
  <si>
    <t>CD6XA: C94 CD6XOT: C94 CD6X: C94</t>
  </si>
  <si>
    <t>CD6XHS: C94 CD6X: C94</t>
  </si>
  <si>
    <t>CD6XHU: C94 CD6X: C94</t>
  </si>
  <si>
    <t>CD6XHP: C94 CD6XOP: C94 CD6X: C94</t>
  </si>
  <si>
    <t>CD6XHK: C94 CD6X: C94</t>
  </si>
  <si>
    <t>CD6XHF: C94 CD6X: C94</t>
  </si>
  <si>
    <t>CD6XP: C94 CD6X: C94</t>
  </si>
  <si>
    <t>CD6XT: C94 CD6X: C94</t>
  </si>
  <si>
    <t>CD6XM: C94 CD6X: C94</t>
  </si>
  <si>
    <t>CD6XE: C94 CD6X: C94</t>
  </si>
  <si>
    <t>CD6XOE: C94 CD6X: C94</t>
  </si>
  <si>
    <t>CD6XOM: C94 CD6X: C94</t>
  </si>
  <si>
    <t>CD6XI: C94 CD6X: C94</t>
  </si>
  <si>
    <t>CD7XFHC: C94 CD7X: C94</t>
  </si>
  <si>
    <t>CD7XFHM: C94 CD7X: C94</t>
  </si>
  <si>
    <t>CD7XFHD: C94 CD7X: C94</t>
  </si>
  <si>
    <t>CD7XFHF: C94 CD7X: C94</t>
  </si>
  <si>
    <t>CD7XFHO: C94 CD7X: C94</t>
  </si>
  <si>
    <t>CD7XFW: C94 CD7X: C94</t>
  </si>
  <si>
    <t>CD7XA: C94 CD7XOT: C94 CD7X: C94</t>
  </si>
  <si>
    <t>CD7XHS: C94 CD7X: C94</t>
  </si>
  <si>
    <t>CD7XHU: C94 CD7X: C94</t>
  </si>
  <si>
    <t>CD7XHP: C94 CD7XOP: C94 CD7X: C94</t>
  </si>
  <si>
    <t>CD7XHK: C94 CD7X: C94</t>
  </si>
  <si>
    <t>CD7XHF: C94 CD7X: C94</t>
  </si>
  <si>
    <t>CD7XP: C94 CD7X: C94</t>
  </si>
  <si>
    <t>CD7XT: C94 CD7X: C94</t>
  </si>
  <si>
    <t>CD7XM: C94 CD7X: C94</t>
  </si>
  <si>
    <t>CD7XE: C94 CD7X: C94</t>
  </si>
  <si>
    <t>CD7XOE: C94 CD7X: C94</t>
  </si>
  <si>
    <t>CD7XOM: C94 CD7X: C94</t>
  </si>
  <si>
    <t>CD7XI: C94 CD7X: C94</t>
  </si>
  <si>
    <t>CD8XFHC: C94 CD8X: C94</t>
  </si>
  <si>
    <t>CD8XFHM: C94 CD8X: C94</t>
  </si>
  <si>
    <t>CD8XFHD: C94 CD8X: C94</t>
  </si>
  <si>
    <t>CD8XFHF: C94 CD8X: C94</t>
  </si>
  <si>
    <t>CD8XFHO: C94 CD8X: C94</t>
  </si>
  <si>
    <t>CD8XFW: C94 CD8X: C94</t>
  </si>
  <si>
    <t>CD8XA: C94 CD8XOT: C94 CD8X: C94</t>
  </si>
  <si>
    <t>CD8XHS: C94 CD8X: C94</t>
  </si>
  <si>
    <t>CD8XHU: C94 CD8X: C94</t>
  </si>
  <si>
    <t>CD8XHP: C94 CD8XOP: C94 CD8X: C94</t>
  </si>
  <si>
    <t>CD8XHK: C94 CD8X: C94</t>
  </si>
  <si>
    <t>CD8XHF: C94 CD8X: C94</t>
  </si>
  <si>
    <t>CD8XP: C94 CD8X: C94</t>
  </si>
  <si>
    <t>CD8XT: C94 CD8X: C94</t>
  </si>
  <si>
    <t>CD8XM: C94 CD8X: C94</t>
  </si>
  <si>
    <t>CD8XE: C94 CD8X: C94</t>
  </si>
  <si>
    <t>CD8XOE: C94 CD8X: C94</t>
  </si>
  <si>
    <t>CD8XOM: C94 CD8X: C94</t>
  </si>
  <si>
    <t>CD8XI: C94 CD8X: C94</t>
  </si>
  <si>
    <t>CD9XFHC: C94 CD9X: C94</t>
  </si>
  <si>
    <t>CD9XFHM: C94 CD9X: C94</t>
  </si>
  <si>
    <t>CD9XFHD: C94 CD9X: C94</t>
  </si>
  <si>
    <t>CD9XFHF: C94 CD9X: C94</t>
  </si>
  <si>
    <t>CD9XFHO: C94 CD9X: C94</t>
  </si>
  <si>
    <t>CD9XFW: C94 CD9X: C94</t>
  </si>
  <si>
    <t>CD9XA: C94 CD9XOT: C94 CD9X: C94</t>
  </si>
  <si>
    <t>CD9XHS: C94 CD9X: C94</t>
  </si>
  <si>
    <t>CD9XHU: C94 CD9X: C94</t>
  </si>
  <si>
    <t>CD9XHP: C94 CD9XOP: C94 CD9X: C94</t>
  </si>
  <si>
    <t>CD9XHK: C94 CD9X: C94</t>
  </si>
  <si>
    <t>CD9XHF: C94 CD9X: C94</t>
  </si>
  <si>
    <t>CD9XP: C94 CD9X: C94</t>
  </si>
  <si>
    <t>CD9XT: C94 CD9X: C94</t>
  </si>
  <si>
    <t>CD9XM: C94 CD9X: C94</t>
  </si>
  <si>
    <t>CD9XE: C94 CD9X: C94</t>
  </si>
  <si>
    <t>CD9XOE: C94 CD9X: C94</t>
  </si>
  <si>
    <t>CD9XOM: C94 CD9X: C94</t>
  </si>
  <si>
    <t>CD9XI: C94 CD9X: C94</t>
  </si>
  <si>
    <t>CD10XFHC: C94 CD10X: C94</t>
  </si>
  <si>
    <t>CD10XFHM: C94 CD10X: C94</t>
  </si>
  <si>
    <t>CD10XFHD: C94 CD10X: C94</t>
  </si>
  <si>
    <t>CD10XFHF: C94 CD10X: C94</t>
  </si>
  <si>
    <t>CD10XFHO: C94 CD10X: C94</t>
  </si>
  <si>
    <t>CD10XFW: C94 CD10X: C94</t>
  </si>
  <si>
    <t>CD10XA: C94 CD10XOT: C94 CD10X: C94</t>
  </si>
  <si>
    <t>CD10XHS: C94 CD10X: C94</t>
  </si>
  <si>
    <t>CD10XHU: C94 CD10X: C94</t>
  </si>
  <si>
    <t>CD10XHP: C94 CD10XOP: C94 CD10X: C94</t>
  </si>
  <si>
    <t>CD10XHK: C94 CD10X: C94</t>
  </si>
  <si>
    <t>CD10XHF: C94 CD10X: C94</t>
  </si>
  <si>
    <t>CD10XP: C94 CD10X: C94</t>
  </si>
  <si>
    <t>CD10XT: C94 CD10X: C94</t>
  </si>
  <si>
    <t>CD10XM: C94 CD10X: C94</t>
  </si>
  <si>
    <t>CD10XE: C94 CD10X: C94</t>
  </si>
  <si>
    <t>CD10XOE: C94 CD10X: C94</t>
  </si>
  <si>
    <t>CD10XOM: C94 CD10X: C94</t>
  </si>
  <si>
    <t>CD10XI: C94 CD10X: C94</t>
  </si>
  <si>
    <t>CD1IND: C94 CD2IND: C94</t>
  </si>
  <si>
    <t>C94</t>
  </si>
  <si>
    <t>Fruits and vegetables</t>
  </si>
  <si>
    <t>Dairy Products</t>
  </si>
  <si>
    <t>CD1XFHD: Average Annual Expenditures: Dairy Products: Lowest Decile Pre-Tax Income ($) CD1IND: Income After Taxes: Lowest Decile Pre-Tax Income ($)</t>
  </si>
  <si>
    <t>.GRPDESC</t>
  </si>
  <si>
    <t>CD1NUM: Consumer Expenditure Survey CD1X: Consumer Expenditure Survey CESX: Consumer Expenditure Survey CESNUM: Consumer Expenditure Survey</t>
  </si>
  <si>
    <t>CD2NUM: Consumer Expenditure Survey CD2X: Consumer Expenditure Survey CESX: Consumer Expenditure Survey CESNUM: Consumer Expenditure Survey</t>
  </si>
  <si>
    <t>CD3NUM: Consumer Expenditure Survey CD3X: Consumer Expenditure Survey CESX: Consumer Expenditure Survey CESNUM: Consumer Expenditure Survey</t>
  </si>
  <si>
    <t>CD4NUM: Consumer Expenditure Survey CD4X: Consumer Expenditure Survey CESX: Consumer Expenditure Survey CESNUM: Consumer Expenditure Survey</t>
  </si>
  <si>
    <t>CD5NUM: Consumer Expenditure Survey CD5X: Consumer Expenditure Survey CESX: Consumer Expenditure Survey CESNUM: Consumer Expenditure Survey</t>
  </si>
  <si>
    <t>CD6NUM: Consumer Expenditure Survey CD6X: Consumer Expenditure Survey CESX: Consumer Expenditure Survey CESNUM: Consumer Expenditure Survey</t>
  </si>
  <si>
    <t>CD7NUM: Consumer Expenditure Survey CD7X: Consumer Expenditure Survey CESX: Consumer Expenditure Survey CESNUM: Consumer Expenditure Survey</t>
  </si>
  <si>
    <t>CD8NUM: Consumer Expenditure Survey CD8X: Consumer Expenditure Survey CESX: Consumer Expenditure Survey CESNUM: Consumer Expenditure Survey</t>
  </si>
  <si>
    <t>CD9NUM: Consumer Expenditure Survey CD9X: Consumer Expenditure Survey CESX: Consumer Expenditure Survey CESNUM: Consumer Expenditure Survey</t>
  </si>
  <si>
    <t>CD10NUM: Consumer Expenditure Survey CD10X: Consumer Expenditure Survey CESX: Consumer Expenditure Survey CESNUM: Consumer Expenditure Survey</t>
  </si>
  <si>
    <t>CD1XFHC: Consumer Expenditure Survey CD1X: Consumer Expenditure Survey</t>
  </si>
  <si>
    <t>CD1XFHM: Consumer Expenditure Survey CD1X: Consumer Expenditure Survey</t>
  </si>
  <si>
    <t>CD1XFHD: Consumer Expenditure Survey CD1X: Consumer Expenditure Survey</t>
  </si>
  <si>
    <t>CD1XFHF: Consumer Expenditure Survey CD1X: Consumer Expenditure Survey</t>
  </si>
  <si>
    <t>CD1XFHO: Consumer Expenditure Survey CD1X: Consumer Expenditure Survey</t>
  </si>
  <si>
    <t>CD1XFW: Consumer Expenditure Survey CD1X: Consumer Expenditure Survey</t>
  </si>
  <si>
    <t>CD1XA: Consumer Expenditure Survey CD1XOT: Consumer Expenditure Survey CD1X: Consumer Expenditure Survey</t>
  </si>
  <si>
    <t>CD1XHS: Consumer Expenditure Survey CD1X: Consumer Expenditure Survey</t>
  </si>
  <si>
    <t>CD1XHU: Consumer Expenditure Survey CD1X: Consumer Expenditure Survey</t>
  </si>
  <si>
    <t>CD1XHP: Consumer Expenditure Survey CD1XOP: Consumer Expenditure Survey CD1X: Consumer Expenditure Survey</t>
  </si>
  <si>
    <t>CD1XHK: Consumer Expenditure Survey CD1X: Consumer Expenditure Survey</t>
  </si>
  <si>
    <t>CD1XHF: Consumer Expenditure Survey CD1X: Consumer Expenditure Survey</t>
  </si>
  <si>
    <t>CD1XP: Consumer Expenditure Survey CD1X: Consumer Expenditure Survey</t>
  </si>
  <si>
    <t>CD1XT: Consumer Expenditure Survey CD1X: Consumer Expenditure Survey</t>
  </si>
  <si>
    <t>CD1XM: Consumer Expenditure Survey CD1X: Consumer Expenditure Survey</t>
  </si>
  <si>
    <t>CD1XE: Consumer Expenditure Survey CD1X: Consumer Expenditure Survey</t>
  </si>
  <si>
    <t>CD1XOE: Consumer Expenditure Survey CD1X: Consumer Expenditure Survey</t>
  </si>
  <si>
    <t>CD1XOM: Consumer Expenditure Survey CD1X: Consumer Expenditure Survey</t>
  </si>
  <si>
    <t>CD1XI: Consumer Expenditure Survey CD1X: Consumer Expenditure Survey</t>
  </si>
  <si>
    <t>CD2XFHC: Consumer Expenditure Survey CD2X: Consumer Expenditure Survey</t>
  </si>
  <si>
    <t>CD2XFHM: Consumer Expenditure Survey CD2X: Consumer Expenditure Survey</t>
  </si>
  <si>
    <t>CD2XFHD: Consumer Expenditure Survey CD2X: Consumer Expenditure Survey</t>
  </si>
  <si>
    <t>CD2XFHF: Consumer Expenditure Survey CD2X: Consumer Expenditure Survey</t>
  </si>
  <si>
    <t>CD2XFHO: Consumer Expenditure Survey CD2X: Consumer Expenditure Survey</t>
  </si>
  <si>
    <t>CD2XFW: Consumer Expenditure Survey CD2X: Consumer Expenditure Survey</t>
  </si>
  <si>
    <t>CD2XA: Consumer Expenditure Survey CD2XOT: Consumer Expenditure Survey CD2X: Consumer Expenditure Survey</t>
  </si>
  <si>
    <t>CD2XHS: Consumer Expenditure Survey CD2X: Consumer Expenditure Survey</t>
  </si>
  <si>
    <t>CD2XHU: Consumer Expenditure Survey CD2X: Consumer Expenditure Survey</t>
  </si>
  <si>
    <t>CD2XHP: Consumer Expenditure Survey CD2XOP: Consumer Expenditure Survey CD2X: Consumer Expenditure Survey</t>
  </si>
  <si>
    <t>CD2XHK: Consumer Expenditure Survey CD2X: Consumer Expenditure Survey</t>
  </si>
  <si>
    <t>CD2XHF: Consumer Expenditure Survey CD2X: Consumer Expenditure Survey</t>
  </si>
  <si>
    <t>CD2XP: Consumer Expenditure Survey CD2X: Consumer Expenditure Survey</t>
  </si>
  <si>
    <t>CD2XT: Consumer Expenditure Survey CD2X: Consumer Expenditure Survey</t>
  </si>
  <si>
    <t>CD2XM: Consumer Expenditure Survey CD2X: Consumer Expenditure Survey</t>
  </si>
  <si>
    <t>CD2XE: Consumer Expenditure Survey CD2X: Consumer Expenditure Survey</t>
  </si>
  <si>
    <t>CD2XOE: Consumer Expenditure Survey CD2X: Consumer Expenditure Survey</t>
  </si>
  <si>
    <t>CD2XOM: Consumer Expenditure Survey CD2X: Consumer Expenditure Survey</t>
  </si>
  <si>
    <t>CD2XI: Consumer Expenditure Survey CD2X: Consumer Expenditure Survey</t>
  </si>
  <si>
    <t>CD3XFHC: Consumer Expenditure Survey CD3X: Consumer Expenditure Survey</t>
  </si>
  <si>
    <t>CD3XFHM: Consumer Expenditure Survey CD3X: Consumer Expenditure Survey</t>
  </si>
  <si>
    <t>CD3XFHD: Consumer Expenditure Survey CD3X: Consumer Expenditure Survey</t>
  </si>
  <si>
    <t>CD3XFHF: Consumer Expenditure Survey CD3X: Consumer Expenditure Survey</t>
  </si>
  <si>
    <t>CD3XFHO: Consumer Expenditure Survey CD3X: Consumer Expenditure Survey</t>
  </si>
  <si>
    <t>CD3XFW: Consumer Expenditure Survey CD3X: Consumer Expenditure Survey</t>
  </si>
  <si>
    <t>CD3XA: Consumer Expenditure Survey CD3XOT: Consumer Expenditure Survey CD3X: Consumer Expenditure Survey</t>
  </si>
  <si>
    <t>CD3XHS: Consumer Expenditure Survey CD3X: Consumer Expenditure Survey</t>
  </si>
  <si>
    <t>CD3XHU: Consumer Expenditure Survey CD3X: Consumer Expenditure Survey</t>
  </si>
  <si>
    <t>CD3XHP: Consumer Expenditure Survey CD3XOP: Consumer Expenditure Survey CD3X: Consumer Expenditure Survey</t>
  </si>
  <si>
    <t>CD3XHK: Consumer Expenditure Survey CD3X: Consumer Expenditure Survey</t>
  </si>
  <si>
    <t>CD3XHF: Consumer Expenditure Survey CD3X: Consumer Expenditure Survey</t>
  </si>
  <si>
    <t>CD3XP: Consumer Expenditure Survey CD3X: Consumer Expenditure Survey</t>
  </si>
  <si>
    <t>CD3XT: Consumer Expenditure Survey CD3X: Consumer Expenditure Survey</t>
  </si>
  <si>
    <t>CD3XM: Consumer Expenditure Survey CD3X: Consumer Expenditure Survey</t>
  </si>
  <si>
    <t>CD3XE: Consumer Expenditure Survey CD3X: Consumer Expenditure Survey</t>
  </si>
  <si>
    <t>CD3XOE: Consumer Expenditure Survey CD3X: Consumer Expenditure Survey</t>
  </si>
  <si>
    <t>CD3XOM: Consumer Expenditure Survey CD3X: Consumer Expenditure Survey</t>
  </si>
  <si>
    <t>CD3XI: Consumer Expenditure Survey CD3X: Consumer Expenditure Survey</t>
  </si>
  <si>
    <t>CD4XFHC: Consumer Expenditure Survey CD4X: Consumer Expenditure Survey</t>
  </si>
  <si>
    <t>CD4XFHM: Consumer Expenditure Survey CD4X: Consumer Expenditure Survey</t>
  </si>
  <si>
    <t>CD4XFHD: Consumer Expenditure Survey CD4X: Consumer Expenditure Survey</t>
  </si>
  <si>
    <t>CD4XFHF: Consumer Expenditure Survey CD4X: Consumer Expenditure Survey</t>
  </si>
  <si>
    <t>CD4XFHO: Consumer Expenditure Survey CD4X: Consumer Expenditure Survey</t>
  </si>
  <si>
    <t>CD4XFW: Consumer Expenditure Survey CD4X: Consumer Expenditure Survey</t>
  </si>
  <si>
    <t>CD4XA: Consumer Expenditure Survey CD4XOT: Consumer Expenditure Survey CD4X: Consumer Expenditure Survey</t>
  </si>
  <si>
    <t>CD4XHS: Consumer Expenditure Survey CD4X: Consumer Expenditure Survey</t>
  </si>
  <si>
    <t>CD4XHU: Consumer Expenditure Survey CD4X: Consumer Expenditure Survey</t>
  </si>
  <si>
    <t>CD4XHP: Consumer Expenditure Survey CD4XOP: Consumer Expenditure Survey CD4X: Consumer Expenditure Survey</t>
  </si>
  <si>
    <t>CD4XHK: Consumer Expenditure Survey CD4X: Consumer Expenditure Survey</t>
  </si>
  <si>
    <t>CD4XHF: Consumer Expenditure Survey CD4X: Consumer Expenditure Survey</t>
  </si>
  <si>
    <t>CD4XP: Consumer Expenditure Survey CD4X: Consumer Expenditure Survey</t>
  </si>
  <si>
    <t>CD4XT: Consumer Expenditure Survey CD4X: Consumer Expenditure Survey</t>
  </si>
  <si>
    <t>CD4XM: Consumer Expenditure Survey CD4X: Consumer Expenditure Survey</t>
  </si>
  <si>
    <t>CD4XE: Consumer Expenditure Survey CD4X: Consumer Expenditure Survey</t>
  </si>
  <si>
    <t>CD4XOE: Consumer Expenditure Survey CD4X: Consumer Expenditure Survey</t>
  </si>
  <si>
    <t>CD4XOM: Consumer Expenditure Survey CD4X: Consumer Expenditure Survey</t>
  </si>
  <si>
    <t>CD4XI: Consumer Expenditure Survey CD4X: Consumer Expenditure Survey</t>
  </si>
  <si>
    <t>CD5XFHC: Consumer Expenditure Survey CD5X: Consumer Expenditure Survey</t>
  </si>
  <si>
    <t>CD5XFHM: Consumer Expenditure Survey CD5X: Consumer Expenditure Survey</t>
  </si>
  <si>
    <t>CD5XFHD: Consumer Expenditure Survey CD5X: Consumer Expenditure Survey</t>
  </si>
  <si>
    <t>CD5XFHF: Consumer Expenditure Survey CD5X: Consumer Expenditure Survey</t>
  </si>
  <si>
    <t>CD5XFHO: Consumer Expenditure Survey CD5X: Consumer Expenditure Survey</t>
  </si>
  <si>
    <t>CD5XFW: Consumer Expenditure Survey CD5X: Consumer Expenditure Survey</t>
  </si>
  <si>
    <t>CD5XA: Consumer Expenditure Survey CD5XOT: Consumer Expenditure Survey CD5X: Consumer Expenditure Survey</t>
  </si>
  <si>
    <t>CD5XHS: Consumer Expenditure Survey CD5X: Consumer Expenditure Survey</t>
  </si>
  <si>
    <t>CD5XHU: Consumer Expenditure Survey CD5X: Consumer Expenditure Survey</t>
  </si>
  <si>
    <t>CD5XHP: Consumer Expenditure Survey CD5XOP: Consumer Expenditure Survey CD5X: Consumer Expenditure Survey</t>
  </si>
  <si>
    <t>CD5XHK: Consumer Expenditure Survey CD5X: Consumer Expenditure Survey</t>
  </si>
  <si>
    <t>CD5XHF: Consumer Expenditure Survey CD5X: Consumer Expenditure Survey</t>
  </si>
  <si>
    <t>CD5XP: Consumer Expenditure Survey CD5X: Consumer Expenditure Survey</t>
  </si>
  <si>
    <t>CD5XT: Consumer Expenditure Survey CD5X: Consumer Expenditure Survey</t>
  </si>
  <si>
    <t>CD5XM: Consumer Expenditure Survey CD5X: Consumer Expenditure Survey</t>
  </si>
  <si>
    <t>CD5XE: Consumer Expenditure Survey CD5X: Consumer Expenditure Survey</t>
  </si>
  <si>
    <t>CD5XOE: Consumer Expenditure Survey CD5X: Consumer Expenditure Survey</t>
  </si>
  <si>
    <t>CD5XOM: Consumer Expenditure Survey CD5X: Consumer Expenditure Survey</t>
  </si>
  <si>
    <t>CD5XI: Consumer Expenditure Survey CD5X: Consumer Expenditure Survey</t>
  </si>
  <si>
    <t>CD6XFHC: Consumer Expenditure Survey CD6X: Consumer Expenditure Survey</t>
  </si>
  <si>
    <t>CD6XFHM: Consumer Expenditure Survey CD6X: Consumer Expenditure Survey</t>
  </si>
  <si>
    <t>CD6XFHD: Consumer Expenditure Survey CD6X: Consumer Expenditure Survey</t>
  </si>
  <si>
    <t>CD6XFHF: Consumer Expenditure Survey CD6X: Consumer Expenditure Survey</t>
  </si>
  <si>
    <t>CD6XFHO: Consumer Expenditure Survey CD6X: Consumer Expenditure Survey</t>
  </si>
  <si>
    <t>CD6XFW: Consumer Expenditure Survey CD6X: Consumer Expenditure Survey</t>
  </si>
  <si>
    <t>CD6XA: Consumer Expenditure Survey CD6XOT: Consumer Expenditure Survey CD6X: Consumer Expenditure Survey</t>
  </si>
  <si>
    <t>CD6XHS: Consumer Expenditure Survey CD6X: Consumer Expenditure Survey</t>
  </si>
  <si>
    <t>CD6XHU: Consumer Expenditure Survey CD6X: Consumer Expenditure Survey</t>
  </si>
  <si>
    <t>CD6XHP: Consumer Expenditure Survey CD6XOP: Consumer Expenditure Survey CD6X: Consumer Expenditure Survey</t>
  </si>
  <si>
    <t>CD6XHK: Consumer Expenditure Survey CD6X: Consumer Expenditure Survey</t>
  </si>
  <si>
    <t>CD6XHF: Consumer Expenditure Survey CD6X: Consumer Expenditure Survey</t>
  </si>
  <si>
    <t>CD6XP: Consumer Expenditure Survey CD6X: Consumer Expenditure Survey</t>
  </si>
  <si>
    <t>CD6XT: Consumer Expenditure Survey CD6X: Consumer Expenditure Survey</t>
  </si>
  <si>
    <t>CD6XM: Consumer Expenditure Survey CD6X: Consumer Expenditure Survey</t>
  </si>
  <si>
    <t>CD6XE: Consumer Expenditure Survey CD6X: Consumer Expenditure Survey</t>
  </si>
  <si>
    <t>CD6XOE: Consumer Expenditure Survey CD6X: Consumer Expenditure Survey</t>
  </si>
  <si>
    <t>CD6XOM: Consumer Expenditure Survey CD6X: Consumer Expenditure Survey</t>
  </si>
  <si>
    <t>CD6XI: Consumer Expenditure Survey CD6X: Consumer Expenditure Survey</t>
  </si>
  <si>
    <t>CD7XFHC: Consumer Expenditure Survey CD7X: Consumer Expenditure Survey</t>
  </si>
  <si>
    <t>CD7XFHM: Consumer Expenditure Survey CD7X: Consumer Expenditure Survey</t>
  </si>
  <si>
    <t>CD7XFHD: Consumer Expenditure Survey CD7X: Consumer Expenditure Survey</t>
  </si>
  <si>
    <t>CD7XFHF: Consumer Expenditure Survey CD7X: Consumer Expenditure Survey</t>
  </si>
  <si>
    <t>CD7XFHO: Consumer Expenditure Survey CD7X: Consumer Expenditure Survey</t>
  </si>
  <si>
    <t>CD7XFW: Consumer Expenditure Survey CD7X: Consumer Expenditure Survey</t>
  </si>
  <si>
    <t>CD7XA: Consumer Expenditure Survey CD7XOT: Consumer Expenditure Survey CD7X: Consumer Expenditure Survey</t>
  </si>
  <si>
    <t>CD7XHS: Consumer Expenditure Survey CD7X: Consumer Expenditure Survey</t>
  </si>
  <si>
    <t>CD7XHU: Consumer Expenditure Survey CD7X: Consumer Expenditure Survey</t>
  </si>
  <si>
    <t>CD7XHP: Consumer Expenditure Survey CD7XOP: Consumer Expenditure Survey CD7X: Consumer Expenditure Survey</t>
  </si>
  <si>
    <t>CD7XHK: Consumer Expenditure Survey CD7X: Consumer Expenditure Survey</t>
  </si>
  <si>
    <t>CD7XHF: Consumer Expenditure Survey CD7X: Consumer Expenditure Survey</t>
  </si>
  <si>
    <t>CD7XP: Consumer Expenditure Survey CD7X: Consumer Expenditure Survey</t>
  </si>
  <si>
    <t>CD7XT: Consumer Expenditure Survey CD7X: Consumer Expenditure Survey</t>
  </si>
  <si>
    <t>CD7XM: Consumer Expenditure Survey CD7X: Consumer Expenditure Survey</t>
  </si>
  <si>
    <t>CD7XE: Consumer Expenditure Survey CD7X: Consumer Expenditure Survey</t>
  </si>
  <si>
    <t>CD7XOE: Consumer Expenditure Survey CD7X: Consumer Expenditure Survey</t>
  </si>
  <si>
    <t>CD7XOM: Consumer Expenditure Survey CD7X: Consumer Expenditure Survey</t>
  </si>
  <si>
    <t>CD7XI: Consumer Expenditure Survey CD7X: Consumer Expenditure Survey</t>
  </si>
  <si>
    <t>CD8XFHC: Consumer Expenditure Survey CD8X: Consumer Expenditure Survey</t>
  </si>
  <si>
    <t>CD8XFHM: Consumer Expenditure Survey CD8X: Consumer Expenditure Survey</t>
  </si>
  <si>
    <t>CD8XFHD: Consumer Expenditure Survey CD8X: Consumer Expenditure Survey</t>
  </si>
  <si>
    <t>CD8XFHF: Consumer Expenditure Survey CD8X: Consumer Expenditure Survey</t>
  </si>
  <si>
    <t>CD8XFHO: Consumer Expenditure Survey CD8X: Consumer Expenditure Survey</t>
  </si>
  <si>
    <t>CD8XFW: Consumer Expenditure Survey CD8X: Consumer Expenditure Survey</t>
  </si>
  <si>
    <t>CD8XA: Consumer Expenditure Survey CD8XOT: Consumer Expenditure Survey CD8X: Consumer Expenditure Survey</t>
  </si>
  <si>
    <t>CD8XHS: Consumer Expenditure Survey CD8X: Consumer Expenditure Survey</t>
  </si>
  <si>
    <t>CD8XHU: Consumer Expenditure Survey CD8X: Consumer Expenditure Survey</t>
  </si>
  <si>
    <t>CD8XHP: Consumer Expenditure Survey CD8XOP: Consumer Expenditure Survey CD8X: Consumer Expenditure Survey</t>
  </si>
  <si>
    <t>CD8XHK: Consumer Expenditure Survey CD8X: Consumer Expenditure Survey</t>
  </si>
  <si>
    <t>CD8XHF: Consumer Expenditure Survey CD8X: Consumer Expenditure Survey</t>
  </si>
  <si>
    <t>CD8XP: Consumer Expenditure Survey CD8X: Consumer Expenditure Survey</t>
  </si>
  <si>
    <t>CD8XT: Consumer Expenditure Survey CD8X: Consumer Expenditure Survey</t>
  </si>
  <si>
    <t>CD8XM: Consumer Expenditure Survey CD8X: Consumer Expenditure Survey</t>
  </si>
  <si>
    <t>CD8XE: Consumer Expenditure Survey CD8X: Consumer Expenditure Survey</t>
  </si>
  <si>
    <t>CD8XOE: Consumer Expenditure Survey CD8X: Consumer Expenditure Survey</t>
  </si>
  <si>
    <t>CD8XOM: Consumer Expenditure Survey CD8X: Consumer Expenditure Survey</t>
  </si>
  <si>
    <t>CD8XI: Consumer Expenditure Survey CD8X: Consumer Expenditure Survey</t>
  </si>
  <si>
    <t>CD9XFHC: Consumer Expenditure Survey CD9X: Consumer Expenditure Survey</t>
  </si>
  <si>
    <t>CD9XFHM: Consumer Expenditure Survey CD9X: Consumer Expenditure Survey</t>
  </si>
  <si>
    <t>CD9XFHD: Consumer Expenditure Survey CD9X: Consumer Expenditure Survey</t>
  </si>
  <si>
    <t>CD9XFHF: Consumer Expenditure Survey CD9X: Consumer Expenditure Survey</t>
  </si>
  <si>
    <t>CD9XFHO: Consumer Expenditure Survey CD9X: Consumer Expenditure Survey</t>
  </si>
  <si>
    <t>CD9XFW: Consumer Expenditure Survey CD9X: Consumer Expenditure Survey</t>
  </si>
  <si>
    <t>CD9XA: Consumer Expenditure Survey CD9XOT: Consumer Expenditure Survey CD9X: Consumer Expenditure Survey</t>
  </si>
  <si>
    <t>CD9XHS: Consumer Expenditure Survey CD9X: Consumer Expenditure Survey</t>
  </si>
  <si>
    <t>CD9XHU: Consumer Expenditure Survey CD9X: Consumer Expenditure Survey</t>
  </si>
  <si>
    <t>CD9XHP: Consumer Expenditure Survey CD9XOP: Consumer Expenditure Survey CD9X: Consumer Expenditure Survey</t>
  </si>
  <si>
    <t>CD9XHK: Consumer Expenditure Survey CD9X: Consumer Expenditure Survey</t>
  </si>
  <si>
    <t>CD9XHF: Consumer Expenditure Survey CD9X: Consumer Expenditure Survey</t>
  </si>
  <si>
    <t>CD9XP: Consumer Expenditure Survey CD9X: Consumer Expenditure Survey</t>
  </si>
  <si>
    <t>CD9XT: Consumer Expenditure Survey CD9X: Consumer Expenditure Survey</t>
  </si>
  <si>
    <t>CD9XM: Consumer Expenditure Survey CD9X: Consumer Expenditure Survey</t>
  </si>
  <si>
    <t>CD9XE: Consumer Expenditure Survey CD9X: Consumer Expenditure Survey</t>
  </si>
  <si>
    <t>CD9XOE: Consumer Expenditure Survey CD9X: Consumer Expenditure Survey</t>
  </si>
  <si>
    <t>CD9XOM: Consumer Expenditure Survey CD9X: Consumer Expenditure Survey</t>
  </si>
  <si>
    <t>CD9XI: Consumer Expenditure Survey CD9X: Consumer Expenditure Survey</t>
  </si>
  <si>
    <t>CD10XFHC: Consumer Expenditure Survey CD10X: Consumer Expenditure Survey</t>
  </si>
  <si>
    <t>CD10XFHM: Consumer Expenditure Survey CD10X: Consumer Expenditure Survey</t>
  </si>
  <si>
    <t>CD10XFHD: Consumer Expenditure Survey CD10X: Consumer Expenditure Survey</t>
  </si>
  <si>
    <t>CD10XFHF: Consumer Expenditure Survey CD10X: Consumer Expenditure Survey</t>
  </si>
  <si>
    <t>CD10XFHO: Consumer Expenditure Survey CD10X: Consumer Expenditure Survey</t>
  </si>
  <si>
    <t>CD10XFW: Consumer Expenditure Survey CD10X: Consumer Expenditure Survey</t>
  </si>
  <si>
    <t>CD10XA: Consumer Expenditure Survey CD10XOT: Consumer Expenditure Survey CD10X: Consumer Expenditure Survey</t>
  </si>
  <si>
    <t>CD10XHS: Consumer Expenditure Survey CD10X: Consumer Expenditure Survey</t>
  </si>
  <si>
    <t>CD10XHU: Consumer Expenditure Survey CD10X: Consumer Expenditure Survey</t>
  </si>
  <si>
    <t>CD10XHP: Consumer Expenditure Survey CD10XOP: Consumer Expenditure Survey CD10X: Consumer Expenditure Survey</t>
  </si>
  <si>
    <t>CD10XHK: Consumer Expenditure Survey CD10X: Consumer Expenditure Survey</t>
  </si>
  <si>
    <t>CD10XHF: Consumer Expenditure Survey CD10X: Consumer Expenditure Survey</t>
  </si>
  <si>
    <t>CD10XP: Consumer Expenditure Survey CD10X: Consumer Expenditure Survey</t>
  </si>
  <si>
    <t>CD10XT: Consumer Expenditure Survey CD10X: Consumer Expenditure Survey</t>
  </si>
  <si>
    <t>CD10XM: Consumer Expenditure Survey CD10X: Consumer Expenditure Survey</t>
  </si>
  <si>
    <t>CD10XE: Consumer Expenditure Survey CD10X: Consumer Expenditure Survey</t>
  </si>
  <si>
    <t>CD10XOE: Consumer Expenditure Survey CD10X: Consumer Expenditure Survey</t>
  </si>
  <si>
    <t>CD10XOM: Consumer Expenditure Survey CD10X: Consumer Expenditure Survey</t>
  </si>
  <si>
    <t>CD10XI: Consumer Expenditure Survey CD10X: Consumer Expenditure Survey</t>
  </si>
  <si>
    <t>CD1IND: Consumer Expenditure Survey CD2IND: Consumer Expenditure Survey</t>
  </si>
  <si>
    <t>Consumer Expenditure Survey</t>
  </si>
  <si>
    <t>STAGE 1</t>
  </si>
  <si>
    <t>All</t>
  </si>
  <si>
    <t>Fruits and Vegetables</t>
  </si>
  <si>
    <t>CD1XFHF: Average Expenditure: Fruits and Vegetables: Lowest Decile Pre-Tax Income ($) CD1IND: Income After Taxes: Lowest Decile Pre-Tax Income ($)</t>
  </si>
  <si>
    <t>.GEO</t>
  </si>
  <si>
    <t>RESULT: 111 CD1NUM: 111 CD1X: 111 CESX: 111 CESNUM: 111</t>
  </si>
  <si>
    <t>RESULT: 111 CD2NUM: 111 CD2X: 111 CESX: 111 CESNUM: 111</t>
  </si>
  <si>
    <t>RESULT: 111 CD3NUM: 111 CD3X: 111 CESX: 111 CESNUM: 111</t>
  </si>
  <si>
    <t>RESULT: 111 CD4NUM: 111 CD4X: 111 CESX: 111 CESNUM: 111</t>
  </si>
  <si>
    <t>RESULT: 111 CD5NUM: 111 CD5X: 111 CESX: 111 CESNUM: 111</t>
  </si>
  <si>
    <t>RESULT: 111 CD6NUM: 111 CD6X: 111 CESX: 111 CESNUM: 111</t>
  </si>
  <si>
    <t>RESULT: 111 CD7NUM: 111 CD7X: 111 CESX: 111 CESNUM: 111</t>
  </si>
  <si>
    <t>RESULT: 111 CD8NUM: 111 CD8X: 111 CESX: 111 CESNUM: 111</t>
  </si>
  <si>
    <t>RESULT: 111 CD9NUM: 111 CD9X: 111 CESX: 111 CESNUM: 111</t>
  </si>
  <si>
    <t>RESULT: 111 CD10NUM: 111 CD10X: 111 CESX: 111 CESNUM: 111</t>
  </si>
  <si>
    <t>RESULT: 111 CD1XFHC: 111 CD1X: 111</t>
  </si>
  <si>
    <t>RESULT: 111 CD1XFHM: 111 CD1X: 111</t>
  </si>
  <si>
    <t>RESULT: 111 CD1XFHD: 111 CD1X: 111</t>
  </si>
  <si>
    <t>RESULT: 111 CD1XFHF: 111 CD1X: 111</t>
  </si>
  <si>
    <t>RESULT: 111 CD1XFHO: 111 CD1X: 111</t>
  </si>
  <si>
    <t>RESULT: 111 CD1XFW: 111 CD1X: 111</t>
  </si>
  <si>
    <t>RESULT: 111 CD1XA: 111 CD1XOT: 111 CD1X: 111</t>
  </si>
  <si>
    <t>RESULT: 111 CD1XHS: 111 CD1X: 111</t>
  </si>
  <si>
    <t>RESULT: 111 CD1XHU: 111 CD1X: 111</t>
  </si>
  <si>
    <t>RESULT: 111 CD1XHP: 111 CD1XOP: 111 CD1X: 111</t>
  </si>
  <si>
    <t>RESULT: 111 CD1XHK: 111 CD1X: 111</t>
  </si>
  <si>
    <t>RESULT: 111 CD1XHF: 111 CD1X: 111</t>
  </si>
  <si>
    <t>RESULT: 111 CD1XP: 111 CD1X: 111</t>
  </si>
  <si>
    <t>RESULT: 111 CD1XT: 111 CD1X: 111</t>
  </si>
  <si>
    <t>RESULT: 111 CD1XM: 111 CD1X: 111</t>
  </si>
  <si>
    <t>RESULT: 111 CD1XE: 111 CD1X: 111</t>
  </si>
  <si>
    <t>RESULT: 111 CD1XOE: 111 CD1X: 111</t>
  </si>
  <si>
    <t>RESULT: 111 CD1XOM: 111 CD1X: 111</t>
  </si>
  <si>
    <t>RESULT: 111 CD1XI: 111 CD1X: 111</t>
  </si>
  <si>
    <t>RESULT: 111 CD2XFHC: 111 CD2X: 111</t>
  </si>
  <si>
    <t>RESULT: 111 CD2XFHM: 111 CD2X: 111</t>
  </si>
  <si>
    <t>RESULT: 111 CD2XFHD: 111 CD2X: 111</t>
  </si>
  <si>
    <t>RESULT: 111 CD2XFHF: 111 CD2X: 111</t>
  </si>
  <si>
    <t>RESULT: 111 CD2XFHO: 111 CD2X: 111</t>
  </si>
  <si>
    <t>RESULT: 111 CD2XFW: 111 CD2X: 111</t>
  </si>
  <si>
    <t>RESULT: 111 CD2XA: 111 CD2XOT: 111 CD2X: 111</t>
  </si>
  <si>
    <t>RESULT: 111 CD2XHS: 111 CD2X: 111</t>
  </si>
  <si>
    <t>RESULT: 111 CD2XHU: 111 CD2X: 111</t>
  </si>
  <si>
    <t>RESULT: 111 CD2XHP: 111 CD2XOP: 111 CD2X: 111</t>
  </si>
  <si>
    <t>RESULT: 111 CD2XHK: 111 CD2X: 111</t>
  </si>
  <si>
    <t>RESULT: 111 CD2XHF: 111 CD2X: 111</t>
  </si>
  <si>
    <t>RESULT: 111 CD2XP: 111 CD2X: 111</t>
  </si>
  <si>
    <t>RESULT: 111 CD2XT: 111 CD2X: 111</t>
  </si>
  <si>
    <t>RESULT: 111 CD2XM: 111 CD2X: 111</t>
  </si>
  <si>
    <t>RESULT: 111 CD2XE: 111 CD2X: 111</t>
  </si>
  <si>
    <t>RESULT: 111 CD2XOE: 111 CD2X: 111</t>
  </si>
  <si>
    <t>RESULT: 111 CD2XOM: 111 CD2X: 111</t>
  </si>
  <si>
    <t>RESULT: 111 CD2XI: 111 CD2X: 111</t>
  </si>
  <si>
    <t>RESULT: 111 CD3XFHC: 111 CD3X: 111</t>
  </si>
  <si>
    <t>RESULT: 111 CD3XFHM: 111 CD3X: 111</t>
  </si>
  <si>
    <t>RESULT: 111 CD3XFHD: 111 CD3X: 111</t>
  </si>
  <si>
    <t>RESULT: 111 CD3XFHF: 111 CD3X: 111</t>
  </si>
  <si>
    <t>RESULT: 111 CD3XFHO: 111 CD3X: 111</t>
  </si>
  <si>
    <t>RESULT: 111 CD3XFW: 111 CD3X: 111</t>
  </si>
  <si>
    <t>RESULT: 111 CD3XA: 111 CD3XOT: 111 CD3X: 111</t>
  </si>
  <si>
    <t>RESULT: 111 CD3XHS: 111 CD3X: 111</t>
  </si>
  <si>
    <t>RESULT: 111 CD3XHU: 111 CD3X: 111</t>
  </si>
  <si>
    <t>RESULT: 111 CD3XHP: 111 CD3XOP: 111 CD3X: 111</t>
  </si>
  <si>
    <t>RESULT: 111 CD3XHK: 111 CD3X: 111</t>
  </si>
  <si>
    <t>RESULT: 111 CD3XHF: 111 CD3X: 111</t>
  </si>
  <si>
    <t>RESULT: 111 CD3XP: 111 CD3X: 111</t>
  </si>
  <si>
    <t>RESULT: 111 CD3XT: 111 CD3X: 111</t>
  </si>
  <si>
    <t>RESULT: 111 CD3XM: 111 CD3X: 111</t>
  </si>
  <si>
    <t>RESULT: 111 CD3XE: 111 CD3X: 111</t>
  </si>
  <si>
    <t>RESULT: 111 CD3XOE: 111 CD3X: 111</t>
  </si>
  <si>
    <t>RESULT: 111 CD3XOM: 111 CD3X: 111</t>
  </si>
  <si>
    <t>RESULT: 111 CD3XI: 111 CD3X: 111</t>
  </si>
  <si>
    <t>RESULT: 111 CD4XFHC: 111 CD4X: 111</t>
  </si>
  <si>
    <t>RESULT: 111 CD4XFHM: 111 CD4X: 111</t>
  </si>
  <si>
    <t>RESULT: 111 CD4XFHD: 111 CD4X: 111</t>
  </si>
  <si>
    <t>RESULT: 111 CD4XFHF: 111 CD4X: 111</t>
  </si>
  <si>
    <t>RESULT: 111 CD4XFHO: 111 CD4X: 111</t>
  </si>
  <si>
    <t>RESULT: 111 CD4XFW: 111 CD4X: 111</t>
  </si>
  <si>
    <t>RESULT: 111 CD4XA: 111 CD4XOT: 111 CD4X: 111</t>
  </si>
  <si>
    <t>RESULT: 111 CD4XHS: 111 CD4X: 111</t>
  </si>
  <si>
    <t>RESULT: 111 CD4XHU: 111 CD4X: 111</t>
  </si>
  <si>
    <t>RESULT: 111 CD4XHP: 111 CD4XOP: 111 CD4X: 111</t>
  </si>
  <si>
    <t>RESULT: 111 CD4XHK: 111 CD4X: 111</t>
  </si>
  <si>
    <t>RESULT: 111 CD4XHF: 111 CD4X: 111</t>
  </si>
  <si>
    <t>RESULT: 111 CD4XP: 111 CD4X: 111</t>
  </si>
  <si>
    <t>RESULT: 111 CD4XT: 111 CD4X: 111</t>
  </si>
  <si>
    <t>RESULT: 111 CD4XM: 111 CD4X: 111</t>
  </si>
  <si>
    <t>RESULT: 111 CD4XE: 111 CD4X: 111</t>
  </si>
  <si>
    <t>RESULT: 111 CD4XOE: 111 CD4X: 111</t>
  </si>
  <si>
    <t>RESULT: 111 CD4XOM: 111 CD4X: 111</t>
  </si>
  <si>
    <t>RESULT: 111 CD4XI: 111 CD4X: 111</t>
  </si>
  <si>
    <t>RESULT: 111 CD5XFHC: 111 CD5X: 111</t>
  </si>
  <si>
    <t>RESULT: 111 CD5XFHM: 111 CD5X: 111</t>
  </si>
  <si>
    <t>RESULT: 111 CD5XFHD: 111 CD5X: 111</t>
  </si>
  <si>
    <t>RESULT: 111 CD5XFHF: 111 CD5X: 111</t>
  </si>
  <si>
    <t>RESULT: 111 CD5XFHO: 111 CD5X: 111</t>
  </si>
  <si>
    <t>RESULT: 111 CD5XFW: 111 CD5X: 111</t>
  </si>
  <si>
    <t>RESULT: 111 CD5XA: 111 CD5XOT: 111 CD5X: 111</t>
  </si>
  <si>
    <t>RESULT: 111 CD5XHS: 111 CD5X: 111</t>
  </si>
  <si>
    <t>RESULT: 111 CD5XHU: 111 CD5X: 111</t>
  </si>
  <si>
    <t>RESULT: 111 CD5XHP: 111 CD5XOP: 111 CD5X: 111</t>
  </si>
  <si>
    <t>RESULT: 111 CD5XHK: 111 CD5X: 111</t>
  </si>
  <si>
    <t>RESULT: 111 CD5XHF: 111 CD5X: 111</t>
  </si>
  <si>
    <t>RESULT: 111 CD5XP: 111 CD5X: 111</t>
  </si>
  <si>
    <t>RESULT: 111 CD5XT: 111 CD5X: 111</t>
  </si>
  <si>
    <t>RESULT: 111 CD5XM: 111 CD5X: 111</t>
  </si>
  <si>
    <t>RESULT: 111 CD5XE: 111 CD5X: 111</t>
  </si>
  <si>
    <t>RESULT: 111 CD5XOE: 111 CD5X: 111</t>
  </si>
  <si>
    <t>RESULT: 111 CD5XOM: 111 CD5X: 111</t>
  </si>
  <si>
    <t>RESULT: 111 CD5XI: 111 CD5X: 111</t>
  </si>
  <si>
    <t>RESULT: 111 CD6XFHC: 111 CD6X: 111</t>
  </si>
  <si>
    <t>RESULT: 111 CD6XFHM: 111 CD6X: 111</t>
  </si>
  <si>
    <t>RESULT: 111 CD6XFHD: 111 CD6X: 111</t>
  </si>
  <si>
    <t>RESULT: 111 CD6XFHF: 111 CD6X: 111</t>
  </si>
  <si>
    <t>RESULT: 111 CD6XFHO: 111 CD6X: 111</t>
  </si>
  <si>
    <t>RESULT: 111 CD6XFW: 111 CD6X: 111</t>
  </si>
  <si>
    <t>RESULT: 111 CD6XA: 111 CD6XOT: 111 CD6X: 111</t>
  </si>
  <si>
    <t>RESULT: 111 CD6XHS: 111 CD6X: 111</t>
  </si>
  <si>
    <t>RESULT: 111 CD6XHU: 111 CD6X: 111</t>
  </si>
  <si>
    <t>RESULT: 111 CD6XHP: 111 CD6XOP: 111 CD6X: 111</t>
  </si>
  <si>
    <t>RESULT: 111 CD6XHK: 111 CD6X: 111</t>
  </si>
  <si>
    <t>RESULT: 111 CD6XHF: 111 CD6X: 111</t>
  </si>
  <si>
    <t>RESULT: 111 CD6XP: 111 CD6X: 111</t>
  </si>
  <si>
    <t>RESULT: 111 CD6XT: 111 CD6X: 111</t>
  </si>
  <si>
    <t>RESULT: 111 CD6XM: 111 CD6X: 111</t>
  </si>
  <si>
    <t>RESULT: 111 CD6XE: 111 CD6X: 111</t>
  </si>
  <si>
    <t>RESULT: 111 CD6XOE: 111 CD6X: 111</t>
  </si>
  <si>
    <t>RESULT: 111 CD6XOM: 111 CD6X: 111</t>
  </si>
  <si>
    <t>RESULT: 111 CD6XI: 111 CD6X: 111</t>
  </si>
  <si>
    <t>RESULT: 111 CD7XFHC: 111 CD7X: 111</t>
  </si>
  <si>
    <t>RESULT: 111 CD7XFHM: 111 CD7X: 111</t>
  </si>
  <si>
    <t>RESULT: 111 CD7XFHD: 111 CD7X: 111</t>
  </si>
  <si>
    <t>RESULT: 111 CD7XFHF: 111 CD7X: 111</t>
  </si>
  <si>
    <t>RESULT: 111 CD7XFHO: 111 CD7X: 111</t>
  </si>
  <si>
    <t>RESULT: 111 CD7XFW: 111 CD7X: 111</t>
  </si>
  <si>
    <t>RESULT: 111 CD7XA: 111 CD7XOT: 111 CD7X: 111</t>
  </si>
  <si>
    <t>RESULT: 111 CD7XHS: 111 CD7X: 111</t>
  </si>
  <si>
    <t>RESULT: 111 CD7XHU: 111 CD7X: 111</t>
  </si>
  <si>
    <t>RESULT: 111 CD7XHP: 111 CD7XOP: 111 CD7X: 111</t>
  </si>
  <si>
    <t>RESULT: 111 CD7XHK: 111 CD7X: 111</t>
  </si>
  <si>
    <t>RESULT: 111 CD7XHF: 111 CD7X: 111</t>
  </si>
  <si>
    <t>RESULT: 111 CD7XP: 111 CD7X: 111</t>
  </si>
  <si>
    <t>RESULT: 111 CD7XT: 111 CD7X: 111</t>
  </si>
  <si>
    <t>RESULT: 111 CD7XM: 111 CD7X: 111</t>
  </si>
  <si>
    <t>RESULT: 111 CD7XE: 111 CD7X: 111</t>
  </si>
  <si>
    <t>RESULT: 111 CD7XOE: 111 CD7X: 111</t>
  </si>
  <si>
    <t>RESULT: 111 CD7XOM: 111 CD7X: 111</t>
  </si>
  <si>
    <t>RESULT: 111 CD7XI: 111 CD7X: 111</t>
  </si>
  <si>
    <t>RESULT: 111 CD8XFHC: 111 CD8X: 111</t>
  </si>
  <si>
    <t>RESULT: 111 CD8XFHM: 111 CD8X: 111</t>
  </si>
  <si>
    <t>RESULT: 111 CD8XFHD: 111 CD8X: 111</t>
  </si>
  <si>
    <t>RESULT: 111 CD8XFHF: 111 CD8X: 111</t>
  </si>
  <si>
    <t>RESULT: 111 CD8XFHO: 111 CD8X: 111</t>
  </si>
  <si>
    <t>RESULT: 111 CD8XFW: 111 CD8X: 111</t>
  </si>
  <si>
    <t>RESULT: 111 CD8XA: 111 CD8XOT: 111 CD8X: 111</t>
  </si>
  <si>
    <t>RESULT: 111 CD8XHS: 111 CD8X: 111</t>
  </si>
  <si>
    <t>RESULT: 111 CD8XHU: 111 CD8X: 111</t>
  </si>
  <si>
    <t>RESULT: 111 CD8XHP: 111 CD8XOP: 111 CD8X: 111</t>
  </si>
  <si>
    <t>RESULT: 111 CD8XHK: 111 CD8X: 111</t>
  </si>
  <si>
    <t>RESULT: 111 CD8XHF: 111 CD8X: 111</t>
  </si>
  <si>
    <t>RESULT: 111 CD8XP: 111 CD8X: 111</t>
  </si>
  <si>
    <t>RESULT: 111 CD8XT: 111 CD8X: 111</t>
  </si>
  <si>
    <t>RESULT: 111 CD8XM: 111 CD8X: 111</t>
  </si>
  <si>
    <t>RESULT: 111 CD8XE: 111 CD8X: 111</t>
  </si>
  <si>
    <t>RESULT: 111 CD8XOE: 111 CD8X: 111</t>
  </si>
  <si>
    <t>RESULT: 111 CD8XOM: 111 CD8X: 111</t>
  </si>
  <si>
    <t>RESULT: 111 CD8XI: 111 CD8X: 111</t>
  </si>
  <si>
    <t>RESULT: 111 CD9XFHC: 111 CD9X: 111</t>
  </si>
  <si>
    <t>RESULT: 111 CD9XFHM: 111 CD9X: 111</t>
  </si>
  <si>
    <t>RESULT: 111 CD9XFHD: 111 CD9X: 111</t>
  </si>
  <si>
    <t>RESULT: 111 CD9XFHF: 111 CD9X: 111</t>
  </si>
  <si>
    <t>RESULT: 111 CD9XFHO: 111 CD9X: 111</t>
  </si>
  <si>
    <t>RESULT: 111 CD9XFW: 111 CD9X: 111</t>
  </si>
  <si>
    <t>RESULT: 111 CD9XA: 111 CD9XOT: 111 CD9X: 111</t>
  </si>
  <si>
    <t>RESULT: 111 CD9XHS: 111 CD9X: 111</t>
  </si>
  <si>
    <t>RESULT: 111 CD9XHU: 111 CD9X: 111</t>
  </si>
  <si>
    <t>RESULT: 111 CD9XHP: 111 CD9XOP: 111 CD9X: 111</t>
  </si>
  <si>
    <t>RESULT: 111 CD9XHK: 111 CD9X: 111</t>
  </si>
  <si>
    <t>RESULT: 111 CD9XHF: 111 CD9X: 111</t>
  </si>
  <si>
    <t>RESULT: 111 CD9XP: 111 CD9X: 111</t>
  </si>
  <si>
    <t>RESULT: 111 CD9XT: 111 CD9X: 111</t>
  </si>
  <si>
    <t>RESULT: 111 CD9XM: 111 CD9X: 111</t>
  </si>
  <si>
    <t>RESULT: 111 CD9XE: 111 CD9X: 111</t>
  </si>
  <si>
    <t>RESULT: 111 CD9XOE: 111 CD9X: 111</t>
  </si>
  <si>
    <t>RESULT: 111 CD9XOM: 111 CD9X: 111</t>
  </si>
  <si>
    <t>RESULT: 111 CD9XI: 111 CD9X: 111</t>
  </si>
  <si>
    <t>RESULT: 111 CD10XFHC: 111 CD10X: 111</t>
  </si>
  <si>
    <t>RESULT: 111 CD10XFHM: 111 CD10X: 111</t>
  </si>
  <si>
    <t>RESULT: 111 CD10XFHD: 111 CD10X: 111</t>
  </si>
  <si>
    <t>RESULT: 111 CD10XFHF: 111 CD10X: 111</t>
  </si>
  <si>
    <t>RESULT: 111 CD10XFHO: 111 CD10X: 111</t>
  </si>
  <si>
    <t>RESULT: 111 CD10XFW: 111 CD10X: 111</t>
  </si>
  <si>
    <t>RESULT: 111 CD10XA: 111 CD10XOT: 111 CD10X: 111</t>
  </si>
  <si>
    <t>RESULT: 111 CD10XHS: 111 CD10X: 111</t>
  </si>
  <si>
    <t>RESULT: 111 CD10XHU: 111 CD10X: 111</t>
  </si>
  <si>
    <t>RESULT: 111 CD10XHP: 111 CD10XOP: 111 CD10X: 111</t>
  </si>
  <si>
    <t>RESULT: 111 CD10XHK: 111 CD10X: 111</t>
  </si>
  <si>
    <t>RESULT: 111 CD10XHF: 111 CD10X: 111</t>
  </si>
  <si>
    <t>RESULT: 111 CD10XP: 111 CD10X: 111</t>
  </si>
  <si>
    <t>RESULT: 111 CD10XT: 111 CD10X: 111</t>
  </si>
  <si>
    <t>RESULT: 111 CD10XM: 111 CD10X: 111</t>
  </si>
  <si>
    <t>RESULT: 111 CD10XE: 111 CD10X: 111</t>
  </si>
  <si>
    <t>RESULT: 111 CD10XOE: 111 CD10X: 111</t>
  </si>
  <si>
    <t>RESULT: 111 CD10XOM: 111 CD10X: 111</t>
  </si>
  <si>
    <t>RESULT: 111 CD10XI: 111 CD10X: 111</t>
  </si>
  <si>
    <t>RESULT: 111 CD1IND: 111 CD2IND: 111</t>
  </si>
  <si>
    <t>111</t>
  </si>
  <si>
    <t>Raw</t>
  </si>
  <si>
    <t>CD1XFHO: Average Annual Expenditure: Other Food at Home: Lowest Decile Pre-Tax Income ($) CD1IND: Income After Taxes: Lowest Decile Pre-Tax Income ($)</t>
  </si>
  <si>
    <t>Other Food at Home</t>
  </si>
  <si>
    <t>Final PCE Effect</t>
  </si>
  <si>
    <t>Food Away from Home</t>
  </si>
  <si>
    <t>CD1XFW: Food Away from Home Expenditures: Lowest Decile Pre-Tax Income ($) CD1IND: Income After Taxes: Lowest Decile Pre-Tax Income ($)</t>
  </si>
  <si>
    <t>Alcoholic beverages + Tobacco products and smoking supplies</t>
  </si>
  <si>
    <t>CD1XA: Alcoholic Beverages Expenditures: Lowest Decile Pre-Tax Income ($) CD1XOT: Tobacco Prods &amp; Smoking Supply Expenditure: Lowest Decile Pre-Tax Income($) CD1IND: Income After Taxes: Lowest Decile Pre-Tax Income ($)</t>
  </si>
  <si>
    <t>Scaled effect</t>
  </si>
  <si>
    <t>Shelter</t>
  </si>
  <si>
    <t>CD1XHS: Shelter Expenditures: Lowest Decile Pre-Tax Income ($) CD1IND: Income After Taxes: Lowest Decile Pre-Tax Income ($)</t>
  </si>
  <si>
    <t>C effect</t>
  </si>
  <si>
    <t>Utilities, fuels, and public services</t>
  </si>
  <si>
    <t>CD1XHU: Utilities/Fuels/Public Svc Expenditures: Lowest Decile Pre-Tax Income ($) CD1IND: Income After Taxes: Lowest Decile Pre-Tax Income ($)</t>
  </si>
  <si>
    <t>Household operations + Personal care products and services</t>
  </si>
  <si>
    <t>CD1XHP: Household Operation Expenditures: Lowest Decile Pre-Tax Income ($) CD1XOP: Avg Expenditure: Personal Care Products &amp; Svcs: Lowest Decile Pre-Tax Income($) CD1IND: Income After Taxes: Lowest Decile Pre-Tax Income ($)</t>
  </si>
  <si>
    <t>Apparel and services</t>
  </si>
  <si>
    <t>Housekeeping supplies</t>
  </si>
  <si>
    <t>CD1XHK: Housekeeping Supplies Expenditures: Lowest Decile Pre-Tax Income ($) CD1IND: Income After Taxes: Lowest Decile Pre-Tax Income ($)</t>
  </si>
  <si>
    <t>scaling_factor</t>
  </si>
  <si>
    <t>Household furnishings and equipment</t>
  </si>
  <si>
    <t>CD1XHF: Household Furnishings/Eqpt Expenditures: Lowest Decile Pre-Tax Income ($) CD1IND: Income After Taxes: Lowest Decile Pre-Tax Income ($)</t>
  </si>
  <si>
    <t>CD1XP: Apparel &amp; Services Expenditures: Lowest Decile Pre-Tax Income ($) CD1IND: Income After Taxes: Lowest Decile Pre-Tax Income ($)</t>
  </si>
  <si>
    <t>% OF ATI</t>
  </si>
  <si>
    <t>Transportation</t>
  </si>
  <si>
    <t>CD1XT: Transportation Expenditures: Lowest Decile Pre-Tax Income ($) CD1IND: Income After Taxes: Lowest Decile Pre-Tax Income ($)</t>
  </si>
  <si>
    <t>Decile</t>
  </si>
  <si>
    <t>Healthcare</t>
  </si>
  <si>
    <t>CD1XM: Health Care Expenditures: Lowest Decile Pre-Tax Income($) CD1IND: Income After Taxes: Lowest Decile Pre-Tax Income ($)</t>
  </si>
  <si>
    <t>All 2025 Tariffs</t>
  </si>
  <si>
    <t>Entertainment</t>
  </si>
  <si>
    <t>CD1XE: Entertainment Expenditures: Lowest Decile Pre-Tax Income($) CD1IND: Income After Taxes: Lowest Decile Pre-Tax Income ($)</t>
  </si>
  <si>
    <t xml:space="preserve">  </t>
  </si>
  <si>
    <t>CD1XOE: Average Annual Expenditure: Education: Lowest Decile Pre-Tax Income ($) CD1IND: Income After Taxes: Lowest Decile Pre-Tax Income ($)</t>
  </si>
  <si>
    <t>Miscellaneous</t>
  </si>
  <si>
    <t>2024$</t>
  </si>
  <si>
    <t>Personal insurance and pensions</t>
  </si>
  <si>
    <t>Median</t>
  </si>
  <si>
    <t>AVERAGE</t>
  </si>
  <si>
    <t>No Retaliation</t>
  </si>
  <si>
    <t>AVERAGE ATI in 2023</t>
  </si>
  <si>
    <t>CBO 2027 Post-Tax-Transfer Income</t>
  </si>
  <si>
    <t>C Shares</t>
  </si>
  <si>
    <t>Household supplies</t>
  </si>
  <si>
    <t>code</t>
  </si>
  <si>
    <t>name</t>
  </si>
  <si>
    <t>Short Run</t>
  </si>
  <si>
    <t>Long-Run</t>
  </si>
  <si>
    <t>MAX</t>
  </si>
  <si>
    <t>MIN</t>
  </si>
  <si>
    <t>INSTRUCTIONS</t>
  </si>
  <si>
    <t>In RunGTAP:</t>
  </si>
  <si>
    <t>1. Go to the Results Tab</t>
  </si>
  <si>
    <t>2. Copy ppa, ppm, and ppd for just the USA to the appropriate yellow highlighted cells</t>
  </si>
  <si>
    <t xml:space="preserve">Target </t>
  </si>
  <si>
    <t>TOTAL</t>
  </si>
  <si>
    <t>Total Consumption</t>
  </si>
  <si>
    <t>IMPORTED PRICES</t>
  </si>
  <si>
    <t>DOMESTIC PRICES</t>
  </si>
  <si>
    <t>ppa</t>
  </si>
  <si>
    <t>ppm</t>
  </si>
  <si>
    <t>ppd</t>
  </si>
  <si>
    <t>pp</t>
  </si>
  <si>
    <t>1 USA</t>
  </si>
  <si>
    <t>2 China</t>
  </si>
  <si>
    <t>3 ROW</t>
  </si>
  <si>
    <t>4 Canada</t>
  </si>
  <si>
    <t>5 Mexico</t>
  </si>
  <si>
    <t>6 FTROW</t>
  </si>
  <si>
    <t>Chinese retaliation</t>
  </si>
  <si>
    <t>ENERGY</t>
  </si>
  <si>
    <t>FOOD</t>
  </si>
  <si>
    <t>No.</t>
  </si>
  <si>
    <t>Code</t>
  </si>
  <si>
    <t>Description</t>
  </si>
  <si>
    <t>Domestic</t>
  </si>
  <si>
    <t>Imported</t>
  </si>
  <si>
    <t>Computer, electronic and optical</t>
  </si>
  <si>
    <t>Natural gas</t>
  </si>
  <si>
    <t>Warehousing and support</t>
  </si>
  <si>
    <t>Human health and social work</t>
  </si>
  <si>
    <t>Public Administration</t>
  </si>
  <si>
    <t>Accommodation &amp; food services</t>
  </si>
  <si>
    <t>Recreational and other services</t>
  </si>
  <si>
    <t>This is a Haver-linked sheet.</t>
  </si>
  <si>
    <t>We're only shocking VIX in Q1-Q3.</t>
  </si>
  <si>
    <t>Since Q3 is over, should not need to update this sheet</t>
  </si>
  <si>
    <t>2025 Q1</t>
  </si>
  <si>
    <t>20250101 !D</t>
  </si>
  <si>
    <t>INTERP(SPVIX@DAILY)</t>
  </si>
  <si>
    <t>2025 Q2</t>
  </si>
  <si>
    <t>Cboe Market Volatility Index, VIX (Index)</t>
  </si>
  <si>
    <t>2025 Q3</t>
  </si>
  <si>
    <t>.T1</t>
  </si>
  <si>
    <t>02-Jan-1990</t>
  </si>
  <si>
    <t>.TN</t>
  </si>
  <si>
    <t>09-Oct-2025</t>
  </si>
  <si>
    <t>.LSOURCE</t>
  </si>
  <si>
    <t>Chicago Board Options Exchange</t>
  </si>
  <si>
    <t>.AGG</t>
  </si>
  <si>
    <t>Average</t>
  </si>
  <si>
    <t>.DTLM</t>
  </si>
  <si>
    <t>Oct-09-2025 16:31</t>
  </si>
  <si>
    <t>.FRQ</t>
  </si>
  <si>
    <t>Daily</t>
  </si>
  <si>
    <t>.DATA_TYPE</t>
  </si>
  <si>
    <t>INDEX</t>
  </si>
  <si>
    <t>S32</t>
  </si>
  <si>
    <t>CBOE Market Volatility Index</t>
  </si>
  <si>
    <t>20250101</t>
  </si>
  <si>
    <t>20250102</t>
  </si>
  <si>
    <t>20250103</t>
  </si>
  <si>
    <t>20250106</t>
  </si>
  <si>
    <t>20250107</t>
  </si>
  <si>
    <t>20250108</t>
  </si>
  <si>
    <t>20250109</t>
  </si>
  <si>
    <t>20250110</t>
  </si>
  <si>
    <t>20250113</t>
  </si>
  <si>
    <t>20250114</t>
  </si>
  <si>
    <t>20250115</t>
  </si>
  <si>
    <t>20250116</t>
  </si>
  <si>
    <t>20250117</t>
  </si>
  <si>
    <t>20250120</t>
  </si>
  <si>
    <t>20250121</t>
  </si>
  <si>
    <t>20250122</t>
  </si>
  <si>
    <t>20250123</t>
  </si>
  <si>
    <t>20250124</t>
  </si>
  <si>
    <t>20250127</t>
  </si>
  <si>
    <t>20250128</t>
  </si>
  <si>
    <t>20250129</t>
  </si>
  <si>
    <t>20250130</t>
  </si>
  <si>
    <t>20250131</t>
  </si>
  <si>
    <t>20250203</t>
  </si>
  <si>
    <t>20250204</t>
  </si>
  <si>
    <t>20250205</t>
  </si>
  <si>
    <t>20250206</t>
  </si>
  <si>
    <t>20250207</t>
  </si>
  <si>
    <t>20250210</t>
  </si>
  <si>
    <t>20250211</t>
  </si>
  <si>
    <t>20250212</t>
  </si>
  <si>
    <t>20250213</t>
  </si>
  <si>
    <t>20250214</t>
  </si>
  <si>
    <t>20250217</t>
  </si>
  <si>
    <t>20250218</t>
  </si>
  <si>
    <t>20250219</t>
  </si>
  <si>
    <t>20250220</t>
  </si>
  <si>
    <t>20250221</t>
  </si>
  <si>
    <t>20250224</t>
  </si>
  <si>
    <t>20250225</t>
  </si>
  <si>
    <t>20250226</t>
  </si>
  <si>
    <t>20250227</t>
  </si>
  <si>
    <t>20250228</t>
  </si>
  <si>
    <t>20250303</t>
  </si>
  <si>
    <t>20250304</t>
  </si>
  <si>
    <t>20250305</t>
  </si>
  <si>
    <t>20250306</t>
  </si>
  <si>
    <t>20250307</t>
  </si>
  <si>
    <t>20250310</t>
  </si>
  <si>
    <t>20250311</t>
  </si>
  <si>
    <t>20250312</t>
  </si>
  <si>
    <t>20250313</t>
  </si>
  <si>
    <t>20250314</t>
  </si>
  <si>
    <t>20250317</t>
  </si>
  <si>
    <t>20250318</t>
  </si>
  <si>
    <t>20250319</t>
  </si>
  <si>
    <t>20250320</t>
  </si>
  <si>
    <t>20250321</t>
  </si>
  <si>
    <t>20250324</t>
  </si>
  <si>
    <t>20250325</t>
  </si>
  <si>
    <t>20250326</t>
  </si>
  <si>
    <t>20250327</t>
  </si>
  <si>
    <t>20250328</t>
  </si>
  <si>
    <t>20250331</t>
  </si>
  <si>
    <t>20250401</t>
  </si>
  <si>
    <t>20250402</t>
  </si>
  <si>
    <t>20250403</t>
  </si>
  <si>
    <t>20250404</t>
  </si>
  <si>
    <t>20250407</t>
  </si>
  <si>
    <t>20250408</t>
  </si>
  <si>
    <t>20250409</t>
  </si>
  <si>
    <t>20250410</t>
  </si>
  <si>
    <t>20250411</t>
  </si>
  <si>
    <t>20250414</t>
  </si>
  <si>
    <t>20250415</t>
  </si>
  <si>
    <t>20250416</t>
  </si>
  <si>
    <t>20250417</t>
  </si>
  <si>
    <t>20250418</t>
  </si>
  <si>
    <t>20250421</t>
  </si>
  <si>
    <t>20250422</t>
  </si>
  <si>
    <t>20250423</t>
  </si>
  <si>
    <t>20250424</t>
  </si>
  <si>
    <t>20250425</t>
  </si>
  <si>
    <t>20250428</t>
  </si>
  <si>
    <t>20250429</t>
  </si>
  <si>
    <t>20250430</t>
  </si>
  <si>
    <t>20250501</t>
  </si>
  <si>
    <t>20250502</t>
  </si>
  <si>
    <t>20250505</t>
  </si>
  <si>
    <t>20250506</t>
  </si>
  <si>
    <t>20250507</t>
  </si>
  <si>
    <t>20250508</t>
  </si>
  <si>
    <t>20250509</t>
  </si>
  <si>
    <t>20250512</t>
  </si>
  <si>
    <t>20250513</t>
  </si>
  <si>
    <t>20250514</t>
  </si>
  <si>
    <t>20250515</t>
  </si>
  <si>
    <t>20250516</t>
  </si>
  <si>
    <t>20250519</t>
  </si>
  <si>
    <t>20250520</t>
  </si>
  <si>
    <t>20250521</t>
  </si>
  <si>
    <t>20250522</t>
  </si>
  <si>
    <t>20250523</t>
  </si>
  <si>
    <t>20250526</t>
  </si>
  <si>
    <t>20250527</t>
  </si>
  <si>
    <t>20250528</t>
  </si>
  <si>
    <t>20250529</t>
  </si>
  <si>
    <t>20250530</t>
  </si>
  <si>
    <t>20250602</t>
  </si>
  <si>
    <t>20250603</t>
  </si>
  <si>
    <t>20250604</t>
  </si>
  <si>
    <t>20250605</t>
  </si>
  <si>
    <t>20250606</t>
  </si>
  <si>
    <t>20250609</t>
  </si>
  <si>
    <t>20250610</t>
  </si>
  <si>
    <t>20250611</t>
  </si>
  <si>
    <t>20250612</t>
  </si>
  <si>
    <t>20250613</t>
  </si>
  <si>
    <t>20250616</t>
  </si>
  <si>
    <t>20250617</t>
  </si>
  <si>
    <t>20250618</t>
  </si>
  <si>
    <t>20250619</t>
  </si>
  <si>
    <t>20250620</t>
  </si>
  <si>
    <t>20250623</t>
  </si>
  <si>
    <t>20250624</t>
  </si>
  <si>
    <t>20250625</t>
  </si>
  <si>
    <t>20250626</t>
  </si>
  <si>
    <t>20250627</t>
  </si>
  <si>
    <t>20250630</t>
  </si>
  <si>
    <t>20250701</t>
  </si>
  <si>
    <t>20250702</t>
  </si>
  <si>
    <t>20250703</t>
  </si>
  <si>
    <t>20250704</t>
  </si>
  <si>
    <t>20250707</t>
  </si>
  <si>
    <t>20250708</t>
  </si>
  <si>
    <t>20250709</t>
  </si>
  <si>
    <t>20250710</t>
  </si>
  <si>
    <t>20250711</t>
  </si>
  <si>
    <t>20250714</t>
  </si>
  <si>
    <t>20250715</t>
  </si>
  <si>
    <t>20250716</t>
  </si>
  <si>
    <t>20250717</t>
  </si>
  <si>
    <t>20250718</t>
  </si>
  <si>
    <t>20250721</t>
  </si>
  <si>
    <t>20250722</t>
  </si>
  <si>
    <t>20250723</t>
  </si>
  <si>
    <t>20250724</t>
  </si>
  <si>
    <t>20250725</t>
  </si>
  <si>
    <t>20250728</t>
  </si>
  <si>
    <t>20250729</t>
  </si>
  <si>
    <t>20250730</t>
  </si>
  <si>
    <t>20250731</t>
  </si>
  <si>
    <t>20250801</t>
  </si>
  <si>
    <t>20250804</t>
  </si>
  <si>
    <t>20250805</t>
  </si>
  <si>
    <t>20250806</t>
  </si>
  <si>
    <t>20250807</t>
  </si>
  <si>
    <t>20250808</t>
  </si>
  <si>
    <t>20250811</t>
  </si>
  <si>
    <t>20250812</t>
  </si>
  <si>
    <t>20250813</t>
  </si>
  <si>
    <t>20250814</t>
  </si>
  <si>
    <t>20250815</t>
  </si>
  <si>
    <t>20250818</t>
  </si>
  <si>
    <t>20250819</t>
  </si>
  <si>
    <t>20250820</t>
  </si>
  <si>
    <t>20250821</t>
  </si>
  <si>
    <t>20250822</t>
  </si>
  <si>
    <t>20250825</t>
  </si>
  <si>
    <t>20250826</t>
  </si>
  <si>
    <t>20250827</t>
  </si>
  <si>
    <t>20250828</t>
  </si>
  <si>
    <t>20250829</t>
  </si>
  <si>
    <t>20250901</t>
  </si>
  <si>
    <t>20250902</t>
  </si>
  <si>
    <t>20250903</t>
  </si>
  <si>
    <t>20250904</t>
  </si>
  <si>
    <t>20250905</t>
  </si>
  <si>
    <t>20250908</t>
  </si>
  <si>
    <t>20250909</t>
  </si>
  <si>
    <t>20250910</t>
  </si>
  <si>
    <t>20250911</t>
  </si>
  <si>
    <t>20250912</t>
  </si>
  <si>
    <t>20250915</t>
  </si>
  <si>
    <t>20250916</t>
  </si>
  <si>
    <t>20250917</t>
  </si>
  <si>
    <t>20250918</t>
  </si>
  <si>
    <t>20250919</t>
  </si>
  <si>
    <t>20250922</t>
  </si>
  <si>
    <t>20250923</t>
  </si>
  <si>
    <t>20250924</t>
  </si>
  <si>
    <t>20250925</t>
  </si>
  <si>
    <t>20250926</t>
  </si>
  <si>
    <t>20250929</t>
  </si>
  <si>
    <t>20250930</t>
  </si>
  <si>
    <t>20251001</t>
  </si>
  <si>
    <t>20251002</t>
  </si>
  <si>
    <t>20251003</t>
  </si>
  <si>
    <t>20251006</t>
  </si>
  <si>
    <t>20251007</t>
  </si>
  <si>
    <t>20251008</t>
  </si>
  <si>
    <t>20251009</t>
  </si>
  <si>
    <t>From RunGTAP:</t>
  </si>
  <si>
    <t>1. Go to Updated Data -&gt; Updated GTAP View -&gt; VALIMPORTS</t>
  </si>
  <si>
    <t>2. Set dropdowns to Sum COMM // All REG // 1 USA // Sum IMPVALUE</t>
  </si>
  <si>
    <t>3. Copy and Paste the entire table to AN11</t>
  </si>
  <si>
    <t>3.1 Set dropdowns to ALLCOMM / ALLREG / 1 USA / impcost</t>
  </si>
  <si>
    <t>3.2 Paste entire table to AR7</t>
  </si>
  <si>
    <t>4. Go to NVPP</t>
  </si>
  <si>
    <t>5. Set dropdowns to All COMM // 1 USA // All DIR // Sum PURCHVALUE</t>
  </si>
  <si>
    <t>VALIMPORTS</t>
  </si>
  <si>
    <t>7 Japan</t>
  </si>
  <si>
    <t>8 EU</t>
  </si>
  <si>
    <t>9 UK</t>
  </si>
  <si>
    <t>gtap_code</t>
  </si>
  <si>
    <t>6. Copy and Paste the entire table to AD34</t>
  </si>
  <si>
    <t>Parameters</t>
  </si>
  <si>
    <t>USD offset</t>
  </si>
  <si>
    <t>Domestic Price Effect</t>
  </si>
  <si>
    <t>Goods Share of PCE</t>
  </si>
  <si>
    <t>Import Share of Goods PCE</t>
  </si>
  <si>
    <t>BI02</t>
  </si>
  <si>
    <t>Share of PCE</t>
  </si>
  <si>
    <t>Shares Spent on Imports</t>
  </si>
  <si>
    <t>Time</t>
  </si>
  <si>
    <t xml:space="preserve">Scenario </t>
  </si>
  <si>
    <t>Eff Tariff</t>
  </si>
  <si>
    <t>PCE</t>
  </si>
  <si>
    <t>Goods</t>
  </si>
  <si>
    <t>Income</t>
  </si>
  <si>
    <t>All Tariffs to Date</t>
  </si>
  <si>
    <t>Add'l</t>
  </si>
  <si>
    <t>ALL TARIFFS</t>
  </si>
  <si>
    <t>RETALIATION</t>
  </si>
  <si>
    <t>1 domestic</t>
  </si>
  <si>
    <t>2 imported</t>
  </si>
  <si>
    <t>NVPP</t>
  </si>
  <si>
    <t>1. Go to the Results Tab -&gt; qmwreg</t>
  </si>
  <si>
    <t>2. Type in the value for the USA in the highlighted cell</t>
  </si>
  <si>
    <t>Estimated Fiscal Effects of an Illustrative Reciprocal Tariff</t>
  </si>
  <si>
    <t>qmwreg</t>
  </si>
  <si>
    <t>CBO January 2025 Baseline</t>
  </si>
  <si>
    <t>Baseline Imports</t>
  </si>
  <si>
    <t>Baseline Duties</t>
  </si>
  <si>
    <t>Baseline Effective Tariff Rate**</t>
  </si>
  <si>
    <t>Post-Tariff Effects*</t>
  </si>
  <si>
    <t>New Imports</t>
  </si>
  <si>
    <t>New Duties</t>
  </si>
  <si>
    <t>New Effective Tariff Rate**</t>
  </si>
  <si>
    <t>Gross Revenue</t>
  </si>
  <si>
    <t>Compliance effect</t>
  </si>
  <si>
    <t>Income Effect</t>
  </si>
  <si>
    <t>Net Revenue</t>
  </si>
  <si>
    <t>Percent of GDP</t>
  </si>
  <si>
    <t>* Assumes effects immediately phase-in</t>
  </si>
  <si>
    <t>** Percent of all Imports</t>
  </si>
  <si>
    <t>Source: CBO, The Budget Lab analysis.</t>
  </si>
  <si>
    <t>Gross Pace ($bn/m)</t>
  </si>
  <si>
    <t>Phase-in</t>
  </si>
  <si>
    <t>Households</t>
  </si>
  <si>
    <t>Burden per Household</t>
  </si>
  <si>
    <t>imports</t>
  </si>
  <si>
    <t>2. Set dropdowns to Sum COMM // All REG // All REG // 2 mtax</t>
  </si>
  <si>
    <t>3. Paste the [Total, 1 USA] value in the highlighted cell below</t>
  </si>
  <si>
    <t>1. Go to Updated Data -&gt; Updated GTAP View -&gt; GDPEXP</t>
  </si>
  <si>
    <t>2. Copy the [USA, 5 imp] cell (Ctrl-X)</t>
  </si>
  <si>
    <t>3. Paste the value in the highlighted cell below</t>
  </si>
  <si>
    <t>GDPEXP</t>
  </si>
  <si>
    <t>1 cons</t>
  </si>
  <si>
    <t>2 inv</t>
  </si>
  <si>
    <t>3 gov</t>
  </si>
  <si>
    <t>4 export</t>
  </si>
  <si>
    <t>5 imp</t>
  </si>
  <si>
    <t>4 exp</t>
  </si>
  <si>
    <t>This is the master sheet for controling most tariff rates</t>
  </si>
  <si>
    <t>1. Set the desired rate/assumption among the yellow highlighted cells below</t>
  </si>
  <si>
    <t>2. Copy Column AX to the "Shock" tab in RunGTAP</t>
  </si>
  <si>
    <t>Target Price Increase, Short-Run</t>
  </si>
  <si>
    <t>Baseline Consumption</t>
  </si>
  <si>
    <t>USMCA Shares</t>
  </si>
  <si>
    <t>Final Average Effective Tariff Rates by Country-Commodity</t>
  </si>
  <si>
    <t>Food Price Increase, Short-Run</t>
  </si>
  <si>
    <t>Key</t>
  </si>
  <si>
    <t>Food?</t>
  </si>
  <si>
    <t>Total ex. China, Canada, Mexico</t>
  </si>
  <si>
    <t>Reciprocal Exemption</t>
  </si>
  <si>
    <t>Share of US-assembled foreign autos</t>
  </si>
  <si>
    <t>Steel &amp; Aluminum</t>
  </si>
  <si>
    <t>Rebate, year 1</t>
  </si>
  <si>
    <t>Weighted Electronics</t>
  </si>
  <si>
    <t>Motor Vehicles</t>
  </si>
  <si>
    <t>Canada USMCA Trade</t>
  </si>
  <si>
    <t>Appliance-Weighted Electrical</t>
  </si>
  <si>
    <t>Mexico USMCA Trade</t>
  </si>
  <si>
    <t>IEEPA July 7 Announcements</t>
  </si>
  <si>
    <t>Rate</t>
  </si>
  <si>
    <t>Share of Trade</t>
  </si>
  <si>
    <t>All FTROW (South Korea)</t>
  </si>
  <si>
    <t>All ROW (Vietnam)</t>
  </si>
  <si>
    <t>Vietnam transshipment share</t>
  </si>
  <si>
    <t>IEEPA Tariffs</t>
  </si>
  <si>
    <t>IEEPA Canada</t>
  </si>
  <si>
    <t>IEEPA Canada energy</t>
  </si>
  <si>
    <t>IEEPA Mexico</t>
  </si>
  <si>
    <t>IEEPA Vietnam</t>
  </si>
  <si>
    <t>IEEPA China Broad</t>
  </si>
  <si>
    <t>IEEPA China Reciprocal</t>
  </si>
  <si>
    <t>IEEPA EU Reciprocal</t>
  </si>
  <si>
    <t>IEEPA Reciprocal</t>
  </si>
  <si>
    <t>232 Tariffs</t>
  </si>
  <si>
    <t>232 Autos</t>
  </si>
  <si>
    <t>232 Autos EU</t>
  </si>
  <si>
    <t>232 Autos UK</t>
  </si>
  <si>
    <t>232 Steel &amp; Aluminum</t>
  </si>
  <si>
    <t>232 Steel &amp; Aluminum UK</t>
  </si>
  <si>
    <t>232 Copper</t>
  </si>
  <si>
    <t>Copper Shares of nfm</t>
  </si>
  <si>
    <t>Late-September 2025 232 Tariffs</t>
  </si>
  <si>
    <t>Pharmaceuticals</t>
  </si>
  <si>
    <t>Medicinal Share of bph (2024)</t>
  </si>
  <si>
    <t>Cabinets &amp; Vanities</t>
  </si>
  <si>
    <t>C&amp;V share of omf</t>
  </si>
  <si>
    <t>Upholstered Furniture</t>
  </si>
  <si>
    <t>Upholstered share of omf</t>
  </si>
  <si>
    <t>Heavy Trucks</t>
  </si>
  <si>
    <t>Heavy Truck Share of mvh</t>
  </si>
  <si>
    <t>Softwood Timber and Lumber</t>
  </si>
  <si>
    <t>Softwood Timber and Lumber Share of frs</t>
  </si>
  <si>
    <t>Softwood Timber and Lumber Share of lum</t>
  </si>
  <si>
    <t>US Content in Canada/Mexico Autos</t>
  </si>
  <si>
    <t>Appliance Share of Electrical</t>
  </si>
  <si>
    <t xml:space="preserve">Copper </t>
  </si>
  <si>
    <t>Total Goods (1-49)</t>
  </si>
  <si>
    <t>stacks?</t>
  </si>
  <si>
    <t>tariff authority</t>
  </si>
  <si>
    <t>priority</t>
  </si>
  <si>
    <t>No</t>
  </si>
  <si>
    <t>Section 232 Auto/Auto Parts</t>
  </si>
  <si>
    <t>Highest</t>
  </si>
  <si>
    <t>No (except derivatives below)</t>
  </si>
  <si>
    <t>IEEPA Canada/Mexico</t>
  </si>
  <si>
    <t>Only steel + aluminum on derivatives</t>
  </si>
  <si>
    <t>Section 232 Steel/Aluminum</t>
  </si>
  <si>
    <t>Yes, unaffected by EO 14289</t>
  </si>
  <si>
    <t>china</t>
  </si>
  <si>
    <t>canada</t>
  </si>
  <si>
    <t>mexico</t>
  </si>
  <si>
    <t>uk</t>
  </si>
  <si>
    <t>japan</t>
  </si>
  <si>
    <t>eu</t>
  </si>
  <si>
    <t>row</t>
  </si>
  <si>
    <t>ftrow</t>
  </si>
  <si>
    <t>Other Tariffs (e.g., 301, AD/CVD)</t>
  </si>
  <si>
    <t>N/A</t>
  </si>
  <si>
    <t>This sheet is for setting the "reciprocal" tariff rates of countries in the ROW and FTROW regions</t>
  </si>
  <si>
    <t>To set a special tariff rate:</t>
  </si>
  <si>
    <t>1. Change the relevant "Active FTROW" or "Active ROW" cell to "1"</t>
  </si>
  <si>
    <t>2. Change the relevant "FTROW Tariff" or "ROW Tariff" to the desired rate</t>
  </si>
  <si>
    <t>3. Any country not "activated" is assumed to received the "IEEPA Reciprocal" rate set in the Weighted US Tariff tab.</t>
  </si>
  <si>
    <t>Exhibit 4. Exports, Imports, and Trade Balance of Goods by Country and Area, Not Seasonally Adjusted: 2024</t>
  </si>
  <si>
    <t xml:space="preserve">In millions of dollars. Details may not equal totals due to rounding. The countries in this exhibit are ranked by year-to-date totals. </t>
  </si>
  <si>
    <t>(X) Not applicable. (-) Represents zero or less than one-half unit of measurement shown.</t>
  </si>
  <si>
    <t>Country</t>
  </si>
  <si>
    <t>Annual</t>
  </si>
  <si>
    <t>Active FTROW</t>
  </si>
  <si>
    <t>FTROW Tariff</t>
  </si>
  <si>
    <t>Active ROW</t>
  </si>
  <si>
    <t>ROW Tariff</t>
  </si>
  <si>
    <t>Afghanistan</t>
  </si>
  <si>
    <t>Tariffs Charged to the U.S.A. (%)</t>
  </si>
  <si>
    <t>U.S.A. Discounted Reciprocal Tariffs (%)</t>
  </si>
  <si>
    <t>Albania</t>
  </si>
  <si>
    <t>Lesotho</t>
  </si>
  <si>
    <t>Algeria</t>
  </si>
  <si>
    <t>Saint Pierre and Miquelon</t>
  </si>
  <si>
    <t>Andorra</t>
  </si>
  <si>
    <t>Cambodia</t>
  </si>
  <si>
    <t>Angola</t>
  </si>
  <si>
    <t>Laos</t>
  </si>
  <si>
    <t>Anguilla</t>
  </si>
  <si>
    <t>Madagascar</t>
  </si>
  <si>
    <t>Antigua and Barbuda</t>
  </si>
  <si>
    <t>Vietnam</t>
  </si>
  <si>
    <t>Argentina</t>
  </si>
  <si>
    <t>Myanmar (Burma)</t>
  </si>
  <si>
    <t>Armenia</t>
  </si>
  <si>
    <t>Sri Lanka</t>
  </si>
  <si>
    <t>Aruba</t>
  </si>
  <si>
    <t>Falkland Islands</t>
  </si>
  <si>
    <t>Australia*</t>
  </si>
  <si>
    <t>Mauritius</t>
  </si>
  <si>
    <t>Austria</t>
  </si>
  <si>
    <t>Iraq</t>
  </si>
  <si>
    <t>Azerbaijan</t>
  </si>
  <si>
    <t>Guyana</t>
  </si>
  <si>
    <t>Bahamas</t>
  </si>
  <si>
    <t>Bangladesh</t>
  </si>
  <si>
    <t>Bahrain</t>
  </si>
  <si>
    <t>Botswana</t>
  </si>
  <si>
    <t>Liechtenstein</t>
  </si>
  <si>
    <t>Barbados</t>
  </si>
  <si>
    <t>Reunion</t>
  </si>
  <si>
    <t>Belarus</t>
  </si>
  <si>
    <t>Serbia</t>
  </si>
  <si>
    <t>Belgium</t>
  </si>
  <si>
    <t>Thailand</t>
  </si>
  <si>
    <t>Belize</t>
  </si>
  <si>
    <t>Bosnia and Herzegovina</t>
  </si>
  <si>
    <t>Benin</t>
  </si>
  <si>
    <t>Bermuda</t>
  </si>
  <si>
    <t>North Macedonia</t>
  </si>
  <si>
    <t>Bhutan</t>
  </si>
  <si>
    <t>Bolivia</t>
  </si>
  <si>
    <t>Fiji</t>
  </si>
  <si>
    <t>Indonesia</t>
  </si>
  <si>
    <t>Taiwan</t>
  </si>
  <si>
    <t>Brazil</t>
  </si>
  <si>
    <t>Libya</t>
  </si>
  <si>
    <t>British Indian Ocean Territories</t>
  </si>
  <si>
    <t>Moldova</t>
  </si>
  <si>
    <t>British Virgin Islands</t>
  </si>
  <si>
    <t>Switzerland</t>
  </si>
  <si>
    <t>Brunei</t>
  </si>
  <si>
    <t>Bulgaria</t>
  </si>
  <si>
    <t>Nauru</t>
  </si>
  <si>
    <t>Burkina Faso</t>
  </si>
  <si>
    <t>South Africa</t>
  </si>
  <si>
    <t>Burma</t>
  </si>
  <si>
    <t>Norfolk Island</t>
  </si>
  <si>
    <t>Burundi</t>
  </si>
  <si>
    <t>Pakistan</t>
  </si>
  <si>
    <t>Cabo Verde</t>
  </si>
  <si>
    <t>Tunisia</t>
  </si>
  <si>
    <t>Kazakhstan</t>
  </si>
  <si>
    <t>Cameroon</t>
  </si>
  <si>
    <t>India</t>
  </si>
  <si>
    <t>Canada**</t>
  </si>
  <si>
    <t>South Korea</t>
  </si>
  <si>
    <t>Cayman Islands</t>
  </si>
  <si>
    <t>Central African Republic</t>
  </si>
  <si>
    <t>Chad</t>
  </si>
  <si>
    <t>Malaysia</t>
  </si>
  <si>
    <t>Chile*</t>
  </si>
  <si>
    <t>Côte d'Ivoire</t>
  </si>
  <si>
    <t>Namibia</t>
  </si>
  <si>
    <t>Christmas Island</t>
  </si>
  <si>
    <t>European Union</t>
  </si>
  <si>
    <t>Cocos (Keeling) Islands</t>
  </si>
  <si>
    <t>Jordan</t>
  </si>
  <si>
    <t>Colombia*</t>
  </si>
  <si>
    <t>Nicaragua</t>
  </si>
  <si>
    <t>Comoros</t>
  </si>
  <si>
    <t>Israel</t>
  </si>
  <si>
    <t>Congo (Brazzaville)</t>
  </si>
  <si>
    <t>Philippines</t>
  </si>
  <si>
    <t>Democratic Republic of the Congo</t>
  </si>
  <si>
    <t>Zambia</t>
  </si>
  <si>
    <t>Cook Islands</t>
  </si>
  <si>
    <t>Mozambique</t>
  </si>
  <si>
    <t>Costa Rica**</t>
  </si>
  <si>
    <t>Norway</t>
  </si>
  <si>
    <t>Venezuela</t>
  </si>
  <si>
    <t>Croatia</t>
  </si>
  <si>
    <t>Nigeria</t>
  </si>
  <si>
    <t>Cuba</t>
  </si>
  <si>
    <t>Curacao</t>
  </si>
  <si>
    <t>Equatorial Guinea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</si>
  <si>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</si>
  <si>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</si>
  <si>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</si>
  <si>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</si>
  <si>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</si>
  <si>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</si>
  <si>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</si>
  <si>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</si>
  <si>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Salvador**</t>
  </si>
  <si>
    <t>Australia</t>
  </si>
  <si>
    <t>Eritrea</t>
  </si>
  <si>
    <t>Estonia</t>
  </si>
  <si>
    <t>Eswatini</t>
  </si>
  <si>
    <t>Ethiopia</t>
  </si>
  <si>
    <t>Faroe Islands</t>
  </si>
  <si>
    <t>British Indian Ocean Territory</t>
  </si>
  <si>
    <t>Finland</t>
  </si>
  <si>
    <t>France</t>
  </si>
  <si>
    <t>French Guiana</t>
  </si>
  <si>
    <t>French Polynesia</t>
  </si>
  <si>
    <t>Chile</t>
  </si>
  <si>
    <t>French Southern and Antarctic Lands</t>
  </si>
  <si>
    <t>(-)</t>
  </si>
  <si>
    <t>Gabon</t>
  </si>
  <si>
    <t>Gambia</t>
  </si>
  <si>
    <t>Colombia</t>
  </si>
  <si>
    <t>Gaza Strip Administered by Israel</t>
  </si>
  <si>
    <t>Georgia</t>
  </si>
  <si>
    <t>Germany</t>
  </si>
  <si>
    <t>Costa Rica</t>
  </si>
  <si>
    <t>Ghana</t>
  </si>
  <si>
    <t>Gibraltar</t>
  </si>
  <si>
    <t>Greece</t>
  </si>
  <si>
    <t>Greenland</t>
  </si>
  <si>
    <t>Grenada</t>
  </si>
  <si>
    <t>El Salvador</t>
  </si>
  <si>
    <t>Guadeloupe</t>
  </si>
  <si>
    <t>Guatemala*</t>
  </si>
  <si>
    <t>Guinea</t>
  </si>
  <si>
    <t>Guinea-Bissau</t>
  </si>
  <si>
    <t>Haiti</t>
  </si>
  <si>
    <t>Heard and McDonald Islands</t>
  </si>
  <si>
    <t>Honduras</t>
  </si>
  <si>
    <t>Hong Kong</t>
  </si>
  <si>
    <t>Hungary</t>
  </si>
  <si>
    <t>Iceland</t>
  </si>
  <si>
    <t>Guatemala</t>
  </si>
  <si>
    <t>Iran</t>
  </si>
  <si>
    <t>Ireland</t>
  </si>
  <si>
    <t>Israel*</t>
  </si>
  <si>
    <t>Italy</t>
  </si>
  <si>
    <t>Jamaica</t>
  </si>
  <si>
    <t>Kenya</t>
  </si>
  <si>
    <t>Jordan*</t>
  </si>
  <si>
    <t>Kiribati</t>
  </si>
  <si>
    <t>Kuwait</t>
  </si>
  <si>
    <t>Kyrgyzstan</t>
  </si>
  <si>
    <t>Lebanon</t>
  </si>
  <si>
    <t>Korea, North</t>
  </si>
  <si>
    <t>Maldives</t>
  </si>
  <si>
    <t>Mali</t>
  </si>
  <si>
    <t>Kosovo</t>
  </si>
  <si>
    <t>Marshall Islands</t>
  </si>
  <si>
    <t>Martinique</t>
  </si>
  <si>
    <t>Mauritania</t>
  </si>
  <si>
    <t>Mayotte</t>
  </si>
  <si>
    <t>Latvia</t>
  </si>
  <si>
    <t>Micronesia</t>
  </si>
  <si>
    <t>Montenegro</t>
  </si>
  <si>
    <t>Montserrat</t>
  </si>
  <si>
    <t>Liberia</t>
  </si>
  <si>
    <t>Morocco</t>
  </si>
  <si>
    <t>Nepal</t>
  </si>
  <si>
    <t>New Zealand</t>
  </si>
  <si>
    <t>Lithuania</t>
  </si>
  <si>
    <t>Niger</t>
  </si>
  <si>
    <t>Luxembourg</t>
  </si>
  <si>
    <t>Oman</t>
  </si>
  <si>
    <t>Macau</t>
  </si>
  <si>
    <t>Panama</t>
  </si>
  <si>
    <t>Paraguay</t>
  </si>
  <si>
    <t>Malawi</t>
  </si>
  <si>
    <t>Peru</t>
  </si>
  <si>
    <t>Qatar</t>
  </si>
  <si>
    <t>Saint Helena</t>
  </si>
  <si>
    <t>Saint Kitts and Nevis</t>
  </si>
  <si>
    <t>Malta</t>
  </si>
  <si>
    <t>Saint Lucia</t>
  </si>
  <si>
    <t>Saint Vincent and the Grenadines</t>
  </si>
  <si>
    <t>Samoa</t>
  </si>
  <si>
    <t>São Tomé and Príncipe</t>
  </si>
  <si>
    <t>Saudi Arabia</t>
  </si>
  <si>
    <t>Senegal</t>
  </si>
  <si>
    <t>Mexico**</t>
  </si>
  <si>
    <t>Singapore</t>
  </si>
  <si>
    <t>Sint Maarten</t>
  </si>
  <si>
    <t>Solomon Islands</t>
  </si>
  <si>
    <t>Monaco</t>
  </si>
  <si>
    <t>South Sudan</t>
  </si>
  <si>
    <t>Mongolia</t>
  </si>
  <si>
    <t>Sudan</t>
  </si>
  <si>
    <t>Suriname</t>
  </si>
  <si>
    <t>Svalbard and Jan Mayen</t>
  </si>
  <si>
    <t>Morocco*</t>
  </si>
  <si>
    <t>Tajikistan</t>
  </si>
  <si>
    <t>Tanzania</t>
  </si>
  <si>
    <t>Timor-Leste</t>
  </si>
  <si>
    <t>Togo</t>
  </si>
  <si>
    <t>Tokelau</t>
  </si>
  <si>
    <t>Netherlands</t>
  </si>
  <si>
    <t>Tonga</t>
  </si>
  <si>
    <t>New Caledonia</t>
  </si>
  <si>
    <t>Trinidad and Tobago</t>
  </si>
  <si>
    <t>Turkey</t>
  </si>
  <si>
    <t>Nicaragua**</t>
  </si>
  <si>
    <t>Turkmenistan</t>
  </si>
  <si>
    <t>Turks and Caicos Islands</t>
  </si>
  <si>
    <t>Tuvalu</t>
  </si>
  <si>
    <t>Niue</t>
  </si>
  <si>
    <t>Uganda</t>
  </si>
  <si>
    <t>Ukraine</t>
  </si>
  <si>
    <t>United Arab Emirates</t>
  </si>
  <si>
    <t>United Kingdom</t>
  </si>
  <si>
    <t>Oman*</t>
  </si>
  <si>
    <t>Uruguay</t>
  </si>
  <si>
    <t>Yemen</t>
  </si>
  <si>
    <t>Palau</t>
  </si>
  <si>
    <t>Panama*</t>
  </si>
  <si>
    <t>Papua New Guinea</t>
  </si>
  <si>
    <t>Peru*</t>
  </si>
  <si>
    <t>Pitcairn Islands</t>
  </si>
  <si>
    <t>Poland</t>
  </si>
  <si>
    <t>Portugal</t>
  </si>
  <si>
    <t>Romania</t>
  </si>
  <si>
    <t>Russia</t>
  </si>
  <si>
    <t>Rwanda</t>
  </si>
  <si>
    <t>San Marino</t>
  </si>
  <si>
    <t>Sao Tome and Principe</t>
  </si>
  <si>
    <t>Seychelles</t>
  </si>
  <si>
    <t>Sierra Leone</t>
  </si>
  <si>
    <t>Singapore*</t>
  </si>
  <si>
    <t>Slovakia</t>
  </si>
  <si>
    <t>Slovenia</t>
  </si>
  <si>
    <t>Somalia</t>
  </si>
  <si>
    <t>Spain</t>
  </si>
  <si>
    <t>St Helena</t>
  </si>
  <si>
    <t>St Kitts and Nevis</t>
  </si>
  <si>
    <t>St Lucia</t>
  </si>
  <si>
    <t>St Pierre and Miquelon</t>
  </si>
  <si>
    <t>St Vincent and the Grenadines</t>
  </si>
  <si>
    <t>Svalbard, Jan Mayen Island</t>
  </si>
  <si>
    <t>Sweden</t>
  </si>
  <si>
    <t>Syria</t>
  </si>
  <si>
    <t>Uzbekistan</t>
  </si>
  <si>
    <t>Vanuatu</t>
  </si>
  <si>
    <t>Vatican City</t>
  </si>
  <si>
    <t>Wallis and Futuna</t>
  </si>
  <si>
    <t>West Bank Administered by Israel</t>
  </si>
  <si>
    <t>Zimbabwe</t>
  </si>
  <si>
    <t>Ex China</t>
  </si>
  <si>
    <t xml:space="preserve">APEC (Asia - Pacific Economic Cooperation) - Australia, Brunei, Canada, Chile, China, Hong Kong, Indonesia, Japan, Korea (South), Malaysia, Mexico, New Zealand, Papua New </t>
  </si>
  <si>
    <t>Guinea, Peru, Philippines, Russia, Singapore, Taiwan, Thailand, Vietnam.</t>
  </si>
  <si>
    <t>ASEAN (Association of Southeast Asian Nations) - Brunei, Burma, Cambodia, Indonesia, Laos, Malaysia, Philippines, Singapore, Thailand, Vietnam.</t>
  </si>
  <si>
    <t>Asia - South - Afghanistan, Bangladesh, India, Nepal, Pakistan, Sri Lanka.</t>
  </si>
  <si>
    <t xml:space="preserve">Asia Near East - Bahrain, Gaza Strip Administered by Israel, Iran, Iraq, Israel, Jordan, Kuwait, Lebanon, Oman, Qatar, Saudi Arabia, Syria, </t>
  </si>
  <si>
    <t>United Arab Emirates, West Bank Administered by Israel, Yemen.</t>
  </si>
  <si>
    <t>CAFTA-DR (Dominican Republic-Central America-United States Free Trade Agreement) - Costa Rica, Dominican Republic, El Salvador, Guatemala, Honduras, Nicaragua.</t>
  </si>
  <si>
    <t xml:space="preserve">Central American Common Market - Costa Rica, El Salvador, Guatemala, Honduras, Nicaragua. </t>
  </si>
  <si>
    <t xml:space="preserve">Euro Area - Austria, Belgium, Croatia, Cyprus, Estonia, Finland, France, Germany, Greece, Ireland, Italy, Latvia, Lithuania, Luxembourg, Malta, Netherlands, Portugal, Slovakia, </t>
  </si>
  <si>
    <t>Slovenia, Spain.</t>
  </si>
  <si>
    <t>Europe - Albania, Andorra, Armenia, Austria, Azerbaijan, Belarus, Belgium, Bosnia-Herzegovina, Bulgaria, Croatia, Cyprus, Czech Republic, Denmark, Estonia, Faroe Islands,</t>
  </si>
  <si>
    <t>Finland, France, Georgia, Germany, Gibraltar, Greece, Hungary, Iceland, Ireland, Italy, Kazakhstan, Kosovo, Kyrgyzstan, Latvia, Liechtenstein, Lithuania,</t>
  </si>
  <si>
    <t xml:space="preserve">Luxembourg, Malta, Moldova, Monaco, Montenegro, Netherlands, North Macedonia, Norway, Poland, Portugal, Romania, Russia, San Marino, Serbia, Slovakia, Slovenia, Spain, </t>
  </si>
  <si>
    <t>Svalbard, Jan Mayen Island, Sweden, Switzerland, Tajikistan, Turkey, Turkmenistan, Ukraine, United Kingdom, Uzbekistan, Vatican City.</t>
  </si>
  <si>
    <t xml:space="preserve">European Union - Austria, Belgium, Bulgaria, Croatia, Cyprus, Czech Republic, Denmark, Estonia, Finland, France, Germany, Greece, Hungary, Ireland, Italy, Latvia, </t>
  </si>
  <si>
    <t>Lithuania, Luxembourg, Malta, Netherlands, Poland, Portugal, Romania, Slovakia, Slovenia, Spain, Sweden.</t>
  </si>
  <si>
    <t>LAFTA (Latin American Free Trade Area) - Argentina, Bolivia, Brazil, Chile, Colombia, Ecuador, Mexico, Paraguay, Peru, Uruguay, Venezuela.</t>
  </si>
  <si>
    <t xml:space="preserve">NATO (North Atlantic Treaty Organization) Allies - Belgium, Bulgaria, Canada, Czech Republic, Denmark, Estonia, Finland, France, Germany, Greece, Hungary, Iceland,  </t>
  </si>
  <si>
    <t>Italy, Latvia, Lithuania, Luxembourg, Netherlands, Norway, Poland, Portugal, Romania, Slovakia, Slovenia, Spain, Turkey, United Kingdom.</t>
  </si>
  <si>
    <t>North America - Canada, Mexico.</t>
  </si>
  <si>
    <t>OECD (Organization for Economic Cooperation and Development) - Australia, Austria, Belgium, Canada, Chile, Czech Republic, Denmark, Estonia, Finland, France, Germany,</t>
  </si>
  <si>
    <t>Greece, Hungary, Iceland, Ireland, Israel, Italy, Japan, Korea (South), Luxembourg, Mexico, Netherlands, New Zealand, Norway, Poland, Portugal, Slovakia, Slovenia, Spain,</t>
  </si>
  <si>
    <t>Sweden, Switzerland, Turkey, United Kingdom.</t>
  </si>
  <si>
    <t>Pacific Rim Countries - Australia, Brunei, China, Hong Kong, Indonesia, Japan, Korea (South), Macau, Malaysia, New Zealand, Papua New Guinea, Philippines,</t>
  </si>
  <si>
    <t>Singapore, Taiwan.</t>
  </si>
  <si>
    <t>South/Central America - Anguilla, Antigua and Barbuda, Argentina, Aruba, Bahamas, Barbados, Belize, Bermuda, Bolivia, Brazil, British Virgin Islands,</t>
  </si>
  <si>
    <t>Cayman Islands, Chile, Colombia, Costa Rica, Cuba, Curacao, Dominica, Dominican Republic, Ecuador, El Salvador, Falkland Islands (Islas Malvinas), French Guiana, Grenada,</t>
  </si>
  <si>
    <t>Guadeloupe, Guatemala, Guyana, Haiti, Honduras, Jamaica, Martinique, Montserrat, Nicaragua, Panama, Paraguay, Peru, St. Kitts</t>
  </si>
  <si>
    <t>and Nevis, Sint Maarten, St. Lucia, St. Vincent and the Grenadines, Suriname, Trinidad and Tobago, Turks and Caicos Islands, Uruguay, Venezuela.</t>
  </si>
  <si>
    <t xml:space="preserve">Twenty Latin American Republics - Argentina, Bolivia, Brazil, Chile, Colombia, Costa Rica, Cuba, Dominican Republic, Ecuador,  El Salvador, Guatemala, </t>
  </si>
  <si>
    <t>Haiti, Honduras, Mexico, Nicaragua, Panama, Paraguay, Peru, Uruguay, Venezuela.</t>
  </si>
  <si>
    <t>(1) The export totals reflect shipments of certain grains, oilseeds, and satellites that are not included in the country/area totals.</t>
  </si>
  <si>
    <t>NOTE: Area data reflect the composition of the areas as of the most recent statistical period.</t>
  </si>
  <si>
    <t>Retaliation Cadence</t>
  </si>
  <si>
    <t>Laubach</t>
  </si>
  <si>
    <t>MPE10Y</t>
  </si>
  <si>
    <t>@RT10Y</t>
  </si>
  <si>
    <t>EMMNP$</t>
  </si>
  <si>
    <t>KFBOR$</t>
  </si>
  <si>
    <t>GDP$</t>
  </si>
  <si>
    <t>EGFPI$</t>
  </si>
  <si>
    <t>i</t>
  </si>
  <si>
    <t>New Rev</t>
  </si>
  <si>
    <t>New Interest</t>
  </si>
  <si>
    <t>New Debt</t>
  </si>
  <si>
    <t>New Debt GDP</t>
  </si>
  <si>
    <t>GDP Effect</t>
  </si>
  <si>
    <t>Total GDP effect</t>
  </si>
  <si>
    <t>GDP1</t>
  </si>
  <si>
    <t>New GDP</t>
  </si>
  <si>
    <t>year</t>
  </si>
  <si>
    <t>gdpfx</t>
  </si>
  <si>
    <t>DEBTGDP_1-DEBTGDP_0</t>
  </si>
  <si>
    <t>100*(XGDO_1/XGDO_0-1)</t>
  </si>
  <si>
    <t>100*(RGFINT_1-RGFINT_0)</t>
  </si>
  <si>
    <t>2040Q1</t>
  </si>
  <si>
    <t>2040Q2</t>
  </si>
  <si>
    <t>2040Q3</t>
  </si>
  <si>
    <t>2040Q4</t>
  </si>
  <si>
    <t>2041Q1</t>
  </si>
  <si>
    <t>2041Q2</t>
  </si>
  <si>
    <t>2041Q3</t>
  </si>
  <si>
    <t>2041Q4</t>
  </si>
  <si>
    <t>2042Q1</t>
  </si>
  <si>
    <t>2042Q2</t>
  </si>
  <si>
    <t>2042Q3</t>
  </si>
  <si>
    <t>2042Q4</t>
  </si>
  <si>
    <t>2043Q1</t>
  </si>
  <si>
    <t>2043Q2</t>
  </si>
  <si>
    <t>2043Q3</t>
  </si>
  <si>
    <t>2043Q4</t>
  </si>
  <si>
    <t>2044Q1</t>
  </si>
  <si>
    <t>2044Q2</t>
  </si>
  <si>
    <t>2044Q3</t>
  </si>
  <si>
    <t>2044Q4</t>
  </si>
  <si>
    <t>2045Q1</t>
  </si>
  <si>
    <t>2045Q2</t>
  </si>
  <si>
    <t>2045Q3</t>
  </si>
  <si>
    <t>2045Q4</t>
  </si>
  <si>
    <t>2046Q1</t>
  </si>
  <si>
    <t>2046Q2</t>
  </si>
  <si>
    <t>2046Q3</t>
  </si>
  <si>
    <t>2046Q4</t>
  </si>
  <si>
    <t>2047Q1</t>
  </si>
  <si>
    <t>2047Q2</t>
  </si>
  <si>
    <t>2047Q3</t>
  </si>
  <si>
    <t>2047Q4</t>
  </si>
  <si>
    <t>2048Q1</t>
  </si>
  <si>
    <t>2048Q2</t>
  </si>
  <si>
    <t>2048Q3</t>
  </si>
  <si>
    <t>2048Q4</t>
  </si>
  <si>
    <t>2049Q1</t>
  </si>
  <si>
    <t>2049Q2</t>
  </si>
  <si>
    <t>2049Q3</t>
  </si>
  <si>
    <t>2049Q4</t>
  </si>
  <si>
    <t>2050Q1</t>
  </si>
  <si>
    <t>2050Q2</t>
  </si>
  <si>
    <t>2050Q3</t>
  </si>
  <si>
    <t>2050Q4</t>
  </si>
  <si>
    <t>2051Q1</t>
  </si>
  <si>
    <t>2051Q2</t>
  </si>
  <si>
    <t>2051Q3</t>
  </si>
  <si>
    <t>2051Q4</t>
  </si>
  <si>
    <t>2052Q1</t>
  </si>
  <si>
    <t>2052Q2</t>
  </si>
  <si>
    <t>2052Q3</t>
  </si>
  <si>
    <t>2052Q4</t>
  </si>
  <si>
    <t>2053Q1</t>
  </si>
  <si>
    <t>2053Q2</t>
  </si>
  <si>
    <t>2053Q3</t>
  </si>
  <si>
    <t>2053Q4</t>
  </si>
  <si>
    <t>2054Q1</t>
  </si>
  <si>
    <t>2054Q2</t>
  </si>
  <si>
    <t>2054Q3</t>
  </si>
  <si>
    <t>2054Q4</t>
  </si>
  <si>
    <t>2055Q1</t>
  </si>
  <si>
    <t>2055Q2</t>
  </si>
  <si>
    <t>2055Q3</t>
  </si>
  <si>
    <t>2055Q4</t>
  </si>
  <si>
    <t>2056Q1</t>
  </si>
  <si>
    <t>2056Q2</t>
  </si>
  <si>
    <t>2056Q3</t>
  </si>
  <si>
    <t>2056Q4</t>
  </si>
  <si>
    <t>2057Q1</t>
  </si>
  <si>
    <t>2057Q2</t>
  </si>
  <si>
    <t>2057Q3</t>
  </si>
  <si>
    <t>2057Q4</t>
  </si>
  <si>
    <t>2058Q1</t>
  </si>
  <si>
    <t>2058Q2</t>
  </si>
  <si>
    <t>2058Q3</t>
  </si>
  <si>
    <t>2058Q4</t>
  </si>
  <si>
    <t>2059Q1</t>
  </si>
  <si>
    <t>2059Q2</t>
  </si>
  <si>
    <t>2059Q3</t>
  </si>
  <si>
    <t>2059Q4</t>
  </si>
  <si>
    <t>Imports</t>
  </si>
  <si>
    <t>Import Share</t>
  </si>
  <si>
    <t>CD1X: Average annual Expenditure: Lowest Decile Pre-Tax Income ($) CD1IND: Income After Taxes: Lowest Decile Pre-Tax Income ($)</t>
  </si>
  <si>
    <t>CD2X: Average annual Expenditure: Second Decile Pre-Tax Income ($) CD2IND: Income After Taxes: Second Decile Pre-Tax Income ($)</t>
  </si>
  <si>
    <t>CD3X: Average annual Expenditure: Third Decile Pre-Tax Income ($) CD3IND: Income After Taxes: Third Decile Pre-Tax Income ($)</t>
  </si>
  <si>
    <t>CD4X: Average annual Expenditure: Fourth Decile Pre-Tax Income ($) CD4IND: Income After Taxes: Fourth Decile Pre-Tax Income ($)</t>
  </si>
  <si>
    <t>CD5X: Average annual Expenditure: Fifth Decile Pre-Tax Income ($) CD5IND: Income After Taxes: Fifth Decile Pre-Tax Income ($)</t>
  </si>
  <si>
    <t>CD6X: Average annual Expenditure: Sixth Decile Pre-Tax Income ($) CD6IND: Income After Taxes: Sixth Decile Pre-Tax Income ($)</t>
  </si>
  <si>
    <t>CD7X: Average annual Expenditure: Seventh Decile Pre-Tax Income ($) CD7IND: Income After Taxes: Seventh Decile Pre-Tax Income ($)</t>
  </si>
  <si>
    <t>CD8X: Average annual Expenditure: Eighth Decile Pre-Tax Income ($) CD8IND: Income After Taxes: Eighth Decile Pre-Tax Income ($)</t>
  </si>
  <si>
    <t>CD9X: Average annual Expenditure: Ninth Decile Pre-Tax Income ($) CD9IND: Income After Taxes: Ninth Decile Pre-Tax Income ($)</t>
  </si>
  <si>
    <t>CD10X: Average annuall Expenditure: Highest Decile Pre-Tax Income ($) CD10IND: Income After Taxes: Highest Decile Pre-Tax Income ($)</t>
  </si>
  <si>
    <t>RESULT: 0 CD1X: 0 CD1IND: 0</t>
  </si>
  <si>
    <t>RESULT: 0 CD2X: 0 CD2IND: 0</t>
  </si>
  <si>
    <t>RESULT: 0 CD3X: 0 CD3IND: 0</t>
  </si>
  <si>
    <t>RESULT: 0 CD4X: 0 CD4IND: 0</t>
  </si>
  <si>
    <t>RESULT: 0 CD5X: 0 CD5IND: 0</t>
  </si>
  <si>
    <t>RESULT: 0 CD6X: 0 CD6IND: 0</t>
  </si>
  <si>
    <t>RESULT: 0 CD7X: 0 CD7IND: 0</t>
  </si>
  <si>
    <t>RESULT: 0 CD8X: 0 CD8IND: 0</t>
  </si>
  <si>
    <t>RESULT: 0 CD9X: 0 CD9IND: 0</t>
  </si>
  <si>
    <t>RESULT: 0 CD10X: 0 CD10IND: 0</t>
  </si>
  <si>
    <t>CD1X: C94 CD1IND: C94</t>
  </si>
  <si>
    <t>CD2X: C94 CD2IND: C94</t>
  </si>
  <si>
    <t>CD3X: C94 CD3IND: C94</t>
  </si>
  <si>
    <t>CD4X: C94 CD4IND: C94</t>
  </si>
  <si>
    <t>CD5X: C94 CD5IND: C94</t>
  </si>
  <si>
    <t>CD6X: C94 CD6IND: C94</t>
  </si>
  <si>
    <t>CD7X: C94 CD7IND: C94</t>
  </si>
  <si>
    <t>CD8X: C94 CD8IND: C94</t>
  </si>
  <si>
    <t>CD9X: C94 CD9IND: C94</t>
  </si>
  <si>
    <t>CD10X: C94 CD10IND: C94</t>
  </si>
  <si>
    <t>CD1X: Consumer Expenditure Survey CD1IND: Consumer Expenditure Survey</t>
  </si>
  <si>
    <t>CD2X: Consumer Expenditure Survey CD2IND: Consumer Expenditure Survey</t>
  </si>
  <si>
    <t>CD3X: Consumer Expenditure Survey CD3IND: Consumer Expenditure Survey</t>
  </si>
  <si>
    <t>CD4X: Consumer Expenditure Survey CD4IND: Consumer Expenditure Survey</t>
  </si>
  <si>
    <t>CD5X: Consumer Expenditure Survey CD5IND: Consumer Expenditure Survey</t>
  </si>
  <si>
    <t>CD6X: Consumer Expenditure Survey CD6IND: Consumer Expenditure Survey</t>
  </si>
  <si>
    <t>CD7X: Consumer Expenditure Survey CD7IND: Consumer Expenditure Survey</t>
  </si>
  <si>
    <t>CD8X: Consumer Expenditure Survey CD8IND: Consumer Expenditure Survey</t>
  </si>
  <si>
    <t>CD9X: Consumer Expenditure Survey CD9IND: Consumer Expenditure Survey</t>
  </si>
  <si>
    <t>CD10X: Consumer Expenditure Survey CD10IND: Consumer Expenditure Survey</t>
  </si>
  <si>
    <t>RESULT: 111 CD1X: 111 CD1IND: 111</t>
  </si>
  <si>
    <t>RESULT: 111 CD2X: 111 CD2IND: 111</t>
  </si>
  <si>
    <t>RESULT: 111 CD3X: 111 CD3IND: 111</t>
  </si>
  <si>
    <t>RESULT: 111 CD4X: 111 CD4IND: 111</t>
  </si>
  <si>
    <t>RESULT: 111 CD5X: 111 CD5IND: 111</t>
  </si>
  <si>
    <t>RESULT: 111 CD6X: 111 CD6IND: 111</t>
  </si>
  <si>
    <t>RESULT: 111 CD7X: 111 CD7IND: 111</t>
  </si>
  <si>
    <t>RESULT: 111 CD8X: 111 CD8IND: 111</t>
  </si>
  <si>
    <t>RESULT: 111 CD9X: 111 CD9IND: 111</t>
  </si>
  <si>
    <t>RESULT: 111 CD10X: 111 CD10IND: 111</t>
  </si>
  <si>
    <t>C Share</t>
  </si>
  <si>
    <t>I Share</t>
  </si>
  <si>
    <t>Share of Total Consumption</t>
  </si>
  <si>
    <t>Share of Post-Tax &amp; Transfer Income</t>
  </si>
  <si>
    <t>BEFORE</t>
  </si>
  <si>
    <t>Shock tms("pdr","USA","China") = 10;</t>
  </si>
  <si>
    <t>Shock tms("wht","USA","China") = 25;</t>
  </si>
  <si>
    <t>Shock tms("gro","USA","China") = 10;</t>
  </si>
  <si>
    <t>Shock tms("v_f","USA","China") = 20;</t>
  </si>
  <si>
    <t>Shock tms("osd","USA","China") = 10;</t>
  </si>
  <si>
    <t>Shock tms("c_b","USA","China") = 10;</t>
  </si>
  <si>
    <t>Shock tms("pfb","USA","China") = 10;</t>
  </si>
  <si>
    <t>Shock tms("ocr","USA","China") = 10;</t>
  </si>
  <si>
    <t>Shock tms("ctl","USA","China") = 10;</t>
  </si>
  <si>
    <t>Shock tms("oap","USA","China") = 10;</t>
  </si>
  <si>
    <t>Shock tms("rmk","USA","China") = 20;</t>
  </si>
  <si>
    <t>Shock tms("wol","USA","China") = 25;</t>
  </si>
  <si>
    <t>Shock tms("frs","USA","China") = 10;</t>
  </si>
  <si>
    <t>Shock tms("fsh","USA","China") = 20;</t>
  </si>
  <si>
    <t>Shock tms("coa","USA","China") = 25;</t>
  </si>
  <si>
    <t>Shock tms("oil","USA","China") = 20;</t>
  </si>
  <si>
    <t>Shock tms("gas","USA","China") = 25;</t>
  </si>
  <si>
    <t>Shock tms("oxt","USA","China") = 10;</t>
  </si>
  <si>
    <t>Shock tms("cmt","USA","China") = 20;</t>
  </si>
  <si>
    <t>Shock tms("omt","USA","China") = 25;</t>
  </si>
  <si>
    <t>Shock tms("vol","USA","China") = 10;</t>
  </si>
  <si>
    <t>Shock tms("mil","USA","China") = 20;</t>
  </si>
  <si>
    <t>Shock tms("pcr","USA","China") = 10;</t>
  </si>
  <si>
    <t>Shock tms("sgr","USA","China") = 10;</t>
  </si>
  <si>
    <t>Shock tms("ofd","USA","China") = 10;</t>
  </si>
  <si>
    <t>Shock tms("b_t","USA","China") = 10;</t>
  </si>
  <si>
    <t>Shock tms("tex","USA","China") = 10;</t>
  </si>
  <si>
    <t>Shock tms("wap","USA","China") = 10;</t>
  </si>
  <si>
    <t>Shock tms("lea","USA","China") = 10;</t>
  </si>
  <si>
    <t>Shock tms("lum","USA","China") = 10;</t>
  </si>
  <si>
    <t>Shock tms("ppp","USA","China") = 10;</t>
  </si>
  <si>
    <t>Shock tms("p_c","USA","China") = 10;</t>
  </si>
  <si>
    <t>Shock tms("chm","USA","China") = 10;</t>
  </si>
  <si>
    <t>Shock tms("bph","USA","China") = 10;</t>
  </si>
  <si>
    <t>Shock tms("rpp","USA","China") = 10;</t>
  </si>
  <si>
    <t>Shock tms("nmm","USA","China") = 10;</t>
  </si>
  <si>
    <t>Shock tms("i_s","USA","China") = 10;</t>
  </si>
  <si>
    <t>Shock tms("nfm","USA","China") = 10;</t>
  </si>
  <si>
    <t>Shock tms("fmp","USA","China") = 10;</t>
  </si>
  <si>
    <t>Shock tms("ele","USA","China") = 10;</t>
  </si>
  <si>
    <t>Shock tms("eeq","USA","China") = 10;</t>
  </si>
  <si>
    <t>Shock tms("ome","USA","China") = 20;</t>
  </si>
  <si>
    <t>Shock tms("mvh","USA","China") = 20;</t>
  </si>
  <si>
    <t>Shock tms("otn","USA","China") = 10;</t>
  </si>
  <si>
    <t>Shock tms("omf","USA","China") = 10;</t>
  </si>
  <si>
    <t>Shock tms("ely","USA","China") = 10;</t>
  </si>
  <si>
    <t>Shock tms("gdt","USA","China") = 10;</t>
  </si>
  <si>
    <t>Shock tms("wtr","USA","China") = 10;</t>
  </si>
  <si>
    <t>Shock tms("cns","USA","China") = 10;</t>
  </si>
  <si>
    <t>Presub</t>
  </si>
  <si>
    <t>Postsub</t>
  </si>
  <si>
    <t>Overall Share of US Imports</t>
  </si>
  <si>
    <t>START</t>
  </si>
  <si>
    <t>pfactor</t>
  </si>
  <si>
    <t>EVFA</t>
  </si>
  <si>
    <t>1 Land</t>
  </si>
  <si>
    <t>2 tech_aspros</t>
  </si>
  <si>
    <t>3 clerks</t>
  </si>
  <si>
    <t>4 service_shop</t>
  </si>
  <si>
    <t>5 off_mgr_pros</t>
  </si>
  <si>
    <t>6 ag_othlowsk</t>
  </si>
  <si>
    <t>7 Capital</t>
  </si>
  <si>
    <t>8 NatRes</t>
  </si>
  <si>
    <t>pfactwld</t>
  </si>
  <si>
    <t>2024</t>
  </si>
  <si>
    <t>Share</t>
  </si>
  <si>
    <t>World</t>
  </si>
  <si>
    <t>softwood share of lum</t>
  </si>
  <si>
    <t>numerator</t>
  </si>
  <si>
    <t>I0014406@USTRADE+I0014407@USTRADE</t>
  </si>
  <si>
    <t>I0014406: US Imports from World: Railway or Tramway Sleepers [Cross-Ties] of Wood(Thous.$) I0014407: US Imp from World: Wood Sawn or Chipped Length, Sliced Etc, &gt;6mm Thick(Thous. $)</t>
  </si>
  <si>
    <t>I9244406@USTRADE+I9244407@USTRADE</t>
  </si>
  <si>
    <t>I9244406: US Imports from China: Railway or Tramway Sleepers [Cross-Ties] of Wood(Thous.$) I9244407: US Imp from China: Wood Sawn or Chipped Length, Sliced Etc, &gt;6mm Thick(Thous. $)</t>
  </si>
  <si>
    <t>softwood share of frs</t>
  </si>
  <si>
    <t>I1564406@USTRADE+I1564407@USTRADE</t>
  </si>
  <si>
    <t>I1564406: US Imp from Canada: Railway or Tramway Sleepers [Cross-Ties] of Wood (Thous. $) I1564407: US Imp from Canada: Wood Sawn or Chipped Length, Sliced Etc, &gt;6mm Thick(Thous.$)</t>
  </si>
  <si>
    <t>CV share of ofm</t>
  </si>
  <si>
    <t>I2734406@USTRADE+I2734407@USTRADE</t>
  </si>
  <si>
    <t>I2734406: US Imp from Mexico: Railway or Tramway Sleepers [Cross-Ties] of Wood (Thous. $) I2734407: US Imp from Mexico: Wood Sawn or Chipped Length, Sliced Etc, &gt;6mm Thick(Thous.$)</t>
  </si>
  <si>
    <t>upholstery share of ofm</t>
  </si>
  <si>
    <t>I1584406@USTRADE+I1584407@USTRADE</t>
  </si>
  <si>
    <t>I1584406: US Imports from Japan: Railway or Tramway Sleepers [Cross-Ties] of Wood(Thous.$) I1584407: US Imp from Japan: Wood Sawn or Chipped Length, Sliced Etc, &gt;6mm Thick(Thous. $)</t>
  </si>
  <si>
    <t>I9974406@USTRADE+I9974407@USTRADE</t>
  </si>
  <si>
    <t>I9974406: US Imp from EU: Railway or Tramway Sleepers [Cross-Ties] of Wood (Thous. $) I9974407: US Imp from EU: Wood Sawn or Chipped Length, Sliced Etc, &gt;6mm Thick (Thous. $)</t>
  </si>
  <si>
    <t>I1124406@USTRADE+I1124407@USTRADE</t>
  </si>
  <si>
    <t>I1124406: US Imp from UK: Railway or Tramway Sleepers [Cross-Ties] of Wood (Thous. $) I1124407: US Imp from UK: Wood Sawn or Chipped Length, Sliced Etc, &gt;6mm Thick (Thous. $)</t>
  </si>
  <si>
    <t>denominator</t>
  </si>
  <si>
    <t>I00144@USTRADE-(I0014401@USTRADE+I0014402@USTRADE+I0014403@USTRADE+I0014404@USTRADE)</t>
  </si>
  <si>
    <t>I00144: US Imports from the World: Wood and Articles of Wood; Wood Charcoal (Thous.$) I0014401: US Imports from World: Fuel Wood in Logs Etc; Wood in Chips, Etc (Thous. $) I0014402: US Imports from World: Wood Charcoal, Whether or Not Aggl.</t>
  </si>
  <si>
    <t>I92444@USTRADE-(I9244401@USTRADE+I9244402@USTRADE+I9244403@USTRADE+I9244404@USTRADE)</t>
  </si>
  <si>
    <t>I92444: US Imports from China: Wood and Articles of Wood; Wood Charcoal (Thous.$) I9244401: US Imports from China: Fuel Wood in Logs Etc; Wood in Chips, Etc (Thous. $) I9244402: US Imports from China: Wood Charcoal, Whether or Not Agglomer.</t>
  </si>
  <si>
    <t>I15644@USTRADE-(I1564401@USTRADE+I1564402@USTRADE+I1564403@USTRADE+I1564404@USTRADE)</t>
  </si>
  <si>
    <t>I15644: US Imports from Canada: Wood and Articles of Wood; Wood Charcoal (Thous.$) I1564401: US Imports from Canada: Fuel Wood in Logs Etc; Wood in Chips, Etc (Thous. $) I1564402: US Imports from Canada: Wood Charcoal, Whether or Not Agglo.</t>
  </si>
  <si>
    <t>I27344@USTRADE-(I2734401@USTRADE+I2734402@USTRADE+I2734403@USTRADE+I2734404@USTRADE)</t>
  </si>
  <si>
    <t>I27344: US Imports from Mexico: Wood and Articles of Wood; Wood Charcoal (Thous.$) I2734401: US Imports from Mexico: Fuel Wood in Logs Etc; Wood in Chips, Etc (Thous. $) I2734402: US Imports from Mexico: Wood Charcoal, Whether or Not Agglo.</t>
  </si>
  <si>
    <t>I15844@USTRADE-(I1584401@USTRADE+I1584402@USTRADE+I1584403@USTRADE+I1584404@USTRADE)</t>
  </si>
  <si>
    <t>I15844: US Imports from Japan: Wood and Articles of Wood; Wood Charcoal (Thous.$) I1584401: US Imports from Japan: Fuel Wood in Logs Etc; Wood in Chips, Etc (Thous. $) I1584402: US Imports from Japan: Wood Charcoal, Whether or Not Agglomer.</t>
  </si>
  <si>
    <t>I99744@USTRADE-(I9974401@USTRADE+I9974402@USTRADE+I9974403@USTRADE+I9974404@USTRADE)</t>
  </si>
  <si>
    <t>I99744: US Imports from European Union: Wood &amp; Articles of Wood; Wood Charcoal (Thous.$) I9974401: US Imp from European Union: Fuel Wood in Logs Etc; Wood in Chips, Etc (Thous. $) I9974402: US Imp from European Union: Wood Charcoal, Whethe.</t>
  </si>
  <si>
    <t>I11244@USTRADE-(I1124401@USTRADE+I1124402@USTRADE+I1124403@USTRADE+I1124404@USTRADE)</t>
  </si>
  <si>
    <t>I11244: US Imports from United Kingdom: Wood &amp; Articles of Wood; Wood Charcoal (Thous.$) I1124401: US Imp from United Kingdom: Fuel Wood in Logs Etc; Wood in Chips, Etc (Thous. $) I1124402: US Imp from United Kingdom: Wood Charcoal, Whethe.</t>
  </si>
  <si>
    <t>I0014403@USTRADE</t>
  </si>
  <si>
    <t>US Imp from World: Wood in the Rough, Stripped or Not of Sapwood Etc (Thous. $)</t>
  </si>
  <si>
    <t>I9244403@USTRADE</t>
  </si>
  <si>
    <t>US Imp from China: Wood in the Rough, Stripped or Not of Sapwood Etc (Thous. $)</t>
  </si>
  <si>
    <t>I1564403@USTRADE</t>
  </si>
  <si>
    <t>US Imp from Canada: Wood in the Rough, Stripped or Not of Sapwood Etc (Thous. $)</t>
  </si>
  <si>
    <t>I2734403@USTRADE</t>
  </si>
  <si>
    <t>US Imp from Mexico: Wood in the Rough, Stripped or Not of Sapwood Etc (Thous. $)</t>
  </si>
  <si>
    <t>I1584403@USTRADE</t>
  </si>
  <si>
    <t>US Imp from Japan: Wood in the Rough, Stripped or Not of Sapwood Etc (Thous. $)</t>
  </si>
  <si>
    <t>I9974403@USTRADE</t>
  </si>
  <si>
    <t>US Imp from EU: Wood in the Rough, Stripped or Not of Sapwood Etc (Thous. $)</t>
  </si>
  <si>
    <t>I1124403@USTRADE</t>
  </si>
  <si>
    <t>US Imp from UK: Wood in the Rough, Stripped or Not of Sapwood Etc (Thous. $)</t>
  </si>
  <si>
    <t>I0014401@USTRADE+I0014403@USTRADE+I0014404@USTRADE</t>
  </si>
  <si>
    <t>I0014401: US Imports from World: Fuel Wood in Logs Etc; Wood in Chips, Etc (Thous. $) I0014403: US Imp from World: Wood in the Rough, Stripped or Not of Sapwood Etc (Thous. $) I0014404: US Imports from World: Hoopwood; Split Poles; Pickets.</t>
  </si>
  <si>
    <t>I9244401@USTRADE+I9244403@USTRADE+I9244404@USTRADE</t>
  </si>
  <si>
    <t>I9244401: US Imports from China: Fuel Wood in Logs Etc; Wood in Chips, Etc (Thous. $) I9244403: US Imp from China: Wood in the Rough, Stripped or Not of Sapwood Etc (Thous. $) I9244404: US Imports from China: Hoopwood; Split Poles; Pickets.</t>
  </si>
  <si>
    <t>I1564401@USTRADE+I1564403@USTRADE+I1564404@USTRADE</t>
  </si>
  <si>
    <t>I1564401: US Imports from Canada: Fuel Wood in Logs Etc; Wood in Chips, Etc (Thous. $) I1564403: US Imp from Canada: Wood in the Rough, Stripped or Not of Sapwood Etc (Thous. $) I1564404: US Imports from Canada: Hoopwood; Split Poles; Pick.</t>
  </si>
  <si>
    <t>I2734401@USTRADE+I2734403@USTRADE+I2734404@USTRADE</t>
  </si>
  <si>
    <t>I2734401: US Imports from Mexico: Fuel Wood in Logs Etc; Wood in Chips, Etc (Thous. $) I2734403: US Imp from Mexico: Wood in the Rough, Stripped or Not of Sapwood Etc (Thous. $) I2734404: US Imports from Mexico: Hoopwood; Split Poles; Pick.</t>
  </si>
  <si>
    <t>I1584401@USTRADE+I1584403@USTRADE+I1584404@USTRADE</t>
  </si>
  <si>
    <t>I1584401: US Imports from Japan: Fuel Wood in Logs Etc; Wood in Chips, Etc (Thous. $) I1584403: US Imp from Japan: Wood in the Rough, Stripped or Not of Sapwood Etc (Thous. $) I1584404: US Imports from Japan: Hoopwood; Split Poles; Pickets.</t>
  </si>
  <si>
    <t>I9974401@USTRADE+I9974403@USTRADE+I9974404@USTRADE</t>
  </si>
  <si>
    <t>I9974401: US Imp from European Union: Fuel Wood in Logs Etc; Wood in Chips, Etc (Thous. $) I9974403: US Imp from EU: Wood in the Rough, Stripped or Not of Sapwood Etc (Thous. $) I9974404: US Imp from EU: Hoopwood; Split Poles; Pickets and .</t>
  </si>
  <si>
    <t>I1124401@USTRADE+I1124403@USTRADE+I1124404@USTRADE</t>
  </si>
  <si>
    <t>I1124401: US Imp from United Kingdom: Fuel Wood in Logs Etc; Wood in Chips, Etc (Thous. $) I1124403: US Imp from UK: Wood in the Rough, Stripped or Not of Sapwood Etc (Thous. $) I1124404: US Imp from UK: Hoopwood; Split Poles; Pickets and .</t>
  </si>
  <si>
    <t>M001G711@USTRADE</t>
  </si>
  <si>
    <t>US Customs Import Value from World: Wood Kitchen Cabinets/Countertops (Thous.$)</t>
  </si>
  <si>
    <t>M924G711@USTRADE</t>
  </si>
  <si>
    <t>US Customs Import Value from China: Wood Kitchen Cabinets/Countertops (Thous.$)</t>
  </si>
  <si>
    <t>M156G711@USTRADE</t>
  </si>
  <si>
    <t>US Customs Import Value from Canada: Wood Kitchen Cabinets/Countertops (Thous.$)</t>
  </si>
  <si>
    <t>M273G711@USTRADE</t>
  </si>
  <si>
    <t>US Customs Import Value from Mexico: Wood Kitchen Cabinets/Countertops (Thous.$)</t>
  </si>
  <si>
    <t>M158G711@USTRADE</t>
  </si>
  <si>
    <t>US Customs Import Value from Japan: Wood Kitchen Cabinets/Countertops (Thous.$)</t>
  </si>
  <si>
    <t>M997G711@USTRADE</t>
  </si>
  <si>
    <t>US Cust Imp Val from European Union: Wood Kitchen Cabinets/Countertops (Thous.$)</t>
  </si>
  <si>
    <t>M112G711@USTRADE</t>
  </si>
  <si>
    <t>US Cust Imp Val from United Kingdom: Wood Kitchen Cabinets/Countertops (Thous.$)</t>
  </si>
  <si>
    <t>NM001G7@USTRADE+NM001G9@USTRADE</t>
  </si>
  <si>
    <t>NM001G7: US Gen Imp Cust Val fr World: NAICS 337 Furniture &amp; Fixtures(NSA, Thous.$) NM001G9: US Gen Import Cust Val fr World: NAICS 339 Misc Mfg'd Commodities(NSA, Thous.$)</t>
  </si>
  <si>
    <t>NM924G7@USTRADE+NM924G9@USTRADE</t>
  </si>
  <si>
    <t>NM924G7: US Gen Imports Cust Value fr China: NAICS 337 Furniture &amp; Fixtures(NSA, Thous.$) NM924G9: US Gen Imp Cust Val fr China: NAICS 339 Misc Mfg Commodities(NSA, Thous.$)</t>
  </si>
  <si>
    <t>NM156G7@USTRADE+NM156G9@USTRADE</t>
  </si>
  <si>
    <t>NM156G7: US Gen Imports Cust Val fr Canada: NAICS 337 Furniture &amp; Fixtures(NSA, Thous.$) NM156G9: US Gen Imp Cust Val fr Canada: NAICS 339 Misc Mfg Commodities(NSA, Thous.$)</t>
  </si>
  <si>
    <t>NM273G7@USTRADE+NM273G9@USTRADE</t>
  </si>
  <si>
    <t>NM273G7: US Gen Imports Cust Val fr Mexico: NAICS 337 Furniture &amp; Fixtures(NSA, Thous.$) NM273G9: US Gen Imp Cust Val fr Mexico: NAICS 339 Misc Mfg Commodities(NSA, Thous.$)</t>
  </si>
  <si>
    <t>NM158G7@USTRADE+NM158G9@USTRADE</t>
  </si>
  <si>
    <t>NM158G7: US Gen Imports Cust Value fr Japan: NAICS 337 Furniture &amp; Fixtures(NSA, Thous.$) NM158G9: US Gen Imp Cust Val fr Japan: NAICS 339 Misc Mfg Commodities(NSA, Thous.$)</t>
  </si>
  <si>
    <t>NM997G7@USTRADE+NM997G9@USTRADE</t>
  </si>
  <si>
    <t>NM997G7: US Imports from EU: NAICS 337 Furniture &amp; Fixtures(NSA, Thous.$) NM997G9: US Imports from EU: NAICS 339 Misc Manufactured Commodities(NSA, Thous.$)</t>
  </si>
  <si>
    <t>NM112G7@USTRADE+NM112G9@USTRADE</t>
  </si>
  <si>
    <t>NM112G7: US Gen Imp Cust Val fr UK: NAICS 337 Furniture/Fixtures(NSA, Thous.$) NM112G9: US Gen Imp Cust Val fr UK: NAICS 339 Misc Manufactured Commodities(NSA, Thous.$)</t>
  </si>
  <si>
    <t>M001G71A@USTRADE</t>
  </si>
  <si>
    <t>US Customs Import Value from World: Upholstered Household Furniture (Thous.$)</t>
  </si>
  <si>
    <t>M924G71A@USTRADE</t>
  </si>
  <si>
    <t>US Customs Import Value from China: Upholstered Household Furniture (Thous.$)</t>
  </si>
  <si>
    <t>M156G71A@USTRADE</t>
  </si>
  <si>
    <t>US Customs Import Value from Canada: Upholstered Household Furniture (Thous.$)</t>
  </si>
  <si>
    <t>M273G71A@USTRADE</t>
  </si>
  <si>
    <t>US Customs Import Value from Mexico: Upholstered Household Furniture (Thous.$)</t>
  </si>
  <si>
    <t>M158G71A@USTRADE</t>
  </si>
  <si>
    <t>US Customs Import Value from Japan: Upholstered Household Furniture (Thous.$)</t>
  </si>
  <si>
    <t>M997G71A@USTRADE</t>
  </si>
  <si>
    <t>US Cust Imp Val from European Union: Upholstered Household Furniture (Thous.$)</t>
  </si>
  <si>
    <t>M112G71A@USTRADE</t>
  </si>
  <si>
    <t>US Cust Imp Val from United Kingdom: Upholstered Household Furniture (Thous.$)</t>
  </si>
  <si>
    <t>softwood share of lum, robustness</t>
  </si>
  <si>
    <t>NM001F11@USTRADE</t>
  </si>
  <si>
    <t>US Imports: NAICS 3211 Sawmill &amp; Wood Products (NSA, Thous.$)</t>
  </si>
  <si>
    <t>NM924F11@USTRADE</t>
  </si>
  <si>
    <t>US Imports from China: NAICS 3211 Sawmill &amp; Wood Products (NSA, Thous.$)</t>
  </si>
  <si>
    <t>NM156F11@USTRADE</t>
  </si>
  <si>
    <t>US Imports from Canada: NAICS 3211 Sawmill &amp; Wood Products (NSA, Thous.$)</t>
  </si>
  <si>
    <t>NM273F11@USTRADE</t>
  </si>
  <si>
    <t>US Imports from Mexico: NAICS 3211 Sawmill &amp; Wood Products (NSA, Thous.$)</t>
  </si>
  <si>
    <t>NM158F11@USTRADE</t>
  </si>
  <si>
    <t>US Imports from Japan: NAICS 3211 Sawmill &amp; Wood Products (NSA, Thous.$)</t>
  </si>
  <si>
    <t>NM997F11@USTRADE</t>
  </si>
  <si>
    <t>US Imports from European Union: NAICS 3211 Sawmill &amp; Wood Products(NSA, Thous.$)</t>
  </si>
  <si>
    <t>NM112F11@USTRADE</t>
  </si>
  <si>
    <t>US Imports from United Kingdom: NAICS 3211 Sawmill &amp; Wood Products(NSA, Thous.$)</t>
  </si>
  <si>
    <t>NM001F1@USTRADE</t>
  </si>
  <si>
    <t>US Gen Imp Cust Val fr World: NAICS 321 Wood Products(NSA, Thous.$)</t>
  </si>
  <si>
    <t>NM924F1@USTRADE</t>
  </si>
  <si>
    <t>US Gen Imports Customs Value from China: NAICS 321 Wood Products(NSA, Thous.$)</t>
  </si>
  <si>
    <t>NM156F1@USTRADE</t>
  </si>
  <si>
    <t>US Gen Imports Customs Value from Canada: NAICS 321 Wood Products(NSA, Thous.$)</t>
  </si>
  <si>
    <t>NM273F1@USTRADE</t>
  </si>
  <si>
    <t>US Gen Imports Customs Value from Mexico: NAICS 321 Wood Products(NSA, Thous.$)</t>
  </si>
  <si>
    <t>NM158F1@USTRADE</t>
  </si>
  <si>
    <t>US Gen Imports Customs Value from Japan: NAICS 321 Wood Products(NSA, Thous.$)</t>
  </si>
  <si>
    <t>NM997F1@USTRADE</t>
  </si>
  <si>
    <t>US Imports from EU: NAICS 321 Wood Products(NSA, Thous.$)</t>
  </si>
  <si>
    <t>NM112F1@USTRADE</t>
  </si>
  <si>
    <t>US Gen Imports Cust Val fr United Kingdom: NAICS 321 Wood Products(NSA, Thous.$)</t>
  </si>
  <si>
    <t>softwood share of frs, robustness</t>
  </si>
  <si>
    <t>NM001A33@USTRADE</t>
  </si>
  <si>
    <t>US Imports: NAICS 1133 Timber &amp; Logs (NSA, Thous.$)</t>
  </si>
  <si>
    <t>NM924A33@USTRADE</t>
  </si>
  <si>
    <t>US Imports from China: NAICS 1133 Timber &amp; Logs (NSA, Thous.$)</t>
  </si>
  <si>
    <t>NM156A33@USTRADE</t>
  </si>
  <si>
    <t>US Imports from Canada: NAICS 1133 Timber &amp; Logs (NSA, Thous.$)</t>
  </si>
  <si>
    <t>NM273A33@USTRADE</t>
  </si>
  <si>
    <t>US Imports from Mexico: NAICS 1133 Timber &amp; Logs (NSA, Thous.$)</t>
  </si>
  <si>
    <t>NM158A33@USTRADE</t>
  </si>
  <si>
    <t>US Imports from Japan: NAICS 1133 Timber &amp; Logs (NSA, Thous.$)</t>
  </si>
  <si>
    <t>NM997A33@USTRADE</t>
  </si>
  <si>
    <t>US Imports from European Union: NAICS 1133 Timber &amp; Logs (NSA, Thous.$)</t>
  </si>
  <si>
    <t>NM112A33@USTRADE</t>
  </si>
  <si>
    <t>US Imports from United Kingdom: NAICS 1133 Timber &amp; Logs (NSA, Thous.$)</t>
  </si>
  <si>
    <t>NM001A3@USTRADE</t>
  </si>
  <si>
    <t>US Gen Imp Cust Val fr World: NAICS 113 Forestry Prod NESOI(NSA, Thous.$)</t>
  </si>
  <si>
    <t>NM924A3@USTRADE</t>
  </si>
  <si>
    <t>US Gen Imp Cust Val fr China: NAICS 113 Forestry Products NESOI(NSA, Thous.$)</t>
  </si>
  <si>
    <t>NM156A3@USTRADE</t>
  </si>
  <si>
    <t>US Gen Imp Cust Val fr Canada: NAICS 113 Forestry Products NESOI(NSA, Thous.$)</t>
  </si>
  <si>
    <t>NM273A3@USTRADE</t>
  </si>
  <si>
    <t>US Gen Imp Cust Val fr Mexico: NAICS 113 Forestry Products NESOI(NSA, Thous.$)</t>
  </si>
  <si>
    <t>NM158A3@USTRADE</t>
  </si>
  <si>
    <t>US Gen Imp Cust Val fr Japan: NAICS 113 Forestry Products NESOI(NSA, Thous.$)</t>
  </si>
  <si>
    <t>NM997A3@USTRADE</t>
  </si>
  <si>
    <t>US Imports from EU: NAICS 113 Forestry Prod NESOI(NSA, Thous.$)</t>
  </si>
  <si>
    <t>NM112A3@USTRADE</t>
  </si>
  <si>
    <t>US Gen Imp Cust Val fr UK: NAICS 113 Forestry Prod NESOI(NSA, Thous.$)</t>
  </si>
  <si>
    <t>Medicine Share of bph</t>
  </si>
  <si>
    <t>Cabinet share of omf</t>
  </si>
  <si>
    <t>Upholstered furniture share of omf</t>
  </si>
  <si>
    <t>(M001F54A@USTRADE-M924F54A@USTRADE-M156F54A@USTRADE-M273F54A@USTRADE-M158F54A@USTRADE-M997F54A@USTRADE-M112F54A@USTRADE) % (NM001F54@USTRADE-NM924F54@USTRADE-NM156F54@USTRADE-NM273F54@USTRADE-NM158F54@USTRADE-NM997F54@USTRADE-NM112F54@USTRADE)</t>
  </si>
  <si>
    <t>(NM001G71@USTRADE-NM924G71@USTRADE-NM156G71@USTRADE-NM273G71@USTRADE-NM158G71@USTRADE-NM997G71@USTRADE-NM112G71@USTRADE) % ((NM001G7@USTRADE-NM924G7@USTRADE-NM156G7@USTRADE-NM273G7@USTRADE-NM158G7@USTRADE-NM997G7@USTRADE-NM112G7@USTRADE)+(NM001G9@USTRADE-NM924G9@USTRADE-NM156G9@USTRADE-NM273G9@USTRADE-NM158G9@USTRADE-NM997G9@USTRADE-NM112G9@USTRADE))</t>
  </si>
  <si>
    <t>(M001G71A@USTRADE-M924G71A@USTRADE-M156G71A@USTRADE-M273G71A@USTRADE-M158G71A@USTRADE-M997G71A@USTRADE-M112G71A@USTRADE) % ((NM001G7@USTRADE-NM924G7@USTRADE-NM156G7@USTRADE-NM273G7@USTRADE-NM158G7@USTRADE-NM997G7@USTRADE-NM112G7@USTRADE)+(NM001G9@USTRADE-NM924G9@USTRADE-NM156G9@USTRADE-NM273G9@USTRADE-NM158G9@USTRADE-NM997G9@USTRADE-NM112G9@USTRADE))</t>
  </si>
  <si>
    <t>(M001G612@USTRADE-M924G612@USTRADE-M156G612@USTRADE-M273G612@USTRADE-M158G612@USTRADE-M997G612@USTRADE-M112G612@USTRADE) % (NM001G6@USTRADE-NM924G6@USTRADE-NM156G6@USTRADE-NM273G6@USTRADE-NM158G6@USTRADE-NM997G6@USTRADE-NM112G6@USTRADE)</t>
  </si>
  <si>
    <t>M924F54A: US Cust Import Value from China: Medicinal/Botanical Drugs/Vitamins (Thous.$) NM924F54: US Imports from China: NAICS 3254 Pharmaceuticals &amp; Medicines (NSA, Thous.$)</t>
  </si>
  <si>
    <t>M001F54A: US Cust Import Value from World: Medicinal/Botanical Drugs/Vitamins (Thous.$) M924F54A: US Cust Import Value from China: Medicinal/Botanical Drugs/Vitamins (Thous.$) M156F54A: US Cust Import Value from Canada: Medicinal/Botanical Drugs/Vitamins (Thous.$) M273F54A: US Cust Import Value from Mexico: Medicinal/Botanical Drugs/Vitamins (Thous.$) M158F54A: US Cust Import Value from Japan: Medicinal/Botanical Drugs/Vitamins (Thous.$) M997F54A: US Cust Imp Val from European Union: Medicinal/Botanical Drugs/Vitamins(Thous.$) M112F54A: US Cust Imp Val from United Kingdom: Medicinal/Botanical Drugs/Vitamins(Thous.$) NM001F54: US Imports: NAICS 3254 Pharmaceuticals &amp; Medicines (NSA, Thous.$) NM924F54: US Imports from China: NAICS 3254 Pharmaceuticals &amp; Medicines (NSA, Thous.$) NM156F54: US Imports from Canada: NAICS 3254 Pharmaceuticals &amp; Medicines (NSA, Thous.$) NM273F54: US Imports from Mexico: NAICS 3254 Pharmaceuticals &amp; Medicines (NSA, Thous.$) NM158F54: US Imports from Japan: NAICS 3254 Pharmaceuticals &amp; Medicines (NSA, Thous.$) NM997F54: US Imports from European Union: NAICS 3254 Pharmaceuticals &amp; Medicines(Thous.$) NM112F54: US Imports from United Kingdom: NAICS 3254 Pharmaceuticals &amp; Medicines(Thous.$)</t>
  </si>
  <si>
    <t>M156F54A: US Cust Import Value from Canada: Medicinal/Botanical Drugs/Vitamins (Thous.$) NM156F54: US Imports from Canada: NAICS 3254 Pharmaceuticals &amp; Medicines (NSA, Thous.$)</t>
  </si>
  <si>
    <t>M273F54A: US Cust Import Value from Mexico: Medicinal/Botanical Drugs/Vitamins (Thous.$) NM273F54: US Imports from Mexico: NAICS 3254 Pharmaceuticals &amp; Medicines (NSA, Thous.$)</t>
  </si>
  <si>
    <t>M158F54A: US Cust Import Value from Japan: Medicinal/Botanical Drugs/Vitamins (Thous.$) NM158F54: US Imports from Japan: NAICS 3254 Pharmaceuticals &amp; Medicines (NSA, Thous.$)</t>
  </si>
  <si>
    <t>M997F54A: US Cust Imp Val from European Union: Medicinal/Botanical Drugs/Vitamins(Thous.$) NM997F54: US Imports from European Union: NAICS 3254 Pharmaceuticals &amp; Medicines(Thous.$)</t>
  </si>
  <si>
    <t>M112F54A: US Cust Imp Val from United Kingdom: Medicinal/Botanical Drugs/Vitamins(Thous.$) NM112F54: US Imports from United Kingdom: NAICS 3254 Pharmaceuticals &amp; Medicines(Thous.$)</t>
  </si>
  <si>
    <t>NM924G71: US Imports from China: 3371 Household/Instit Furn/Kitchen Cabinets(Thous.$) NM924G7: US Gen Imports Cust Value fr China: NAICS 337 Furniture &amp; Fixtures(NSA, Thous.$) NM924G9: US Gen Imp Cust Val fr China: NAICS 339 Misc Mfg Commo.</t>
  </si>
  <si>
    <t>NM001G71: US Imports: NAICS 3371 Household/Instit Furn/Kitchen Cabinets(Thous.$) NM924G71: US Imports from China: 3371 Household/Instit Furn/Kitchen Cabinets(Thous.$) NM156G71: US Imports from Canada: 3371 Household/Instit Furn/Kitchen Cabinets(Thous.$) NM273G71: US Imports from Mexico: 3371 Household/Instit Furn/Kitchen Cabinets(Thous.$) NM158G71: US Imports from Japan: 3371 Household/Instit Furn/Kitchen Cabinets(Thous.$) NM997G71: US Imports from European Union: 3371 HH/Instit Furn/Kitchen Cabinets(Thous.$) NM112G71: US Imports from United Kingdom: 3371 HH/Instit Furn/Kitchen Cabinets(Thous.$) NM001G7: US Gen Imp Cust Val fr World: NAICS 337 Furniture &amp; Fixtures(NSA, Thous.$) NM924G7: US Gen Imports Cust Value fr China: NAICS 337 Furniture &amp; Fixtures(NSA, Thous.$) NM156G7: US Gen Imports Cust Val fr Canada: NAICS 337 Furniture &amp; Fixtures(NSA, Thous.$) NM273G7: US Gen Imports Cust Val fr Mexico: NAICS 337 Furniture &amp; Fixtures(NSA, Thous.$) NM158G7: US Gen Imports Cust Value fr Japan: NAICS 337 Furniture &amp; Fixtures(NSA, Thous.$) NM997G7: US Imports from EU: NAICS 337 Furniture &amp; Fixtures(NSA, Thous.$) NM112G7: US Gen Imp Cust Val fr UK: NAICS 337 Furniture/Fixtures(NSA, Thous.$) NM001G9: US Gen Import Cust Val fr World: NAICS 339 Misc Mfg'd Commodities(NSA, Thous.$) NM924G9: US Gen Imp Cust Val fr China: NAICS 339 Misc Mfg Commodities(NSA, Thous.$) NM156G9: US Gen Imp Cust Val fr Canada: NAICS 339 Misc Mfg Commodities(NSA, Thous.$) NM273G9: US Gen Imp Cust Val fr Mexico: NAICS 339 Misc Mfg Commodities(NSA, Thous.$) NM158G9: US Gen Imp Cust Val fr Japan: NAICS 339 Misc Mfg Commodities(NSA, Thous.$) NM997G9: US Imports from EU: NAICS 339 Misc Manufactured Commodities(NSA, Thous.$) NM112G9: US Gen Imp Cust Val fr UK: NAICS 339 Misc Manufactured Commodities(NSA, Thous.$)</t>
  </si>
  <si>
    <t>NM156G71: US Imports from Canada: 3371 Household/Instit Furn/Kitchen Cabinets(Thous.$) NM156G7: US Gen Imports Cust Val fr Canada: NAICS 337 Furniture &amp; Fixtures(NSA, Thous.$) NM156G9: US Gen Imp Cust Val fr Canada: NAICS 339 Misc Mfg Comm.</t>
  </si>
  <si>
    <t>NM273G71: US Imports from Mexico: 3371 Household/Instit Furn/Kitchen Cabinets(Thous.$) NM273G7: US Gen Imports Cust Val fr Mexico: NAICS 337 Furniture &amp; Fixtures(NSA, Thous.$) NM273G9: US Gen Imp Cust Val fr Mexico: NAICS 339 Misc Mfg Comm.</t>
  </si>
  <si>
    <t>NM158G71: US Imports from Japan: 3371 Household/Instit Furn/Kitchen Cabinets(Thous.$) NM158G7: US Gen Imports Cust Value fr Japan: NAICS 337 Furniture &amp; Fixtures(NSA, Thous.$) NM158G9: US Gen Imp Cust Val fr Japan: NAICS 339 Misc Mfg Commo.</t>
  </si>
  <si>
    <t>NM997G71: US Imports from European Union: 3371 HH/Instit Furn/Kitchen Cabinets(Thous.$) NM997G7: US Imports from EU: NAICS 337 Furniture &amp; Fixtures(NSA, Thous.$) NM997G9: US Imports from EU: NAICS 339 Misc Manufactured Commodities(NSA, Tho.</t>
  </si>
  <si>
    <t>NM112G71: US Imports from United Kingdom: 3371 HH/Instit Furn/Kitchen Cabinets(Thous.$) NM112G7: US Gen Imp Cust Val fr UK: NAICS 337 Furniture/Fixtures(NSA, Thous.$) NM112G9: US Gen Imp Cust Val fr UK: NAICS 339 Misc Manufactured Commodit.</t>
  </si>
  <si>
    <t>M924G71A: US Customs Import Value from China: Upholstered Household Furniture (Thous.$) NM924G7: US Gen Imports Cust Value fr China: NAICS 337 Furniture &amp; Fixtures(NSA, Thous.$) NM924G9: US Gen Imp Cust Val fr China: NAICS 339 Misc Mfg Com.</t>
  </si>
  <si>
    <t>M001G71A: US Customs Import Value from World: Upholstered Household Furniture (Thous.$) M924G71A: US Customs Import Value from China: Upholstered Household Furniture (Thous.$) M156G71A: US Customs Import Value from Canada: Upholstered Household Furniture (Thous.$) M273G71A: US Customs Import Value from Mexico: Upholstered Household Furniture (Thous.$) M158G71A: US Customs Import Value from Japan: Upholstered Household Furniture (Thous.$) M997G71A: US Cust Imp Val from European Union: Upholstered Household Furniture (Thous.$) M112G71A: US Cust Imp Val from United Kingdom: Upholstered Household Furniture (Thous.$) NM001G7: US Gen Imp Cust Val fr World: NAICS 337 Furniture &amp; Fixtures(NSA, Thous.$) NM924G7: US Gen Imports Cust Value fr China: NAICS 337 Furniture &amp; Fixtures(NSA, Thous.$) NM156G7: US Gen Imports Cust Val fr Canada: NAICS 337 Furniture &amp; Fixtures(NSA, Thous.$) NM273G7: US Gen Imports Cust Val fr Mexico: NAICS 337 Furniture &amp; Fixtures(NSA, Thous.$) NM158G7: US Gen Imports Cust Value fr Japan: NAICS 337 Furniture &amp; Fixtures(NSA, Thous.$) NM997G7: US Imports from EU: NAICS 337 Furniture &amp; Fixtures(NSA, Thous.$) NM112G7: US Gen Imp Cust Val fr UK: NAICS 337 Furniture/Fixtures(NSA, Thous.$) NM001G9: US Gen Import Cust Val fr World: NAICS 339 Misc Mfg'd Commodities(NSA, Thous.$) NM924G9: US Gen Imp Cust Val fr China: NAICS 339 Misc Mfg Commodities(NSA, Thous.$) NM156G9: US Gen Imp Cust Val fr Canada: NAICS 339 Misc Mfg Commodities(NSA, Thous.$) NM273G9: US Gen Imp Cust Val fr Mexico: NAICS 339 Misc Mfg Commodities(NSA, Thous.$) NM158G9: US Gen Imp Cust Val fr Japan: NAICS 339 Misc Mfg Commodities(NSA, Thous.$) NM997G9: US Imports from EU: NAICS 339 Misc Manufactured Commodities(NSA, Thous.$) NM112G9: US Gen Imp Cust Val fr UK: NAICS 339 Misc Manufactured Commodities(NSA, Thous.$)</t>
  </si>
  <si>
    <t>M156G71A: US Customs Import Value from Canada: Upholstered Household Furniture (Thous.$) NM156G7: US Gen Imports Cust Val fr Canada: NAICS 337 Furniture &amp; Fixtures(NSA, Thous.$) NM156G9: US Gen Imp Cust Val fr Canada: NAICS 339 Misc Mfg Co.</t>
  </si>
  <si>
    <t>M273G71A: US Customs Import Value from Mexico: Upholstered Household Furniture (Thous.$) NM273G7: US Gen Imports Cust Val fr Mexico: NAICS 337 Furniture &amp; Fixtures(NSA, Thous.$) NM273G9: US Gen Imp Cust Val fr Mexico: NAICS 339 Misc Mfg Co.</t>
  </si>
  <si>
    <t>M158G71A: US Customs Import Value from Japan: Upholstered Household Furniture (Thous.$) NM158G7: US Gen Imports Cust Value fr Japan: NAICS 337 Furniture &amp; Fixtures(NSA, Thous.$) NM158G9: US Gen Imp Cust Val fr Japan: NAICS 339 Misc Mfg Com.</t>
  </si>
  <si>
    <t>M997G71A: US Cust Imp Val from European Union: Upholstered Household Furniture (Thous.$) NM997G7: US Imports from EU: NAICS 337 Furniture &amp; Fixtures(NSA, Thous.$) NM997G9: US Imports from EU: NAICS 339 Misc Manufactured Commodities(NSA, Th.</t>
  </si>
  <si>
    <t>M112G71A: US Cust Imp Val from United Kingdom: Upholstered Household Furniture (Thous.$) NM112G7: US Gen Imp Cust Val fr UK: NAICS 337 Furniture/Fixtures(NSA, Thous.$) NM112G9: US Gen Imp Cust Val fr UK: NAICS 339 Misc Manufactured Commodi.</t>
  </si>
  <si>
    <t>M924G612: US Customs Import Value from China: Heavy Duty Trucks/Chassis (Thous.$) NM924G6: US Gen Imp Cust Val fr China: NAICS 336 Transportation Equipment(NSA, Thous.$)</t>
  </si>
  <si>
    <t>M001G612: US Customs Import Value from World: Heavy Duty Trucks/Chassis (Thous.$) M924G612: US Customs Import Value from China: Heavy Duty Trucks/Chassis (Thous.$) M156G612: US Customs Import Value from Canada: Heavy Duty Trucks/Chassis (T.</t>
  </si>
  <si>
    <t>M156G612: US Customs Import Value from Canada: Heavy Duty Trucks/Chassis (Thous.$) NM156G6: US Gen Imp Cust Val fr Canada: NAICS 336 Transportation Equipment(NSA, Thous.$)</t>
  </si>
  <si>
    <t>M273G612: US Customs Import Value from Mexico: Heavy Duty Trucks/Chassis (Thous.$) NM273G6: US Gen Imp Cust Val fr Mexico: NAICS 336 Transportation Equipment(NSA, Thous.$)</t>
  </si>
  <si>
    <t>M158G612: US Customs Import Value from Japan: Heavy Duty Trucks/Chassis (Thous.$) NM158G6: US Gen Imp Cust Val fr Japan: NAICS 336 Transportation Equipment(NSA, Thous.$)</t>
  </si>
  <si>
    <t>M997G612: US Customs Import Value from European Union: Heavy Duty Trucks/Chassis (Thous.$) NM997G6: US Imports from EU: NAICS 336 Transportation Equipment(NSA, Thous.$)</t>
  </si>
  <si>
    <t>M112G612: US Customs Import Value from United Kingdom: Heavy Duty Trucks/Chassis (Thous.$) NM112G6: US Gen Imp Cust Val fr UK: NAICS 336 Transportation Equip(NSA, Thous.$)</t>
  </si>
  <si>
    <t>RESULT: 2002 M924F54A: 2002 &lt;- Jan-2002 NM924F54: 2002 &lt;- Jan-2002</t>
  </si>
  <si>
    <t>RESULT: 2002 M001F54A: 2002 &lt;- Jan-2002 M924F54A: 2002 &lt;- Jan-2002 M156F54A: 2002 &lt;- Jan-2002 M273F54A: 2002 &lt;- Jan-2002 M158F54A: 2002 &lt;- Jan-2002 M997F54A: 2002 &lt;- Jan-2002 M112F54A: 2002 &lt;- Jan-2002 NM001F54: 2002 &lt;- Jan-2002 NM924F54: 2002 &lt;- Jan-2002 NM156F54: 2002 &lt;- Jan-2002 NM273F54: 2002 &lt;- Jan-2002 NM158F54: 2002 &lt;- Jan-2002 NM997F54: 2002 &lt;- Jan-2002 NM112F54: 2002 &lt;- Jan-2002</t>
  </si>
  <si>
    <t>RESULT: 2002 M156F54A: 2002 &lt;- Jan-2002 NM156F54: 2002 &lt;- Jan-2002</t>
  </si>
  <si>
    <t>RESULT: 2002 M273F54A: 2002 &lt;- Jan-2002 NM273F54: 2002 &lt;- Jan-2002</t>
  </si>
  <si>
    <t>RESULT: 2002 M158F54A: 2002 &lt;- Jan-2002 NM158F54: 2002 &lt;- Jan-2002</t>
  </si>
  <si>
    <t>RESULT: 2002 M997F54A: 2002 &lt;- Jan-2002 NM997F54: 2002 &lt;- Jan-2002</t>
  </si>
  <si>
    <t>RESULT: 2002 M112F54A: 2002 &lt;- Jan-2002 NM112F54: 2002 &lt;- Jan-2002</t>
  </si>
  <si>
    <t>RESULT: 2002 NM924G71: 2002 &lt;- Jan-2002 NM924G7: 2002 &lt;- Jan-2000 NM924G9: 2000 &lt;- Jan-2000</t>
  </si>
  <si>
    <t>RESULT: 2002 NM001G71: 2002 &lt;- Jan-2002 NM924G71: 2002 &lt;- Jan-2002 NM156G71: 2002 &lt;- Jan-2002 NM273G71: 2002 &lt;- Jan-2002 NM158G71: 2002 &lt;- Jan-2002 NM997G71: 2002 &lt;- Jan-2002 NM112G71: 2002 &lt;- Jan-2002 NM001G7: 2002 &lt;- Jan-2002 NM924G7: 2002 &lt;- Jan-2000 NM156G7: 2002 &lt;- Jan-2000 NM273G7: 2002 &lt;- Jan-2000 NM158G7: 2002 &lt;- Jan-2000 NM997G7: 2002 &lt;- Jan-2002 NM112G7: 2002 &lt;- Jan-2000 NM001G9: 2002 &lt;- Jan-2002 NM924G9: 2002 &lt;- Jan-2000 NM156G9: 2002 &lt;- Jan-2000 NM273G9: 2002 &lt;- Jan-2000 NM158G9: 2002 &lt;- Jan-2000 NM997G9: 2002 &lt;- Jan-2002 NM112G9: 2002 &lt;- Jan-2000</t>
  </si>
  <si>
    <t>RESULT: 2002 NM156G71: 2002 &lt;- Jan-2002 NM156G7: 2002 &lt;- Jan-2000 NM156G9: 2000 &lt;- Jan-2000</t>
  </si>
  <si>
    <t>RESULT: 2002 NM273G71: 2002 &lt;- Jan-2002 NM273G7: 2002 &lt;- Jan-2000 NM273G9: 2000 &lt;- Jan-2000</t>
  </si>
  <si>
    <t>RESULT: 2002 NM158G71: 2002 &lt;- Jan-2002 NM158G7: 2002 &lt;- Jan-2000 NM158G9: 2000 &lt;- Jan-2000</t>
  </si>
  <si>
    <t>RESULT: 2002 NM997G71: 2002 &lt;- Jan-2002 NM997G7: 2002 &lt;- Jan-2002 NM997G9: 2002 &lt;- Jan-2002</t>
  </si>
  <si>
    <t>RESULT: 2002 NM112G71: 2002 &lt;- Jan-2002 NM112G7: 2002 &lt;- Jan-2000 NM112G9: 2000 &lt;- Jan-2000</t>
  </si>
  <si>
    <t>RESULT: 2002 M924G71A: 2002 &lt;- Jan-2002 NM924G7: 2002 &lt;- Jan-2000 NM924G9: 2000 &lt;- Jan-2000</t>
  </si>
  <si>
    <t>RESULT: 2002 M001G71A: 2002 &lt;- Jan-2002 M924G71A: 2002 &lt;- Jan-2002 M156G71A: 2002 &lt;- Jan-2002 M273G71A: 2002 &lt;- Jan-2002 M158G71A: 2002 &lt;- Jan-2002 M997G71A: 2002 &lt;- Jan-2002 M112G71A: 2002 &lt;- Jan-2002 NM001G7: 2002 &lt;- Jan-2002 NM924G7: 2002 &lt;- Jan-2000 NM156G7: 2002 &lt;- Jan-2000 NM273G7: 2002 &lt;- Jan-2000 NM158G7: 2002 &lt;- Jan-2000 NM997G7: 2002 &lt;- Jan-2002 NM112G7: 2002 &lt;- Jan-2000 NM001G9: 2002 &lt;- Jan-2002 NM924G9: 2002 &lt;- Jan-2000 NM156G9: 2002 &lt;- Jan-2000 NM273G9: 2002 &lt;- Jan-2000 NM158G9: 2002 &lt;- Jan-2000 NM997G9: 2002 &lt;- Jan-2002 NM112G9: 2002 &lt;- Jan-2000</t>
  </si>
  <si>
    <t>RESULT: 2002 M156G71A: 2002 &lt;- Jan-2002 NM156G7: 2002 &lt;- Jan-2000 NM156G9: 2000 &lt;- Jan-2000</t>
  </si>
  <si>
    <t>RESULT: 2002 M273G71A: 2002 &lt;- Jan-2002 NM273G7: 2002 &lt;- Jan-2000 NM273G9: 2000 &lt;- Jan-2000</t>
  </si>
  <si>
    <t>RESULT: 2002 M158G71A: 2002 &lt;- Jan-2002 NM158G7: 2002 &lt;- Jan-2000 NM158G9: 2000 &lt;- Jan-2000</t>
  </si>
  <si>
    <t>RESULT: 2002 M997G71A: 2002 &lt;- Jan-2002 NM997G7: 2002 &lt;- Jan-2002 NM997G9: 2002 &lt;- Jan-2002</t>
  </si>
  <si>
    <t>RESULT: 2002 M112G71A: 2002 &lt;- Jan-2002 NM112G7: 2002 &lt;- Jan-2000 NM112G9: 2000 &lt;- Jan-2000</t>
  </si>
  <si>
    <t>RESULT: 2002 M924G612: 2002 &lt;- Jan-2002 NM924G6: 2002 &lt;- Jan-2000</t>
  </si>
  <si>
    <t>RESULT: 2002 M001G612: 2002 &lt;- Jan-2002 M924G612: 2002 &lt;- Jan-2002 M156G612: 2002 &lt;- Jan-2002 M273G612: 2002 &lt;- Jan-2002 M158G612: 2002 &lt;- Jan-2002 M997G612: 2002 &lt;- Jan-2002 M112G612: 2002 &lt;- Jan-2002 NM001G6: 2002 &lt;- Jan-2002 NM924G6: 20.</t>
  </si>
  <si>
    <t>RESULT: 2002 M156G612: 2002 &lt;- Jan-2002 NM156G6: 2002 &lt;- Jan-2000</t>
  </si>
  <si>
    <t>RESULT: 2002 M273G612: 2002 &lt;- Jan-2002 NM273G6: 2002 &lt;- Jan-2000</t>
  </si>
  <si>
    <t>RESULT: 2002 M158G612: 2002 &lt;- Jan-2002 NM158G6: 2002 &lt;- Jan-2000</t>
  </si>
  <si>
    <t>RESULT: 2002 M997G612: 2002 &lt;- Jan-2002 NM997G6: 2002 &lt;- Jan-2002</t>
  </si>
  <si>
    <t>RESULT: 2002 M112G612: 2002 &lt;- Jan-2002 NM112G6: 2002 &lt;- Jan-2000</t>
  </si>
  <si>
    <t>RESULT: 2024 M924F54A: 2024 &lt;- Jul-2025 NM924F54: 2024 &lt;- Jul-2025</t>
  </si>
  <si>
    <t>RESULT: 2024 M001F54A: 2024 &lt;- Jul-2025 M924F54A: 2024 &lt;- Jul-2025 M156F54A: 2024 &lt;- Jul-2025 M273F54A: 2024 &lt;- Jul-2025 M158F54A: 2024 &lt;- Jul-2025 M997F54A: 2024 &lt;- Jul-2025 M112F54A: 2024 &lt;- Jul-2025 NM001F54: 2024 &lt;- Jul-2025 NM924F54: 2024 &lt;- Jul-2025 NM156F54: 2024 &lt;- Jul-2025 NM273F54: 2024 &lt;- Jul-2025 NM158F54: 2024 &lt;- Jul-2025 NM997F54: 2024 &lt;- Jul-2025 NM112F54: 2024 &lt;- Jul-2025</t>
  </si>
  <si>
    <t>RESULT: 2024 M156F54A: 2024 &lt;- Jul-2025 NM156F54: 2024 &lt;- Jul-2025</t>
  </si>
  <si>
    <t>RESULT: 2024 M273F54A: 2024 &lt;- Jul-2025 NM273F54: 2024 &lt;- Jul-2025</t>
  </si>
  <si>
    <t>RESULT: 2024 M158F54A: 2024 &lt;- Jul-2025 NM158F54: 2024 &lt;- Jul-2025</t>
  </si>
  <si>
    <t>RESULT: 2024 M997F54A: 2024 &lt;- Jul-2025 NM997F54: 2024 &lt;- Jul-2025</t>
  </si>
  <si>
    <t>RESULT: 2024 M112F54A: 2024 &lt;- Jul-2025 NM112F54: 2024 &lt;- Jul-2025</t>
  </si>
  <si>
    <t>RESULT: 2024 NM924G71: 2024 &lt;- Jul-2025 NM924G7: 2024 &lt;- Jul-2025 NM924G9: 2024 &lt;- Jul-2025</t>
  </si>
  <si>
    <t>RESULT: 2024 NM001G71: 2024 &lt;- Jul-2025 NM924G71: 2024 &lt;- Jul-2025 NM156G71: 2024 &lt;- Jul-2025 NM273G71: 2024 &lt;- Jul-2025 NM158G71: 2024 &lt;- Jul-2025 NM997G71: 2024 &lt;- Jul-2025 NM112G71: 2024 &lt;- Jul-2025 NM001G7: 2024 &lt;- Jul-2025 NM924G7: 2024 &lt;- Jul-2025 NM156G7: 2024 &lt;- Jul-2025 NM273G7: 2024 &lt;- Jul-2025 NM158G7: 2024 &lt;- Jul-2025 NM997G7: 2024 &lt;- Jul-2025 NM112G7: 2024 &lt;- Jul-2025 NM001G9: 2024 &lt;- Jul-2025 NM924G9: 2024 &lt;- Jul-2025 NM156G9: 2024 &lt;- Jul-2025 NM273G9: 2024 &lt;- Jul-2025 NM158G9: 2024 &lt;- Jul-2025 NM997G9: 2024 &lt;- Jul-2025 NM112G9: 2024 &lt;- Jul-2025</t>
  </si>
  <si>
    <t>RESULT: 2024 NM156G71: 2024 &lt;- Jul-2025 NM156G7: 2024 &lt;- Jul-2025 NM156G9: 2024 &lt;- Jul-2025</t>
  </si>
  <si>
    <t>RESULT: 2024 NM273G71: 2024 &lt;- Jul-2025 NM273G7: 2024 &lt;- Jul-2025 NM273G9: 2024 &lt;- Jul-2025</t>
  </si>
  <si>
    <t>RESULT: 2024 NM158G71: 2024 &lt;- Jul-2025 NM158G7: 2024 &lt;- Jul-2025 NM158G9: 2024 &lt;- Jul-2025</t>
  </si>
  <si>
    <t>RESULT: 2024 NM997G71: 2024 &lt;- Jul-2025 NM997G7: 2024 &lt;- Jul-2025 NM997G9: 2024 &lt;- Jul-2025</t>
  </si>
  <si>
    <t>RESULT: 2024 NM112G71: 2024 &lt;- Jul-2025 NM112G7: 2024 &lt;- Jul-2025 NM112G9: 2024 &lt;- Jul-2025</t>
  </si>
  <si>
    <t>RESULT: 2024 M924G71A: 2024 &lt;- Jul-2025 NM924G7: 2024 &lt;- Jul-2025 NM924G9: 2024 &lt;- Jul-2025</t>
  </si>
  <si>
    <t>RESULT: 2024 M001G71A: 2024 &lt;- Jul-2025 M924G71A: 2024 &lt;- Jul-2025 M156G71A: 2024 &lt;- Jul-2025 M273G71A: 2024 &lt;- Jul-2025 M158G71A: 2024 &lt;- Jul-2025 M997G71A: 2024 &lt;- Jul-2025 M112G71A: 2024 &lt;- Jul-2025 NM001G7: 2024 &lt;- Jul-2025 NM924G7: 2024 &lt;- Jul-2025 NM156G7: 2024 &lt;- Jul-2025 NM273G7: 2024 &lt;- Jul-2025 NM158G7: 2024 &lt;- Jul-2025 NM997G7: 2024 &lt;- Jul-2025 NM112G7: 2024 &lt;- Jul-2025 NM001G9: 2024 &lt;- Jul-2025 NM924G9: 2024 &lt;- Jul-2025 NM156G9: 2024 &lt;- Jul-2025 NM273G9: 2024 &lt;- Jul-2025 NM158G9: 2024 &lt;- Jul-2025 NM997G9: 2024 &lt;- Jul-2025 NM112G9: 2024 &lt;- Jul-2025</t>
  </si>
  <si>
    <t>RESULT: 2024 M156G71A: 2024 &lt;- Jul-2025 NM156G7: 2024 &lt;- Jul-2025 NM156G9: 2024 &lt;- Jul-2025</t>
  </si>
  <si>
    <t>RESULT: 2024 M273G71A: 2024 &lt;- Jul-2025 NM273G7: 2024 &lt;- Jul-2025 NM273G9: 2024 &lt;- Jul-2025</t>
  </si>
  <si>
    <t>RESULT: 2024 M158G71A: 2024 &lt;- Jul-2025 NM158G7: 2024 &lt;- Jul-2025 NM158G9: 2024 &lt;- Jul-2025</t>
  </si>
  <si>
    <t>RESULT: 2024 M997G71A: 2024 &lt;- Jul-2025 NM997G7: 2024 &lt;- Jul-2025 NM997G9: 2024 &lt;- Jul-2025</t>
  </si>
  <si>
    <t>RESULT: 2024 M112G71A: 2024 &lt;- Jul-2025 NM112G7: 2024 &lt;- Jul-2025 NM112G9: 2024 &lt;- Jul-2025</t>
  </si>
  <si>
    <t>RESULT: 2024 M924G612: 2024 &lt;- Jul-2025 NM924G6: 2024 &lt;- Jul-2025</t>
  </si>
  <si>
    <t>RESULT: 2024 M001G612: 2024 &lt;- Jul-2025 M924G612: 2024 &lt;- Jul-2025 M156G612: 2024 &lt;- Jul-2025 M273G612: 2024 &lt;- Jul-2025 M158G612: 2024 &lt;- Jul-2025 M997G612: 2024 &lt;- Jul-2025 M112G612: 2024 &lt;- Jul-2025 NM001G6: 2024 &lt;- Jul-2025 NM924G6: 20.</t>
  </si>
  <si>
    <t>RESULT: 2024 M156G612: 2024 &lt;- Jul-2025 NM156G6: 2024 &lt;- Jul-2025</t>
  </si>
  <si>
    <t>RESULT: 2024 M273G612: 2024 &lt;- Jul-2025 NM273G6: 2024 &lt;- Jul-2025</t>
  </si>
  <si>
    <t>RESULT: 2024 M158G612: 2024 &lt;- Jul-2025 NM158G6: 2024 &lt;- Jul-2025</t>
  </si>
  <si>
    <t>RESULT: 2024 M997G612: 2024 &lt;- Jul-2025 NM997G6: 2024 &lt;- Jul-2025</t>
  </si>
  <si>
    <t>RESULT: 2024 M112G612: 2024 &lt;- Jul-2025 NM112G6: 2024 &lt;- Jul-2025</t>
  </si>
  <si>
    <t>.SOURCE</t>
  </si>
  <si>
    <t>M924F54A: CENSUS NM924F54: CENSUS</t>
  </si>
  <si>
    <t>M001F54A: CENSUS M924F54A: CENSUS M156F54A: CENSUS M273F54A: CENSUS M158F54A: CENSUS M997F54A: CENSUS M112F54A: CENSUS NM001F54: CENSUS NM924F54: CENSUS NM156F54: CENSUS NM273F54: CENSUS NM158F54: CENSUS NM997F54: CENSUS NM112F54: CENSUS</t>
  </si>
  <si>
    <t>M156F54A: CENSUS NM156F54: CENSUS</t>
  </si>
  <si>
    <t>M273F54A: CENSUS NM273F54: CENSUS</t>
  </si>
  <si>
    <t>M158F54A: CENSUS NM158F54: CENSUS</t>
  </si>
  <si>
    <t>M997F54A: CENSUS NM997F54: CENSUS</t>
  </si>
  <si>
    <t>M112F54A: CENSUS NM112F54: CENSUS</t>
  </si>
  <si>
    <t>NM924G71: CENSUS NM924G7: CENSUS NM924G9: CENSUS</t>
  </si>
  <si>
    <t>NM001G71: CENSUS NM924G71: CENSUS NM156G71: CENSUS NM273G71: CENSUS NM158G71: CENSUS NM997G71: CENSUS NM112G71: CENSUS NM001G7: CENSUS NM924G7: CENSUS NM156G7: CENSUS NM273G7: CENSUS NM158G7: CENSUS NM997G7: CENSUS NM112G7: CENSUS NM001G9: CENSUS NM924G9: CENSUS NM156G9: CENSUS NM273G9: CENSUS NM158G9: CENSUS NM997G9: CENSUS NM112G9: CENSUS</t>
  </si>
  <si>
    <t>NM156G71: CENSUS NM156G7: CENSUS NM156G9: CENSUS</t>
  </si>
  <si>
    <t>NM273G71: CENSUS NM273G7: CENSUS NM273G9: CENSUS</t>
  </si>
  <si>
    <t>NM158G71: CENSUS NM158G7: CENSUS NM158G9: CENSUS</t>
  </si>
  <si>
    <t>NM997G71: CENSUS NM997G7: CENSUS NM997G9: CENSUS</t>
  </si>
  <si>
    <t>NM112G71: CENSUS NM112G7: CENSUS NM112G9: CENSUS</t>
  </si>
  <si>
    <t>M924G71A: CENSUS NM924G7: CENSUS NM924G9: CENSUS</t>
  </si>
  <si>
    <t>M001G71A: CENSUS M924G71A: CENSUS M156G71A: CENSUS M273G71A: CENSUS M158G71A: CENSUS M997G71A: CENSUS M112G71A: CENSUS NM001G7: CENSUS NM924G7: CENSUS NM156G7: CENSUS NM273G7: CENSUS NM158G7: CENSUS NM997G7: CENSUS NM112G7: CENSUS NM001G9: CENSUS NM924G9: CENSUS NM156G9: CENSUS NM273G9: CENSUS NM158G9: CENSUS NM997G9: CENSUS NM112G9: CENSUS</t>
  </si>
  <si>
    <t>M156G71A: CENSUS NM156G7: CENSUS NM156G9: CENSUS</t>
  </si>
  <si>
    <t>M273G71A: CENSUS NM273G7: CENSUS NM273G9: CENSUS</t>
  </si>
  <si>
    <t>M158G71A: CENSUS NM158G7: CENSUS NM158G9: CENSUS</t>
  </si>
  <si>
    <t>M997G71A: CENSUS NM997G7: CENSUS NM997G9: CENSUS</t>
  </si>
  <si>
    <t>M112G71A: CENSUS NM112G7: CENSUS NM112G9: CENSUS</t>
  </si>
  <si>
    <t>M924G612: CENSUS NM924G6: CENSUS</t>
  </si>
  <si>
    <t>M001G612: CENSUS M924G612: CENSUS M156G612: CENSUS M273G612: CENSUS M158G612: CENSUS M997G612: CENSUS M112G612: CENSUS NM001G6: CENSUS NM924G6: CENSUS NM156G6: CENSUS NM273G6: CENSUS NM158G6: CENSUS NM997G6: CENSUS NM112G6: CENSUS</t>
  </si>
  <si>
    <t>M156G612: CENSUS NM156G6: CENSUS</t>
  </si>
  <si>
    <t>M273G612: CENSUS NM273G6: CENSUS</t>
  </si>
  <si>
    <t>M158G612: CENSUS NM158G6: CENSUS</t>
  </si>
  <si>
    <t>M997G612: CENSUS NM997G6: CENSUS</t>
  </si>
  <si>
    <t>M112G612: CENSUS NM112G6: CENSUS</t>
  </si>
  <si>
    <t>M924F54A: Census Bureau NM924F54: Census Bureau</t>
  </si>
  <si>
    <t>M001F54A: Census Bureau M924F54A: Census Bureau M156F54A: Census Bureau M273F54A: Census Bureau M158F54A: Census Bureau M997F54A: Census Bureau M112F54A: Census Bureau NM001F54: Census Bureau NM924F54: Census Bureau NM156F54: Census Bureau NM273F54: Census Bureau NM158F54: Census Bureau NM997F54: Census Bureau NM112F54: Census Bureau</t>
  </si>
  <si>
    <t>M156F54A: Census Bureau NM156F54: Census Bureau</t>
  </si>
  <si>
    <t>M273F54A: Census Bureau NM273F54: Census Bureau</t>
  </si>
  <si>
    <t>M158F54A: Census Bureau NM158F54: Census Bureau</t>
  </si>
  <si>
    <t>M997F54A: Census Bureau NM997F54: Census Bureau</t>
  </si>
  <si>
    <t>M112F54A: Census Bureau NM112F54: Census Bureau</t>
  </si>
  <si>
    <t>NM924G71: Census Bureau NM924G7: Census Bureau NM924G9: Census Bureau</t>
  </si>
  <si>
    <t>NM001G71: Census Bureau NM924G71: Census Bureau NM156G71: Census Bureau NM273G71: Census Bureau NM158G71: Census Bureau NM997G71: Census Bureau NM112G71: Census Bureau NM001G7: Census Bureau NM924G7: Census Bureau NM156G7: Census Bureau NM273G7: Census Bureau NM158G7: Census Bureau NM997G7: Census Bureau NM112G7: Census Bureau NM001G9: Census Bureau NM924G9: Census Bureau NM156G9: Census Bureau NM273G9: Census Bureau NM158G9: Census Bureau NM997G9: Census Bureau NM112G9: Census Bureau</t>
  </si>
  <si>
    <t>NM156G71: Census Bureau NM156G7: Census Bureau NM156G9: Census Bureau</t>
  </si>
  <si>
    <t>NM273G71: Census Bureau NM273G7: Census Bureau NM273G9: Census Bureau</t>
  </si>
  <si>
    <t>NM158G71: Census Bureau NM158G7: Census Bureau NM158G9: Census Bureau</t>
  </si>
  <si>
    <t>NM997G71: Census Bureau NM997G7: Census Bureau NM997G9: Census Bureau</t>
  </si>
  <si>
    <t>NM112G71: Census Bureau NM112G7: Census Bureau NM112G9: Census Bureau</t>
  </si>
  <si>
    <t>M924G71A: Census Bureau NM924G7: Census Bureau NM924G9: Census Bureau</t>
  </si>
  <si>
    <t>M001G71A: Census Bureau M924G71A: Census Bureau M156G71A: Census Bureau M273G71A: Census Bureau M158G71A: Census Bureau M997G71A: Census Bureau M112G71A: Census Bureau NM001G7: Census Bureau NM924G7: Census Bureau NM156G7: Census Bureau NM273G7: Census Bureau NM158G7: Census Bureau NM997G7: Census Bureau NM112G7: Census Bureau NM001G9: Census Bureau NM924G9: Census Bureau NM156G9: Census Bureau NM273G9: Census Bureau NM158G9: Census Bureau NM997G9: Census Bureau NM112G9: Census Bureau</t>
  </si>
  <si>
    <t>M156G71A: Census Bureau NM156G7: Census Bureau NM156G9: Census Bureau</t>
  </si>
  <si>
    <t>M273G71A: Census Bureau NM273G7: Census Bureau NM273G9: Census Bureau</t>
  </si>
  <si>
    <t>M158G71A: Census Bureau NM158G7: Census Bureau NM158G9: Census Bureau</t>
  </si>
  <si>
    <t>M997G71A: Census Bureau NM997G7: Census Bureau NM997G9: Census Bureau</t>
  </si>
  <si>
    <t>M112G71A: Census Bureau NM112G7: Census Bureau NM112G9: Census Bureau</t>
  </si>
  <si>
    <t>M924G612: Census Bureau NM924G6: Census Bureau</t>
  </si>
  <si>
    <t>M001G612: Census Bureau M924G612: Census Bureau M156G612: Census Bureau M273G612: Census Bureau M158G612: Census Bureau M997G612: Census Bureau M112G612: Census Bureau NM001G6: Census Bureau NM924G6: Census Bureau NM156G6: Census Bureau NM.</t>
  </si>
  <si>
    <t>M156G612: Census Bureau NM156G6: Census Bureau</t>
  </si>
  <si>
    <t>M273G612: Census Bureau NM273G6: Census Bureau</t>
  </si>
  <si>
    <t>M158G612: Census Bureau NM158G6: Census Bureau</t>
  </si>
  <si>
    <t>M997G612: Census Bureau NM997G6: Census Bureau</t>
  </si>
  <si>
    <t>M112G612: Census Bureau NM112G6: Census Bureau</t>
  </si>
  <si>
    <t>RESULT: Sum M924F54A: Sum NM924F54: Sum</t>
  </si>
  <si>
    <t>RESULT: Sum M001F54A: Sum M924F54A: Sum M156F54A: Sum M273F54A: Sum M158F54A: Sum M997F54A: Sum M112F54A: Sum NM001F54: Sum NM924F54: Sum NM156F54: Sum NM273F54: Sum NM158F54: Sum NM997F54: Sum NM112F54: Sum</t>
  </si>
  <si>
    <t>RESULT: Sum M156F54A: Sum NM156F54: Sum</t>
  </si>
  <si>
    <t>RESULT: Sum M273F54A: Sum NM273F54: Sum</t>
  </si>
  <si>
    <t>RESULT: Sum M158F54A: Sum NM158F54: Sum</t>
  </si>
  <si>
    <t>RESULT: Sum M997F54A: Sum NM997F54: Sum</t>
  </si>
  <si>
    <t>RESULT: Sum M112F54A: Sum NM112F54: Sum</t>
  </si>
  <si>
    <t>RESULT: Sum NM924G71: Sum NM924G7: Sum NM924G9: Sum</t>
  </si>
  <si>
    <t>RESULT: Sum NM001G71: Sum NM924G71: Sum NM156G71: Sum NM273G71: Sum NM158G71: Sum NM997G71: Sum NM112G71: Sum NM001G7: Sum NM924G7: Sum NM156G7: Sum NM273G7: Sum NM158G7: Sum NM997G7: Sum NM112G7: Sum NM001G9: Sum NM924G9: Sum NM156G9: Sum NM273G9: Sum NM158G9: Sum NM997G9: Sum NM112G9: Sum</t>
  </si>
  <si>
    <t>RESULT: Sum NM156G71: Sum NM156G7: Sum NM156G9: Sum</t>
  </si>
  <si>
    <t>RESULT: Sum NM273G71: Sum NM273G7: Sum NM273G9: Sum</t>
  </si>
  <si>
    <t>RESULT: Sum NM158G71: Sum NM158G7: Sum NM158G9: Sum</t>
  </si>
  <si>
    <t>RESULT: Sum NM997G71: Sum NM997G7: Sum NM997G9: Sum</t>
  </si>
  <si>
    <t>RESULT: Sum NM112G71: Sum NM112G7: Sum NM112G9: Sum</t>
  </si>
  <si>
    <t>RESULT: Sum M924G71A: Sum NM924G7: Sum NM924G9: Sum</t>
  </si>
  <si>
    <t>RESULT: Sum M001G71A: Sum M924G71A: Sum M156G71A: Sum M273G71A: Sum M158G71A: Sum M997G71A: Sum M112G71A: Sum NM001G7: Sum NM924G7: Sum NM156G7: Sum NM273G7: Sum NM158G7: Sum NM997G7: Sum NM112G7: Sum NM001G9: Sum NM924G9: Sum NM156G9: Sum NM273G9: Sum NM158G9: Sum NM997G9: Sum NM112G9: Sum</t>
  </si>
  <si>
    <t>RESULT: Sum M156G71A: Sum NM156G7: Sum NM156G9: Sum</t>
  </si>
  <si>
    <t>RESULT: Sum M273G71A: Sum NM273G7: Sum NM273G9: Sum</t>
  </si>
  <si>
    <t>RESULT: Sum M158G71A: Sum NM158G7: Sum NM158G9: Sum</t>
  </si>
  <si>
    <t>RESULT: Sum M997G71A: Sum NM997G7: Sum NM997G9: Sum</t>
  </si>
  <si>
    <t>RESULT: Sum M112G71A: Sum NM112G7: Sum NM112G9: Sum</t>
  </si>
  <si>
    <t>RESULT: Sum M924G612: Sum NM924G6: Sum</t>
  </si>
  <si>
    <t>RESULT: Sum M001G612: Sum M924G612: Sum M156G612: Sum M273G612: Sum M158G612: Sum M997G612: Sum M112G612: Sum NM001G6: Sum NM924G6: Sum NM156G6: Sum NM273G6: Sum NM158G6: Sum NM997G6: Sum NM112G6: Sum</t>
  </si>
  <si>
    <t>RESULT: Sum M156G612: Sum NM156G6: Sum</t>
  </si>
  <si>
    <t>RESULT: Sum M273G612: Sum NM273G6: Sum</t>
  </si>
  <si>
    <t>RESULT: Sum M158G612: Sum NM158G6: Sum</t>
  </si>
  <si>
    <t>RESULT: Sum M997G612: Sum NM997G6: Sum</t>
  </si>
  <si>
    <t>RESULT: Sum M112G612: Sum NM112G6: Sum</t>
  </si>
  <si>
    <t>M924F54A: Sep-04-2025 10:27 NM924F54: Sep-04-2025 09:35</t>
  </si>
  <si>
    <t>M001F54A: Sep-04-2025 10:27 M924F54A: Sep-04-2025 10:27 M156F54A: Sep-04-2025 10:27 M273F54A: Sep-04-2025 10:27 M158F54A: Sep-04-2025 10:27 M997F54A: Sep-04-2025 12:37 M112F54A: Sep-04-2025 10:27 NM001F54: Sep-04-2025 09:35 NM924F54: Sep-04-2025 09:35 NM156F54: Sep-04-2025 09:35 NM273F54: Sep-04-2025 09:35 NM158F54: Sep-04-2025 09:35 NM997F54: Sep-04-2025 09:35 NM112F54: Sep-04-2025 09:35</t>
  </si>
  <si>
    <t>M156F54A: Sep-04-2025 10:27 NM156F54: Sep-04-2025 09:35</t>
  </si>
  <si>
    <t>M273F54A: Sep-04-2025 10:27 NM273F54: Sep-04-2025 09:35</t>
  </si>
  <si>
    <t>M158F54A: Sep-04-2025 10:27 NM158F54: Sep-04-2025 09:35</t>
  </si>
  <si>
    <t>M997F54A: Sep-04-2025 12:37 NM997F54: Sep-04-2025 09:35</t>
  </si>
  <si>
    <t>M112F54A: Sep-04-2025 10:27 NM112F54: Sep-04-2025 09:35</t>
  </si>
  <si>
    <t>NM924G71: Sep-04-2025 09:35 NM924G7: Sep-04-2025 09:35 NM924G9: Sep-04-2025 09:35</t>
  </si>
  <si>
    <t>NM001G71: Sep-04-2025 09:35 NM924G71: Sep-04-2025 09:35 NM156G71: Sep-04-2025 09:35 NM273G71: Sep-04-2025 09:35 NM158G71: Sep-04-2025 09:35 NM997G71: Sep-04-2025 09:35 NM112G71: Sep-04-2025 09:35 NM001G7: Sep-04-2025 09:35 NM924G7: Sep-04-2025 09:35 NM156G7: Sep-04-2025 09:35 NM273G7: Sep-04-2025 09:35 NM158G7: Sep-04-2025 09:35 NM997G7: Sep-04-2025 09:35 NM112G7: Sep-04-2025 09:35 NM001G9: Sep-04-2025 09:35 NM924G9: Sep-04-2025 09:35 NM156G9: Sep-04-2025 09:35 NM273G9: Sep-04-2025 09:35 NM158G9: Sep-04-2025 09:35 NM997G9: Sep-04-2025 09:35 NM112G9: Sep-04-2025 09:35</t>
  </si>
  <si>
    <t>NM156G71: Sep-04-2025 09:35 NM156G7: Sep-04-2025 09:35 NM156G9: Sep-04-2025 09:35</t>
  </si>
  <si>
    <t>NM273G71: Sep-04-2025 09:35 NM273G7: Sep-04-2025 09:35 NM273G9: Sep-04-2025 09:35</t>
  </si>
  <si>
    <t>NM158G71: Sep-04-2025 09:35 NM158G7: Sep-04-2025 09:35 NM158G9: Sep-04-2025 09:35</t>
  </si>
  <si>
    <t>NM997G71: Sep-04-2025 09:35 NM997G7: Sep-04-2025 09:35 NM997G9: Sep-04-2025 09:35</t>
  </si>
  <si>
    <t>NM112G71: Sep-04-2025 09:35 NM112G7: Sep-04-2025 09:35 NM112G9: Sep-04-2025 09:35</t>
  </si>
  <si>
    <t>M924G71A: Sep-04-2025 10:27 NM924G7: Sep-04-2025 09:35 NM924G9: Sep-04-2025 09:35</t>
  </si>
  <si>
    <t>M001G71A: Sep-04-2025 10:27 M924G71A: Sep-04-2025 10:27 M156G71A: Sep-04-2025 10:27 M273G71A: Sep-04-2025 10:27 M158G71A: Sep-04-2025 10:27 M997G71A: Sep-04-2025 12:37 M112G71A: Sep-04-2025 10:27 NM001G7: Sep-04-2025 09:35 NM924G7: Sep-04-2025 09:35 NM156G7: Sep-04-2025 09:35 NM273G7: Sep-04-2025 09:35 NM158G7: Sep-04-2025 09:35 NM997G7: Sep-04-2025 09:35 NM112G7: Sep-04-2025 09:35 NM001G9: Sep-04-2025 09:35 NM924G9: Sep-04-2025 09:35 NM156G9: Sep-04-2025 09:35 NM273G9: Sep-04-2025 09:35 NM158G9: Sep-04-2025 09:35 NM997G9: Sep-04-2025 09:35 NM112G9: Sep-04-2025 09:35</t>
  </si>
  <si>
    <t>M156G71A: Sep-04-2025 10:27 NM156G7: Sep-04-2025 09:35 NM156G9: Sep-04-2025 09:35</t>
  </si>
  <si>
    <t>M273G71A: Sep-04-2025 10:27 NM273G7: Sep-04-2025 09:35 NM273G9: Sep-04-2025 09:35</t>
  </si>
  <si>
    <t>M158G71A: Sep-04-2025 10:27 NM158G7: Sep-04-2025 09:35 NM158G9: Sep-04-2025 09:35</t>
  </si>
  <si>
    <t>M997G71A: Sep-04-2025 12:37 NM997G7: Sep-04-2025 09:35 NM997G9: Sep-04-2025 09:35</t>
  </si>
  <si>
    <t>M112G71A: Sep-04-2025 10:27 NM112G7: Sep-04-2025 09:35 NM112G9: Sep-04-2025 09:35</t>
  </si>
  <si>
    <t>M924G612: Sep-04-2025 10:27 NM924G6: Sep-04-2025 09:35</t>
  </si>
  <si>
    <t>M001G612: Sep-04-2025 10:27 M924G612: Sep-04-2025 10:27 M156G612: Sep-04-2025 10:27 M273G612: Sep-04-2025 10:27 M158G612: Sep-04-2025 10:27 M997G612: Sep-04-2025 12:37 M112G612: Sep-04-2025 10:27 NM001G6: Sep-04-2025 09:35 NM924G6: Sep-04-.</t>
  </si>
  <si>
    <t>M156G612: Sep-04-2025 10:27 NM156G6: Sep-04-2025 09:35</t>
  </si>
  <si>
    <t>M273G612: Sep-04-2025 10:27 NM273G6: Sep-04-2025 09:35</t>
  </si>
  <si>
    <t>M158G612: Sep-04-2025 10:27 NM158G6: Sep-04-2025 09:35</t>
  </si>
  <si>
    <t>M997G612: Sep-04-2025 12:37 NM997G6: Sep-04-2025 09:35</t>
  </si>
  <si>
    <t>M112G612: Sep-04-2025 10:27 NM112G6: Sep-04-2025 09:35</t>
  </si>
  <si>
    <t>RESULT: Annual M924F54A: Annual &lt;- Monthly NM924F54: Annual &lt;- Monthly</t>
  </si>
  <si>
    <t>RESULT: Annual M001F54A: Annual &lt;- Monthly M924F54A: Annual &lt;- Monthly M156F54A: Annual &lt;- Monthly M273F54A: Annual &lt;- Monthly M158F54A: Annual &lt;- Monthly M997F54A: Annual &lt;- Monthly M112F54A: Annual &lt;- Monthly NM001F54: Annual &lt;- Monthly NM924F54: Annual &lt;- Monthly NM156F54: Annual &lt;- Monthly NM273F54: Annual &lt;- Monthly NM158F54: Annual &lt;- Monthly NM997F54: Annual &lt;- Monthly NM112F54: Annual &lt;- Monthly</t>
  </si>
  <si>
    <t>RESULT: Annual M156F54A: Annual &lt;- Monthly NM156F54: Annual &lt;- Monthly</t>
  </si>
  <si>
    <t>RESULT: Annual M273F54A: Annual &lt;- Monthly NM273F54: Annual &lt;- Monthly</t>
  </si>
  <si>
    <t>RESULT: Annual M158F54A: Annual &lt;- Monthly NM158F54: Annual &lt;- Monthly</t>
  </si>
  <si>
    <t>RESULT: Annual M997F54A: Annual &lt;- Monthly NM997F54: Annual &lt;- Monthly</t>
  </si>
  <si>
    <t>RESULT: Annual M112F54A: Annual &lt;- Monthly NM112F54: Annual &lt;- Monthly</t>
  </si>
  <si>
    <t>RESULT: Annual NM924G71: Annual &lt;- Monthly NM924G7: Annual &lt;- Monthly NM924G9: Annual &lt;- Monthly</t>
  </si>
  <si>
    <t>RESULT: Annual NM001G71: Annual &lt;- Monthly NM924G71: Annual &lt;- Monthly NM156G71: Annual &lt;- Monthly NM273G71: Annual &lt;- Monthly NM158G71: Annual &lt;- Monthly NM997G71: Annual &lt;- Monthly NM112G71: Annual &lt;- Monthly NM001G7: Annual &lt;- Monthly NM924G7: Annual &lt;- Monthly NM156G7: Annual &lt;- Monthly NM273G7: Annual &lt;- Monthly NM158G7: Annual &lt;- Monthly NM997G7: Annual &lt;- Monthly NM112G7: Annual &lt;- Monthly NM001G9: Annual &lt;- Monthly NM924G9: Annual &lt;- Monthly NM156G9: Annual &lt;- Monthly NM273G9: Annual &lt;- Monthly NM158G9: Annual &lt;- Monthly NM997G9: Annual &lt;- Monthly NM112G9: Annual &lt;- Monthly</t>
  </si>
  <si>
    <t>RESULT: Annual NM156G71: Annual &lt;- Monthly NM156G7: Annual &lt;- Monthly NM156G9: Annual &lt;- Monthly</t>
  </si>
  <si>
    <t>RESULT: Annual NM273G71: Annual &lt;- Monthly NM273G7: Annual &lt;- Monthly NM273G9: Annual &lt;- Monthly</t>
  </si>
  <si>
    <t>RESULT: Annual NM158G71: Annual &lt;- Monthly NM158G7: Annual &lt;- Monthly NM158G9: Annual &lt;- Monthly</t>
  </si>
  <si>
    <t>RESULT: Annual NM997G71: Annual &lt;- Monthly NM997G7: Annual &lt;- Monthly NM997G9: Annual &lt;- Monthly</t>
  </si>
  <si>
    <t>RESULT: Annual NM112G71: Annual &lt;- Monthly NM112G7: Annual &lt;- Monthly NM112G9: Annual &lt;- Monthly</t>
  </si>
  <si>
    <t>RESULT: Annual M924G71A: Annual &lt;- Monthly NM924G7: Annual &lt;- Monthly NM924G9: Annual &lt;- Monthly</t>
  </si>
  <si>
    <t>RESULT: Annual M001G71A: Annual &lt;- Monthly M924G71A: Annual &lt;- Monthly M156G71A: Annual &lt;- Monthly M273G71A: Annual &lt;- Monthly M158G71A: Annual &lt;- Monthly M997G71A: Annual &lt;- Monthly M112G71A: Annual &lt;- Monthly NM001G7: Annual &lt;- Monthly NM924G7: Annual &lt;- Monthly NM156G7: Annual &lt;- Monthly NM273G7: Annual &lt;- Monthly NM158G7: Annual &lt;- Monthly NM997G7: Annual &lt;- Monthly NM112G7: Annual &lt;- Monthly NM001G9: Annual &lt;- Monthly NM924G9: Annual &lt;- Monthly NM156G9: Annual &lt;- Monthly NM273G9: Annual &lt;- Monthly NM158G9: Annual &lt;- Monthly NM997G9: Annual &lt;- Monthly NM112G9: Annual &lt;- Monthly</t>
  </si>
  <si>
    <t>RESULT: Annual M156G71A: Annual &lt;- Monthly NM156G7: Annual &lt;- Monthly NM156G9: Annual &lt;- Monthly</t>
  </si>
  <si>
    <t>RESULT: Annual M273G71A: Annual &lt;- Monthly NM273G7: Annual &lt;- Monthly NM273G9: Annual &lt;- Monthly</t>
  </si>
  <si>
    <t>RESULT: Annual M158G71A: Annual &lt;- Monthly NM158G7: Annual &lt;- Monthly NM158G9: Annual &lt;- Monthly</t>
  </si>
  <si>
    <t>RESULT: Annual M997G71A: Annual &lt;- Monthly NM997G7: Annual &lt;- Monthly NM997G9: Annual &lt;- Monthly</t>
  </si>
  <si>
    <t>RESULT: Annual M112G71A: Annual &lt;- Monthly NM112G7: Annual &lt;- Monthly NM112G9: Annual &lt;- Monthly</t>
  </si>
  <si>
    <t>RESULT: Annual M924G612: Annual &lt;- Monthly NM924G6: Annual &lt;- Monthly</t>
  </si>
  <si>
    <t>RESULT: Annual M001G612: Annual &lt;- Monthly M924G612: Annual &lt;- Monthly M156G612: Annual &lt;- Monthly M273G612: Annual &lt;- Monthly M158G612: Annual &lt;- Monthly M997G612: Annual &lt;- Monthly M112G612: Annual &lt;- Monthly NM001G6: Annual &lt;- Monthly N.</t>
  </si>
  <si>
    <t>RESULT: Annual M156G612: Annual &lt;- Monthly NM156G6: Annual &lt;- Monthly</t>
  </si>
  <si>
    <t>RESULT: Annual M273G612: Annual &lt;- Monthly NM273G6: Annual &lt;- Monthly</t>
  </si>
  <si>
    <t>RESULT: Annual M158G612: Annual &lt;- Monthly NM158G6: Annual &lt;- Monthly</t>
  </si>
  <si>
    <t>RESULT: Annual M997G612: Annual &lt;- Monthly NM997G6: Annual &lt;- Monthly</t>
  </si>
  <si>
    <t>RESULT: Annual M112G612: Annual &lt;- Monthly NM112G6: Annual &lt;- Monthly</t>
  </si>
  <si>
    <t>RESULT: % M924F54A: % &lt;- US$ NM924F54: US$</t>
  </si>
  <si>
    <t>RESULT: % M001F54A: % &lt;- US$ M924F54A: US$ M156F54A: US$ M273F54A: US$ M158F54A: US$ M997F54A: US$ M112F54A: US$ NM001F54: US$ NM924F54: US$ NM156F54: US$ NM273F54: US$ NM158F54: US$ NM997F54: US$ NM112F54: US$</t>
  </si>
  <si>
    <t>RESULT: % M156F54A: % &lt;- US$ NM156F54: US$</t>
  </si>
  <si>
    <t>RESULT: % M273F54A: % &lt;- US$ NM273F54: US$</t>
  </si>
  <si>
    <t>RESULT: % M158F54A: % &lt;- US$ NM158F54: US$</t>
  </si>
  <si>
    <t>RESULT: % M997F54A: % &lt;- US$ NM997F54: US$</t>
  </si>
  <si>
    <t>RESULT: % M112F54A: % &lt;- US$ NM112F54: US$</t>
  </si>
  <si>
    <t>RESULT: % NM924G71: % &lt;- US$ NM924G7: US$ NM924G9: US$</t>
  </si>
  <si>
    <t>RESULT: % NM001G71: % &lt;- US$ NM924G71: US$ NM156G71: US$ NM273G71: US$ NM158G71: US$ NM997G71: US$ NM112G71: US$ NM001G7: US$ NM924G7: US$ NM156G7: US$ NM273G7: US$ NM158G7: US$ NM997G7: US$ NM112G7: US$ NM001G9: US$ NM924G9: US$ NM156G9: US$ NM273G9: US$ NM158G9: US$ NM997G9: US$ NM112G9: US$</t>
  </si>
  <si>
    <t>RESULT: % NM156G71: % &lt;- US$ NM156G7: US$ NM156G9: US$</t>
  </si>
  <si>
    <t>RESULT: % NM273G71: % &lt;- US$ NM273G7: US$ NM273G9: US$</t>
  </si>
  <si>
    <t>RESULT: % NM158G71: % &lt;- US$ NM158G7: US$ NM158G9: US$</t>
  </si>
  <si>
    <t>RESULT: % NM997G71: % &lt;- US$ NM997G7: US$ NM997G9: US$</t>
  </si>
  <si>
    <t>RESULT: % NM112G71: % &lt;- US$ NM112G7: US$ NM112G9: US$</t>
  </si>
  <si>
    <t>RESULT: % M924G71A: % &lt;- US$ NM924G7: US$ NM924G9: US$</t>
  </si>
  <si>
    <t>RESULT: % M001G71A: % &lt;- US$ M924G71A: US$ M156G71A: US$ M273G71A: US$ M158G71A: US$ M997G71A: US$ M112G71A: US$ NM001G7: US$ NM924G7: US$ NM156G7: US$ NM273G7: US$ NM158G7: US$ NM997G7: US$ NM112G7: US$ NM001G9: US$ NM924G9: US$ NM156G9: US$ NM273G9: US$ NM158G9: US$ NM997G9: US$ NM112G9: US$</t>
  </si>
  <si>
    <t>RESULT: % M156G71A: % &lt;- US$ NM156G7: US$ NM156G9: US$</t>
  </si>
  <si>
    <t>RESULT: % M273G71A: % &lt;- US$ NM273G7: US$ NM273G9: US$</t>
  </si>
  <si>
    <t>RESULT: % M158G71A: % &lt;- US$ NM158G7: US$ NM158G9: US$</t>
  </si>
  <si>
    <t>RESULT: % M997G71A: % &lt;- US$ NM997G7: US$ NM997G9: US$</t>
  </si>
  <si>
    <t>RESULT: % M112G71A: % &lt;- US$ NM112G7: US$ NM112G9: US$</t>
  </si>
  <si>
    <t>RESULT: % M924G612: % &lt;- US$ NM924G6: US$</t>
  </si>
  <si>
    <t>RESULT: % M001G612: % &lt;- US$ M924G612: US$ M156G612: US$ M273G612: US$ M158G612: US$ M997G612: US$ M112G612: US$ NM001G6: US$ NM924G6: US$ NM156G6: US$ NM273G6: US$ NM158G6: US$ NM997G6: US$ NM112G6: US$</t>
  </si>
  <si>
    <t>RESULT: % M156G612: % &lt;- US$ NM156G6: US$</t>
  </si>
  <si>
    <t>RESULT: % M273G612: % &lt;- US$ NM273G6: US$</t>
  </si>
  <si>
    <t>RESULT: % M158G612: % &lt;- US$ NM158G6: US$</t>
  </si>
  <si>
    <t>RESULT: % M997G612: % &lt;- US$ NM997G6: US$</t>
  </si>
  <si>
    <t>RESULT: % M112G612: % &lt;- US$ NM112G6: US$</t>
  </si>
  <si>
    <t>RESULT: 0 M924F54A: 3 NM924F54: 3</t>
  </si>
  <si>
    <t>RESULT: 0 M001F54A: 3 M924F54A: 3 M156F54A: 3 M273F54A: 3 M158F54A: 3 M997F54A: 3 M112F54A: 3 NM001F54: 3 NM924F54: 3 NM156F54: 3 NM273F54: 3 NM158F54: 3 NM997F54: 3 NM112F54: 3</t>
  </si>
  <si>
    <t>RESULT: 0 M156F54A: 3 NM156F54: 3</t>
  </si>
  <si>
    <t>RESULT: 0 M273F54A: 3 NM273F54: 3</t>
  </si>
  <si>
    <t>RESULT: 0 M158F54A: 3 NM158F54: 3</t>
  </si>
  <si>
    <t>RESULT: 0 M997F54A: 3 NM997F54: 3</t>
  </si>
  <si>
    <t>RESULT: 0 M112F54A: 3 NM112F54: 3</t>
  </si>
  <si>
    <t>RESULT: 0 NM924G71: 3 NM924G7: 3 NM924G9: 3</t>
  </si>
  <si>
    <t>RESULT: 0 NM001G71: 3 NM924G71: 3 NM156G71: 3 NM273G71: 3 NM158G71: 3 NM997G71: 3 NM112G71: 3 NM001G7: 3 NM924G7: 3 NM156G7: 3 NM273G7: 3 NM158G7: 3 NM997G7: 3 NM112G7: 3 NM001G9: 3 NM924G9: 3 NM156G9: 3 NM273G9: 3 NM158G9: 3 NM997G9: 3 NM112G9: 3</t>
  </si>
  <si>
    <t>RESULT: 0 NM156G71: 3 NM156G7: 3 NM156G9: 3</t>
  </si>
  <si>
    <t>RESULT: 0 NM273G71: 3 NM273G7: 3 NM273G9: 3</t>
  </si>
  <si>
    <t>RESULT: 0 NM158G71: 3 NM158G7: 3 NM158G9: 3</t>
  </si>
  <si>
    <t>RESULT: 0 NM997G71: 3 NM997G7: 3 NM997G9: 3</t>
  </si>
  <si>
    <t>RESULT: 0 NM112G71: 3 NM112G7: 3 NM112G9: 3</t>
  </si>
  <si>
    <t>RESULT: 0 M924G71A: 3 NM924G7: 3 NM924G9: 3</t>
  </si>
  <si>
    <t>RESULT: 0 M001G71A: 3 M924G71A: 3 M156G71A: 3 M273G71A: 3 M158G71A: 3 M997G71A: 3 M112G71A: 3 NM001G7: 3 NM924G7: 3 NM156G7: 3 NM273G7: 3 NM158G7: 3 NM997G7: 3 NM112G7: 3 NM001G9: 3 NM924G9: 3 NM156G9: 3 NM273G9: 3 NM158G9: 3 NM997G9: 3 NM112G9: 3</t>
  </si>
  <si>
    <t>RESULT: 0 M156G71A: 3 NM156G7: 3 NM156G9: 3</t>
  </si>
  <si>
    <t>RESULT: 0 M273G71A: 3 NM273G7: 3 NM273G9: 3</t>
  </si>
  <si>
    <t>RESULT: 0 M158G71A: 3 NM158G7: 3 NM158G9: 3</t>
  </si>
  <si>
    <t>RESULT: 0 M997G71A: 3 NM997G7: 3 NM997G9: 3</t>
  </si>
  <si>
    <t>RESULT: 0 M112G71A: 3 NM112G7: 3 NM112G9: 3</t>
  </si>
  <si>
    <t>RESULT: 0 M924G612: 3 NM924G6: 3</t>
  </si>
  <si>
    <t>RESULT: 0 M001G612: 3 M924G612: 3 M156G612: 3 M273G612: 3 M158G612: 3 M997G612: 3 M112G612: 3 NM001G6: 3 NM924G6: 3 NM156G6: 3 NM273G6: 3 NM158G6: 3 NM997G6: 3 NM112G6: 3</t>
  </si>
  <si>
    <t>RESULT: 0 M156G612: 3 NM156G6: 3</t>
  </si>
  <si>
    <t>RESULT: 0 M273G612: 3 NM273G6: 3</t>
  </si>
  <si>
    <t>RESULT: 0 M158G612: 3 NM158G6: 3</t>
  </si>
  <si>
    <t>RESULT: 0 M997G612: 3 NM997G6: 3</t>
  </si>
  <si>
    <t>RESULT: 0 M112G612: 3 NM112G6: 3</t>
  </si>
  <si>
    <t>M924F54A: I78 NM924F54: I17</t>
  </si>
  <si>
    <t>M001F54A: I76 M924F54A: I78 M156F54A: I76 M273F54A: I76 M158F54A: I76 M997F54A: I79 M112F54A: I76 NM001F54: I17 NM924F54: I17 NM156F54: I17 NM273F54: I17 NM158F54: I17 NM997F54: I17 NM112F54: I17</t>
  </si>
  <si>
    <t>M156F54A: I76 NM156F54: I17</t>
  </si>
  <si>
    <t>M273F54A: I76 NM273F54: I17</t>
  </si>
  <si>
    <t>M158F54A: I76 NM158F54: I17</t>
  </si>
  <si>
    <t>M997F54A: I79 NM997F54: I17</t>
  </si>
  <si>
    <t>M112F54A: I76 NM112F54: I17</t>
  </si>
  <si>
    <t>NM924G71: I17 NM924G7: I17 NM924G9: I17</t>
  </si>
  <si>
    <t>NM001G71: I17 NM924G71: I17 NM156G71: I17 NM273G71: I17 NM158G71: I17 NM997G71: I17 NM112G71: I17 NM001G7: I17 NM924G7: I17 NM156G7: I17 NM273G7: I17 NM158G7: I17 NM997G7: I17 NM112G7: I17 NM001G9: I17 NM924G9: I17 NM156G9: I17 NM273G9: I17 NM158G9: I17 NM997G9: I17 NM112G9: I17</t>
  </si>
  <si>
    <t>NM156G71: I17 NM156G7: I17 NM156G9: I17</t>
  </si>
  <si>
    <t>NM273G71: I17 NM273G7: I17 NM273G9: I17</t>
  </si>
  <si>
    <t>NM158G71: I17 NM158G7: I17 NM158G9: I17</t>
  </si>
  <si>
    <t>NM997G71: I17 NM997G7: I17 NM997G9: I17</t>
  </si>
  <si>
    <t>NM112G71: I17 NM112G7: I17 NM112G9: I17</t>
  </si>
  <si>
    <t>M924G71A: I78 NM924G7: I17 NM924G9: I17</t>
  </si>
  <si>
    <t>M001G71A: I76 M924G71A: I78 M156G71A: I76 M273G71A: I76 M158G71A: I76 M997G71A: I79 M112G71A: I76 NM001G7: I17 NM924G7: I17 NM156G7: I17 NM273G7: I17 NM158G7: I17 NM997G7: I17 NM112G7: I17 NM001G9: I17 NM924G9: I17 NM156G9: I17 NM273G9: I17 NM158G9: I17 NM997G9: I17 NM112G9: I17</t>
  </si>
  <si>
    <t>M156G71A: I76 NM156G7: I17 NM156G9: I17</t>
  </si>
  <si>
    <t>M273G71A: I76 NM273G7: I17 NM273G9: I17</t>
  </si>
  <si>
    <t>M158G71A: I76 NM158G7: I17 NM158G9: I17</t>
  </si>
  <si>
    <t>M997G71A: I79 NM997G7: I17 NM997G9: I17</t>
  </si>
  <si>
    <t>M112G71A: I76 NM112G7: I17 NM112G9: I17</t>
  </si>
  <si>
    <t>M924G612: I74 NM924G6: I17</t>
  </si>
  <si>
    <t>M001G612: I43 M924G612: I74 M156G612: I43 M273G612: I43 M158G612: I43 M997G612: I74 M112G612: I43 NM001G6: I17 NM924G6: I17 NM156G6: I17 NM273G6: I17 NM158G6: I17 NM997G6: I17 NM112G6: I17</t>
  </si>
  <si>
    <t>M156G612: I43 NM156G6: I17</t>
  </si>
  <si>
    <t>M273G612: I43 NM273G6: I17</t>
  </si>
  <si>
    <t>M158G612: I43 NM158G6: I17</t>
  </si>
  <si>
    <t>M997G612: I74 NM997G6: I17</t>
  </si>
  <si>
    <t>M112G612: I43 NM112G6: I17</t>
  </si>
  <si>
    <t>M924F54A: U.S. Trade by 6-Digit NAICS, Monthly NM924F54: U.S. Trade by 3,4-Digit NAICS, Monthly</t>
  </si>
  <si>
    <t>M001F54A: U.S. Trade by 6-Digit NAICS, Monthly M924F54A: U.S. Trade by 6-Digit NAICS, Monthly M156F54A: U.S. Trade by 6-Digit NAICS, Monthly M273F54A: U.S. Trade by 6-Digit NAICS, Monthly M158F54A: U.S. Trade by 6-Digit NAICS, Monthly M997F54A: U.S. Trade by 6-Digit NAICS, Monthly M112F54A: U.S. Trade by 6-Digit NAICS, Monthly NM001F54: U.S. Trade by 3,4-Digit NAICS, Monthly NM924F54: U.S. Trade by 3,4-Digit NAICS, Monthly NM156F54: U.S. Trade by 3,4-Digit NAICS, Monthly NM273F54: U.S. Trade by 3,4-Digit NAICS, Monthly NM158F54: U.S. Trade by 3,4-Digit NAICS, Monthly NM997F54: U.S. Trade by 3,4-Digit NAICS, Monthly NM112F54: U.S. Trade by 3,4-Digit NAICS, Monthly</t>
  </si>
  <si>
    <t>M156F54A: U.S. Trade by 6-Digit NAICS, Monthly NM156F54: U.S. Trade by 3,4-Digit NAICS, Monthly</t>
  </si>
  <si>
    <t>M273F54A: U.S. Trade by 6-Digit NAICS, Monthly NM273F54: U.S. Trade by 3,4-Digit NAICS, Monthly</t>
  </si>
  <si>
    <t>M158F54A: U.S. Trade by 6-Digit NAICS, Monthly NM158F54: U.S. Trade by 3,4-Digit NAICS, Monthly</t>
  </si>
  <si>
    <t>M997F54A: U.S. Trade by 6-Digit NAICS, Monthly NM997F54: U.S. Trade by 3,4-Digit NAICS, Monthly</t>
  </si>
  <si>
    <t>M112F54A: U.S. Trade by 6-Digit NAICS, Monthly NM112F54: U.S. Trade by 3,4-Digit NAICS, Monthly</t>
  </si>
  <si>
    <t>NM924G71: U.S. Trade by 3,4-Digit NAICS, Monthly NM924G7: U.S. Trade by 3,4-Digit NAICS, Monthly NM924G9: U.S. Trade by 3,4-Digit NAICS, Monthly</t>
  </si>
  <si>
    <t>NM001G71: U.S. Trade by 3,4-Digit NAICS, Monthly NM924G71: U.S. Trade by 3,4-Digit NAICS, Monthly NM156G71: U.S. Trade by 3,4-Digit NAICS, Monthly NM273G71: U.S. Trade by 3,4-Digit NAICS, Monthly NM158G71: U.S. Trade by 3,4-Digit NAICS, Monthly NM997G71: U.S. Trade by 3,4-Digit NAICS, Monthly NM112G71: U.S. Trade by 3,4-Digit NAICS, Monthly NM001G7: U.S. Trade by 3,4-Digit NAICS, Monthly NM924G7: U.S. Trade by 3,4-Digit NAICS, Monthly NM156G7: U.S. Trade by 3,4-Digit NAICS, Monthly NM273G7: U.S. Trade by 3,4-Digit NAICS, Monthly NM158G7: U.S. Trade by 3,4-Digit NAICS, Monthly NM997G7: U.S. Trade by 3,4-Digit NAICS, Monthly NM112G7: U.S. Trade by 3,4-Digit NAICS, Monthly NM001G9: U.S. Trade by 3,4-Digit NAICS, Monthly NM924G9: U.S. Trade by 3,4-Digit NAICS, Monthly NM156G9: U.S. Trade by 3,4-Digit NAICS, Monthly NM273G9: U.S. Trade by 3,4-Digit NAICS, Monthly NM158G9: U.S. Trade by 3,4-Digit NAICS, Monthly NM997G9: U.S. Trade by 3,4-Digit NAICS, Monthly NM112G9: U.S. Trade by 3,4-Digit NAICS, Monthly</t>
  </si>
  <si>
    <t>NM156G71: U.S. Trade by 3,4-Digit NAICS, Monthly NM156G7: U.S. Trade by 3,4-Digit NAICS, Monthly NM156G9: U.S. Trade by 3,4-Digit NAICS, Monthly</t>
  </si>
  <si>
    <t>NM273G71: U.S. Trade by 3,4-Digit NAICS, Monthly NM273G7: U.S. Trade by 3,4-Digit NAICS, Monthly NM273G9: U.S. Trade by 3,4-Digit NAICS, Monthly</t>
  </si>
  <si>
    <t>NM158G71: U.S. Trade by 3,4-Digit NAICS, Monthly NM158G7: U.S. Trade by 3,4-Digit NAICS, Monthly NM158G9: U.S. Trade by 3,4-Digit NAICS, Monthly</t>
  </si>
  <si>
    <t>NM997G71: U.S. Trade by 3,4-Digit NAICS, Monthly NM997G7: U.S. Trade by 3,4-Digit NAICS, Monthly NM997G9: U.S. Trade by 3,4-Digit NAICS, Monthly</t>
  </si>
  <si>
    <t>NM112G71: U.S. Trade by 3,4-Digit NAICS, Monthly NM112G7: U.S. Trade by 3,4-Digit NAICS, Monthly NM112G9: U.S. Trade by 3,4-Digit NAICS, Monthly</t>
  </si>
  <si>
    <t>M924G71A: U.S. Trade by 6-Digit NAICS, Monthly NM924G7: U.S. Trade by 3,4-Digit NAICS, Monthly NM924G9: U.S. Trade by 3,4-Digit NAICS, Monthly</t>
  </si>
  <si>
    <t>M001G71A: U.S. Trade by 6-Digit NAICS, Monthly M924G71A: U.S. Trade by 6-Digit NAICS, Monthly M156G71A: U.S. Trade by 6-Digit NAICS, Monthly M273G71A: U.S. Trade by 6-Digit NAICS, Monthly M158G71A: U.S. Trade by 6-Digit NAICS, Monthly M997G71A: U.S. Trade by 6-Digit NAICS, Monthly M112G71A: U.S. Trade by 6-Digit NAICS, Monthly NM001G7: U.S. Trade by 3,4-Digit NAICS, Monthly NM924G7: U.S. Trade by 3,4-Digit NAICS, Monthly NM156G7: U.S. Trade by 3,4-Digit NAICS, Monthly NM273G7: U.S. Trade by 3,4-Digit NAICS, Monthly NM158G7: U.S. Trade by 3,4-Digit NAICS, Monthly NM997G7: U.S. Trade by 3,4-Digit NAICS, Monthly NM112G7: U.S. Trade by 3,4-Digit NAICS, Monthly NM001G9: U.S. Trade by 3,4-Digit NAICS, Monthly NM924G9: U.S. Trade by 3,4-Digit NAICS, Monthly NM156G9: U.S. Trade by 3,4-Digit NAICS, Monthly NM273G9: U.S. Trade by 3,4-Digit NAICS, Monthly NM158G9: U.S. Trade by 3,4-Digit NAICS, Monthly NM997G9: U.S. Trade by 3,4-Digit NAICS, Monthly NM112G9: U.S. Trade by 3,4-Digit NAICS, Monthly</t>
  </si>
  <si>
    <t>M156G71A: U.S. Trade by 6-Digit NAICS, Monthly NM156G7: U.S. Trade by 3,4-Digit NAICS, Monthly NM156G9: U.S. Trade by 3,4-Digit NAICS, Monthly</t>
  </si>
  <si>
    <t>M273G71A: U.S. Trade by 6-Digit NAICS, Monthly NM273G7: U.S. Trade by 3,4-Digit NAICS, Monthly NM273G9: U.S. Trade by 3,4-Digit NAICS, Monthly</t>
  </si>
  <si>
    <t>M158G71A: U.S. Trade by 6-Digit NAICS, Monthly NM158G7: U.S. Trade by 3,4-Digit NAICS, Monthly NM158G9: U.S. Trade by 3,4-Digit NAICS, Monthly</t>
  </si>
  <si>
    <t>M997G71A: U.S. Trade by 6-Digit NAICS, Monthly NM997G7: U.S. Trade by 3,4-Digit NAICS, Monthly NM997G9: U.S. Trade by 3,4-Digit NAICS, Monthly</t>
  </si>
  <si>
    <t>M112G71A: U.S. Trade by 6-Digit NAICS, Monthly NM112G7: U.S. Trade by 3,4-Digit NAICS, Monthly NM112G9: U.S. Trade by 3,4-Digit NAICS, Monthly</t>
  </si>
  <si>
    <t>M924G612: U.S. Trade by 5-Digit NAICS, Monthly NM924G6: U.S. Trade by 3,4-Digit NAICS, Monthly</t>
  </si>
  <si>
    <t>M001G612: U.S. Trade by 5-Digit NAICS, Monthly M924G612: U.S. Trade by 5-Digit NAICS, Monthly M156G612: U.S. Trade by 5-Digit NAICS, Monthly M273G612: U.S. Trade by 5-Digit NAICS, Monthly M158G612: U.S. Trade by 5-Digit NAICS, Monthly M997.</t>
  </si>
  <si>
    <t>M156G612: U.S. Trade by 5-Digit NAICS, Monthly NM156G6: U.S. Trade by 3,4-Digit NAICS, Monthly</t>
  </si>
  <si>
    <t>M273G612: U.S. Trade by 5-Digit NAICS, Monthly NM273G6: U.S. Trade by 3,4-Digit NAICS, Monthly</t>
  </si>
  <si>
    <t>M158G612: U.S. Trade by 5-Digit NAICS, Monthly NM158G6: U.S. Trade by 3,4-Digit NAICS, Monthly</t>
  </si>
  <si>
    <t>M997G612: U.S. Trade by 5-Digit NAICS, Monthly NM997G6: U.S. Trade by 3,4-Digit NAICS, Monthly</t>
  </si>
  <si>
    <t>M112G612: U.S. Trade by 5-Digit NAICS, Monthly NM112G6: U.S. Trade by 3,4-Digit NAICS, Monthly</t>
  </si>
  <si>
    <t>M924F54A: 111 NM924F54: 111</t>
  </si>
  <si>
    <t>RESULT: 111 M001F54A: 111 M924F54A: 111 M156F54A: 111 M273F54A: 111 M158F54A: 111 M997F54A: 111 M112F54A: 111 NM001F54: 111 NM924F54: 111 NM156F54: 111 NM273F54: 111 NM158F54: 111 NM997F54: 111 NM112F54: 111</t>
  </si>
  <si>
    <t>M156F54A: 111 NM156F54: 111</t>
  </si>
  <si>
    <t>M273F54A: 111 NM273F54: 111</t>
  </si>
  <si>
    <t>M158F54A: 111 NM158F54: 111</t>
  </si>
  <si>
    <t>M997F54A: 111 NM997F54: 111</t>
  </si>
  <si>
    <t>M112F54A: 111 NM112F54: 111</t>
  </si>
  <si>
    <t>NM924G71: 111 NM924G7: 111 NM924G9: 111</t>
  </si>
  <si>
    <t>RESULT: 111 NM001G71: 111 NM924G71: 111 NM156G71: 111 NM273G71: 111 NM158G71: 111 NM997G71: 111 NM112G71: 111 NM001G7: 111 NM924G7: 111 NM156G7: 111 NM273G7: 111 NM158G7: 111 NM997G7: 111 NM112G7: 111 NM001G9: 111 NM924G9: 111 NM156G9: 111 NM273G9: 111 NM158G9: 111 NM997G9: 111 NM112G9: 111</t>
  </si>
  <si>
    <t>NM156G71: 111 NM156G7: 111 NM156G9: 111</t>
  </si>
  <si>
    <t>NM273G71: 111 NM273G7: 111 NM273G9: 111</t>
  </si>
  <si>
    <t>NM158G71: 111 NM158G7: 111 NM158G9: 111</t>
  </si>
  <si>
    <t>NM997G71: 111 NM997G7: 111 NM997G9: 111</t>
  </si>
  <si>
    <t>NM112G71: 111 NM112G7: 111 NM112G9: 111</t>
  </si>
  <si>
    <t>M924G71A: 111 NM924G7: 111 NM924G9: 111</t>
  </si>
  <si>
    <t>RESULT: 111 M001G71A: 111 M924G71A: 111 M156G71A: 111 M273G71A: 111 M158G71A: 111 M997G71A: 111 M112G71A: 111 NM001G7: 111 NM924G7: 111 NM156G7: 111 NM273G7: 111 NM158G7: 111 NM997G7: 111 NM112G7: 111 NM001G9: 111 NM924G9: 111 NM156G9: 111 NM273G9: 111 NM158G9: 111 NM997G9: 111 NM112G9: 111</t>
  </si>
  <si>
    <t>M156G71A: 111 NM156G7: 111 NM156G9: 111</t>
  </si>
  <si>
    <t>M273G71A: 111 NM273G7: 111 NM273G9: 111</t>
  </si>
  <si>
    <t>M158G71A: 111 NM158G7: 111 NM158G9: 111</t>
  </si>
  <si>
    <t>M997G71A: 111 NM997G7: 111 NM997G9: 111</t>
  </si>
  <si>
    <t>M112G71A: 111 NM112G7: 111 NM112G9: 111</t>
  </si>
  <si>
    <t>M924G612: 111 NM924G6: 111</t>
  </si>
  <si>
    <t>M001G612: 111 M924G612: 111 M156G612: 111 M273G612: 111 M158G612: 111 M997G612: 111 M112G612: 111 NM001G6: 111 NM924G6: 111 NM156G6: 111 NM273G6: 111 NM158G6: 111 NM997G6: 111 NM112G6: 111</t>
  </si>
  <si>
    <t>M156G612: 111 NM156G6: 111</t>
  </si>
  <si>
    <t>M273G612: 111 NM273G6: 111</t>
  </si>
  <si>
    <t>M158G612: 111 NM158G6: 111</t>
  </si>
  <si>
    <t>M997G612: 111 NM997G6: 111</t>
  </si>
  <si>
    <t>M112G612: 111 NM112G6: 111</t>
  </si>
  <si>
    <t>softwood tax base</t>
  </si>
  <si>
    <t>lum universe</t>
  </si>
  <si>
    <t>scaling factor</t>
  </si>
  <si>
    <t>world</t>
  </si>
  <si>
    <t>001</t>
  </si>
  <si>
    <t>2024 2024</t>
  </si>
  <si>
    <t>I0014403: US Imp from World: Wood in the Rough, Stripped or Not of Sapwood Etc (Thous. $) I0014407: US Imp from World: Wood Sawn or Chipped Length, Sliced Etc, &gt;6mm Thick(Thous. $)</t>
  </si>
  <si>
    <t>I9244403: US Imp from China: Wood in the Rough, Stripped or Not of Sapwood Etc (Thous. $) I9244407: US Imp from China: Wood Sawn or Chipped Length, Sliced Etc, &gt;6mm Thick(Thous. $)</t>
  </si>
  <si>
    <t>I1564403: US Imp from Canada: Wood in the Rough, Stripped or Not of Sapwood Etc (Thous. $) I1564407: US Imp from Canada: Wood Sawn or Chipped Length, Sliced Etc, &gt;6mm Thick(Thous.$)</t>
  </si>
  <si>
    <t>I2734403: US Imp from Mexico: Wood in the Rough, Stripped or Not of Sapwood Etc (Thous. $) I2734407: US Imp from Mexico: Wood Sawn or Chipped Length, Sliced Etc, &gt;6mm Thick(Thous.$)</t>
  </si>
  <si>
    <t>I1584403: US Imp from Japan: Wood in the Rough, Stripped or Not of Sapwood Etc (Thous. $) I1584407: US Imp from Japan: Wood Sawn or Chipped Length, Sliced Etc, &gt;6mm Thick(Thous. $)</t>
  </si>
  <si>
    <t>I9974403: US Imp from EU: Wood in the Rough, Stripped or Not of Sapwood Etc (Thous. $) I9974407: US Imp from EU: Wood Sawn or Chipped Length, Sliced Etc, &gt;6mm Thick (Thous. $)</t>
  </si>
  <si>
    <t>I1124403: US Imp from UK: Wood in the Rough, Stripped or Not of Sapwood Etc (Thous. $) I1124407: US Imp from UK: Wood Sawn or Chipped Length, Sliced Etc, &gt;6mm Thick (Thous. $)</t>
  </si>
  <si>
    <t>I00144: US Imports from the World: Wood and Articles of Wood; Wood Charcoal (Thous.$) I0014401: US Imports from World: Fuel Wood in Logs Etc; Wood in Chips, Etc (Thous. $) I0014401: US Imports from World: Fuel Wood in Logs Etc; Wood in Chi.</t>
  </si>
  <si>
    <t>I92444: US Imports from China: Wood and Articles of Wood; Wood Charcoal (Thous.$) I9244401: US Imports from China: Fuel Wood in Logs Etc; Wood in Chips, Etc (Thous. $) I9244401: US Imports from China: Fuel Wood in Logs Etc; Wood in Chips, .</t>
  </si>
  <si>
    <t>I15644: US Imports from Canada: Wood and Articles of Wood; Wood Charcoal (Thous.$) I1564401: US Imports from Canada: Fuel Wood in Logs Etc; Wood in Chips, Etc (Thous. $) I1564401: US Imports from Canada: Fuel Wood in Logs Etc; Wood in Chip.</t>
  </si>
  <si>
    <t>I27344: US Imports from Mexico: Wood and Articles of Wood; Wood Charcoal (Thous.$) I2734401: US Imports from Mexico: Fuel Wood in Logs Etc; Wood in Chips, Etc (Thous. $) I2734401: US Imports from Mexico: Fuel Wood in Logs Etc; Wood in Chip.</t>
  </si>
  <si>
    <t>I15844: US Imports from Japan: Wood and Articles of Wood; Wood Charcoal (Thous.$) I1584401: US Imports from Japan: Fuel Wood in Logs Etc; Wood in Chips, Etc (Thous. $) I1584401: US Imports from Japan: Fuel Wood in Logs Etc; Wood in Chips, .</t>
  </si>
  <si>
    <t>I99744: US Imports from European Union: Wood &amp; Articles of Wood; Wood Charcoal (Thous.$) I9974401: US Imp from European Union: Fuel Wood in Logs Etc; Wood in Chips, Etc (Thous. $) I9974401: US Imp from European Union: Fuel Wood in Logs Etc.</t>
  </si>
  <si>
    <t>I11244: US Imports from United Kingdom: Wood &amp; Articles of Wood; Wood Charcoal (Thous.$) I1124401: US Imp from United Kingdom: Fuel Wood in Logs Etc; Wood in Chips, Etc (Thous. $) I1124401: US Imp from United Kingdom: Fuel Wood in Logs Etc.</t>
  </si>
  <si>
    <t>RESULT: 2002 I0014403: 2002 &lt;- Jan-2002 I0014407: 2002 &lt;- Jan-2002</t>
  </si>
  <si>
    <t>RESULT: 2002 I9244403: 2002 &lt;- Jan-2002 I9244407: 2002 &lt;- Jan-2002</t>
  </si>
  <si>
    <t>RESULT: 2002 I1564403: 2002 &lt;- Jan-2002 I1564407: 2002 &lt;- Jan-2002</t>
  </si>
  <si>
    <t>RESULT: 2002 I2734403: 2002 &lt;- Jan-2002 I2734407: 2002 &lt;- Jan-2002</t>
  </si>
  <si>
    <t>RESULT: 2002 I1584403: 2002 &lt;- Jan-2002 I1584407: 2002 &lt;- Jan-2002</t>
  </si>
  <si>
    <t>RESULT: 2002 I9974403: 2002 &lt;- Jan-2002 I9974407: 2002 &lt;- Jan-2002</t>
  </si>
  <si>
    <t>RESULT: 2002 I1124403: 2002 &lt;- Jan-2002 I1124407: 2002 &lt;- Jan-2002</t>
  </si>
  <si>
    <t>RESULT: 2002 I00144: 2002 &lt;- Jan-2002 I0014401: 2002 &lt;- Jan-2002 I0014401: 2002 &lt;- Jan-2002</t>
  </si>
  <si>
    <t>RESULT: 2002 I92444: 2002 &lt;- Jan-2002 I9244401: 2002 &lt;- Jan-2002 I9244401: 2002 &lt;- Jan-2002</t>
  </si>
  <si>
    <t>RESULT: 2002 I15644: 2002 &lt;- Jan-2002 I1564401: 2002 &lt;- Jan-2002 I1564401: 2002 &lt;- Jan-2002</t>
  </si>
  <si>
    <t>RESULT: 2002 I27344: 2002 &lt;- Jan-2002 I2734401: 2002 &lt;- Jan-2002 I2734401: 2002 &lt;- Jan-2002</t>
  </si>
  <si>
    <t>RESULT: 2002 I15844: 2002 &lt;- Jan-2002 I1584401: 2002 &lt;- Jan-2002 I1584401: 2002 &lt;- Jan-2002</t>
  </si>
  <si>
    <t>RESULT: 2002 I99744: 2002 &lt;- Jan-2002 I9974401: 2002 &lt;- Jan-2002 I9974401: 2002 &lt;- Jan-2002</t>
  </si>
  <si>
    <t>RESULT: 2002 I11244: 2002 &lt;- Jan-2002 I1124401: 2002 &lt;- Jan-2002 I1124401: 2002 &lt;- Jan-2002</t>
  </si>
  <si>
    <t>RESULT: 2024 I0014403: 2024 &lt;- Jul-2025 I0014407: 2024 &lt;- Jul-2025</t>
  </si>
  <si>
    <t>RESULT: 2024 I9244403: 2024 &lt;- Jul-2025 I9244407: 2024 &lt;- Jul-2025</t>
  </si>
  <si>
    <t>RESULT: 2024 I1564403: 2024 &lt;- Jul-2025 I1564407: 2024 &lt;- Jul-2025</t>
  </si>
  <si>
    <t>RESULT: 2024 I2734403: 2024 &lt;- Jul-2025 I2734407: 2024 &lt;- Jul-2025</t>
  </si>
  <si>
    <t>RESULT: 2024 I1584403: 2024 &lt;- Jul-2025 I1584407: 2024 &lt;- Jul-2025</t>
  </si>
  <si>
    <t>RESULT: 2024 I9974403: 2024 &lt;- Jul-2025 I9974407: 2024 &lt;- Jul-2025</t>
  </si>
  <si>
    <t>RESULT: 2024 I1124403: 2024 &lt;- Jul-2025 I1124407: 2024 &lt;- Jul-2025</t>
  </si>
  <si>
    <t>RESULT: 2024 I00144: 2024 &lt;- Jul-2025 I0014401: 2024 &lt;- Jul-2025 I0014401: 2024 &lt;- Jul-2025</t>
  </si>
  <si>
    <t>RESULT: 2024 I92444: 2024 &lt;- Jul-2025 I9244401: 2024 &lt;- Jul-2025 I9244401: 2024 &lt;- Jul-2025</t>
  </si>
  <si>
    <t>RESULT: 2024 I15644: 2024 &lt;- Jul-2025 I1564401: 2024 &lt;- Jul-2025 I1564401: 2024 &lt;- Jul-2025</t>
  </si>
  <si>
    <t>RESULT: 2024 I27344: 2024 &lt;- Jul-2025 I2734401: 2024 &lt;- Jul-2025 I2734401: 2024 &lt;- Jul-2025</t>
  </si>
  <si>
    <t>RESULT: 2024 I15844: 2024 &lt;- Jul-2025 I1584401: 2024 &lt;- Jul-2025 I1584401: 2024 &lt;- Jul-2025</t>
  </si>
  <si>
    <t>RESULT: 2024 I99744: 2024 &lt;- Jul-2025 I9974401: 2024 &lt;- Jul-2025 I9974401: 2024 &lt;- Jul-2025</t>
  </si>
  <si>
    <t>RESULT: 2024 I11244: 2024 &lt;- Jul-2025 I1124401: 2024 &lt;- Jul-2025 I1124401: 2024 &lt;- Jul-2025</t>
  </si>
  <si>
    <t>I0014403: Census Bureau I0014407: Census Bureau</t>
  </si>
  <si>
    <t>I9244403: Census Bureau I9244407: Census Bureau</t>
  </si>
  <si>
    <t>I1564403: Census Bureau I1564407: Census Bureau</t>
  </si>
  <si>
    <t>I2734403: Census Bureau I2734407: Census Bureau</t>
  </si>
  <si>
    <t>I1584403: Census Bureau I1584407: Census Bureau</t>
  </si>
  <si>
    <t>I9974403: Census Bureau I9974407: Census Bureau</t>
  </si>
  <si>
    <t>I1124403: Census Bureau I1124407: Census Bureau</t>
  </si>
  <si>
    <t>I00144: Census Bureau I0014401: Census Bureau I0014401: Census Bureau</t>
  </si>
  <si>
    <t>I92444: Census Bureau I9244401: Census Bureau I9244401: Census Bureau</t>
  </si>
  <si>
    <t>I15644: Census Bureau I1564401: Census Bureau I1564401: Census Bureau</t>
  </si>
  <si>
    <t>I27344: Census Bureau I2734401: Census Bureau I2734401: Census Bureau</t>
  </si>
  <si>
    <t>I15844: Census Bureau I1584401: Census Bureau I1584401: Census Bureau</t>
  </si>
  <si>
    <t>I99744: Census Bureau I9974401: Census Bureau I9974401: Census Bureau</t>
  </si>
  <si>
    <t>I11244: Census Bureau I1124401: Census Bureau I1124401: Census Bureau</t>
  </si>
  <si>
    <t>RESULT: Sum I0014403: Sum I0014407: Sum</t>
  </si>
  <si>
    <t>RESULT: Sum I9244403: Sum I9244407: Sum</t>
  </si>
  <si>
    <t>RESULT: Sum I1564403: Sum I1564407: Sum</t>
  </si>
  <si>
    <t>RESULT: Sum I2734403: Sum I2734407: Sum</t>
  </si>
  <si>
    <t>RESULT: Sum I1584403: Sum I1584407: Sum</t>
  </si>
  <si>
    <t>RESULT: Sum I9974403: Sum I9974407: Sum</t>
  </si>
  <si>
    <t>RESULT: Sum I1124403: Sum I1124407: Sum</t>
  </si>
  <si>
    <t>RESULT: Sum I00144: Sum I0014401: Sum I0014401: Sum</t>
  </si>
  <si>
    <t>RESULT: Sum I92444: Sum I9244401: Sum I9244401: Sum</t>
  </si>
  <si>
    <t>RESULT: Sum I15644: Sum I1564401: Sum I1564401: Sum</t>
  </si>
  <si>
    <t>RESULT: Sum I27344: Sum I2734401: Sum I2734401: Sum</t>
  </si>
  <si>
    <t>RESULT: Sum I15844: Sum I1584401: Sum I1584401: Sum</t>
  </si>
  <si>
    <t>RESULT: Sum I99744: Sum I9974401: Sum I9974401: Sum</t>
  </si>
  <si>
    <t>RESULT: Sum I11244: Sum I1124401: Sum I1124401: Sum</t>
  </si>
  <si>
    <t>I0014403: Sep-04-2025 11:30 I0014407: Sep-04-2025 11:30</t>
  </si>
  <si>
    <t>I9244403: Sep-04-2025 10:27 I9244407: Sep-04-2025 10:27</t>
  </si>
  <si>
    <t>I1564403: Sep-04-2025 11:30 I1564407: Sep-04-2025 11:30</t>
  </si>
  <si>
    <t>I2734403: Sep-04-2025 10:27 I2734407: Sep-04-2025 10:27</t>
  </si>
  <si>
    <t>I1584403: Sep-04-2025 11:30 I1584407: Sep-04-2025 11:30</t>
  </si>
  <si>
    <t>I9974403: Sep-04-2025 10:27 I9974407: Sep-04-2025 10:27</t>
  </si>
  <si>
    <t>I1124403: Sep-04-2025 11:30 I1124407: Sep-04-2025 11:30</t>
  </si>
  <si>
    <t>I00144: Sep-04-2025 09:23 I0014401: Sep-04-2025 11:30 I0014401: Sep-04-2025 11:30</t>
  </si>
  <si>
    <t>I92444: Sep-04-2025 09:23 I9244401: Sep-04-2025 10:27 I9244401: Sep-04-2025 10:27</t>
  </si>
  <si>
    <t>I15644: Sep-04-2025 09:23 I1564401: Sep-04-2025 11:30 I1564401: Sep-04-2025 11:30</t>
  </si>
  <si>
    <t>I27344: Sep-04-2025 09:23 I2734401: Sep-04-2025 10:27 I2734401: Sep-04-2025 10:27</t>
  </si>
  <si>
    <t>I15844: Sep-04-2025 09:23 I1584401: Sep-04-2025 11:30 I1584401: Sep-04-2025 11:30</t>
  </si>
  <si>
    <t>I99744: Sep-04-2025 09:23 I9974401: Sep-04-2025 10:27 I9974401: Sep-04-2025 10:27</t>
  </si>
  <si>
    <t>I11244: Sep-04-2025 09:23 I1124401: Sep-04-2025 14:32 I1124401: Sep-04-2025 14:32</t>
  </si>
  <si>
    <t>RESULT: Annual I0014403: Annual &lt;- Monthly I0014407: Annual &lt;- Monthly</t>
  </si>
  <si>
    <t>RESULT: Annual I9244403: Annual &lt;- Monthly I9244407: Annual &lt;- Monthly</t>
  </si>
  <si>
    <t>RESULT: Annual I1564403: Annual &lt;- Monthly I1564407: Annual &lt;- Monthly</t>
  </si>
  <si>
    <t>RESULT: Annual I2734403: Annual &lt;- Monthly I2734407: Annual &lt;- Monthly</t>
  </si>
  <si>
    <t>RESULT: Annual I1584403: Annual &lt;- Monthly I1584407: Annual &lt;- Monthly</t>
  </si>
  <si>
    <t>RESULT: Annual I9974403: Annual &lt;- Monthly I9974407: Annual &lt;- Monthly</t>
  </si>
  <si>
    <t>RESULT: Annual I1124403: Annual &lt;- Monthly I1124407: Annual &lt;- Monthly</t>
  </si>
  <si>
    <t>RESULT: Annual I00144: Annual &lt;- Monthly I0014401: Annual &lt;- Monthly I0014401: Annual &lt;- Monthly</t>
  </si>
  <si>
    <t>RESULT: Annual I92444: Annual &lt;- Monthly I9244401: Annual &lt;- Monthly I9244401: Annual &lt;- Monthly</t>
  </si>
  <si>
    <t>RESULT: Annual I15644: Annual &lt;- Monthly I1564401: Annual &lt;- Monthly I1564401: Annual &lt;- Monthly</t>
  </si>
  <si>
    <t>RESULT: Annual I27344: Annual &lt;- Monthly I2734401: Annual &lt;- Monthly I2734401: Annual &lt;- Monthly</t>
  </si>
  <si>
    <t>RESULT: Annual I15844: Annual &lt;- Monthly I1584401: Annual &lt;- Monthly I1584401: Annual &lt;- Monthly</t>
  </si>
  <si>
    <t>RESULT: Annual I99744: Annual &lt;- Monthly I9974401: Annual &lt;- Monthly I9974401: Annual &lt;- Monthly</t>
  </si>
  <si>
    <t>RESULT: Annual I11244: Annual &lt;- Monthly I1124401: Annual &lt;- Monthly I1124401: Annual &lt;- Monthly</t>
  </si>
  <si>
    <t>RESULT: US$ I0014403: US$ I0014407: US$</t>
  </si>
  <si>
    <t>RESULT: US$ I9244403: US$ I9244407: US$</t>
  </si>
  <si>
    <t>RESULT: US$ I1564403: US$ I1564407: US$</t>
  </si>
  <si>
    <t>RESULT: US$ I2734403: US$ I2734407: US$</t>
  </si>
  <si>
    <t>RESULT: US$ I1584403: US$ I1584407: US$</t>
  </si>
  <si>
    <t>RESULT: US$ I9974403: US$ I9974407: US$</t>
  </si>
  <si>
    <t>RESULT: US$ I1124403: US$ I1124407: US$</t>
  </si>
  <si>
    <t>RESULT: US$ I00144: US$ I0014401: US$ I0014401: US$</t>
  </si>
  <si>
    <t>RESULT: US$ I92444: US$ I9244401: US$ I9244401: US$</t>
  </si>
  <si>
    <t>RESULT: US$ I15644: US$ I1564401: US$ I1564401: US$</t>
  </si>
  <si>
    <t>RESULT: US$ I27344: US$ I2734401: US$ I2734401: US$</t>
  </si>
  <si>
    <t>RESULT: US$ I15844: US$ I1584401: US$ I1584401: US$</t>
  </si>
  <si>
    <t>RESULT: US$ I99744: US$ I9974401: US$ I9974401: US$</t>
  </si>
  <si>
    <t>RESULT: US$ I11244: US$ I1124401: US$ I1124401: US$</t>
  </si>
  <si>
    <t>RESULT: 3 I0014403: 3 I0014407: 3</t>
  </si>
  <si>
    <t>RESULT: 3 I9244403: 3 I9244407: 3</t>
  </si>
  <si>
    <t>RESULT: 3 I1564403: 3 I1564407: 3</t>
  </si>
  <si>
    <t>RESULT: 3 I2734403: 3 I2734407: 3</t>
  </si>
  <si>
    <t>RESULT: 3 I1584403: 3 I1584407: 3</t>
  </si>
  <si>
    <t>RESULT: 3 I9974403: 3 I9974407: 3</t>
  </si>
  <si>
    <t>RESULT: 3 I1124403: 3 I1124407: 3</t>
  </si>
  <si>
    <t>RESULT: 3 I00144: 3 I0014401: 3 I0014401: 3</t>
  </si>
  <si>
    <t>RESULT: 3 I92444: 3 I9244401: 3 I9244401: 3</t>
  </si>
  <si>
    <t>RESULT: 3 I15644: 3 I1564401: 3 I1564401: 3</t>
  </si>
  <si>
    <t>RESULT: 3 I27344: 3 I2734401: 3 I2734401: 3</t>
  </si>
  <si>
    <t>RESULT: 3 I15844: 3 I1584401: 3 I1584401: 3</t>
  </si>
  <si>
    <t>RESULT: 3 I99744: 3 I9974401: 3 I9974401: 3</t>
  </si>
  <si>
    <t>RESULT: 3 I11244: 3 I1124401: 3 I1124401: 3</t>
  </si>
  <si>
    <t>I0014403: I23 I0014407: I23</t>
  </si>
  <si>
    <t>I9244403: I23 I9244407: I23</t>
  </si>
  <si>
    <t>I1564403: I23 I1564407: I23</t>
  </si>
  <si>
    <t>I2734403: I23 I2734407: I23</t>
  </si>
  <si>
    <t>I1584403: I23 I1584407: I23</t>
  </si>
  <si>
    <t>I9974403: I23 I9974407: I23</t>
  </si>
  <si>
    <t>I1124403: I23 I1124407: I23</t>
  </si>
  <si>
    <t>I00144: I92 I0014401: I23 I0014401: I23</t>
  </si>
  <si>
    <t>I92444: I92 I9244401: I23 I9244401: I23</t>
  </si>
  <si>
    <t>I15644: I92 I1564401: I23 I1564401: I23</t>
  </si>
  <si>
    <t>I27344: I92 I2734401: I23 I2734401: I23</t>
  </si>
  <si>
    <t>I15844: I92 I1584401: I23 I1584401: I23</t>
  </si>
  <si>
    <t>I99744: I92 I9974401: I23 I9974401: I23</t>
  </si>
  <si>
    <t>I11244: I92 I1124401: I23 I1124401: I23</t>
  </si>
  <si>
    <t>I0014403: U.S. Imports by 4-Digit HS, Monthly I0014407: U.S. Imports by 4-Digit HS, Monthly</t>
  </si>
  <si>
    <t>I9244403: U.S. Imports by 4-Digit HS, Monthly I9244407: U.S. Imports by 4-Digit HS, Monthly</t>
  </si>
  <si>
    <t>I1564403: U.S. Imports by 4-Digit HS, Monthly I1564407: U.S. Imports by 4-Digit HS, Monthly</t>
  </si>
  <si>
    <t>I2734403: U.S. Imports by 4-Digit HS, Monthly I2734407: U.S. Imports by 4-Digit HS, Monthly</t>
  </si>
  <si>
    <t>I1584403: U.S. Imports by 4-Digit HS, Monthly I1584407: U.S. Imports by 4-Digit HS, Monthly</t>
  </si>
  <si>
    <t>I9974403: U.S. Imports by 4-Digit HS, Monthly I9974407: U.S. Imports by 4-Digit HS, Monthly</t>
  </si>
  <si>
    <t>I1124403: U.S. Imports by 4-Digit HS, Monthly I1124407: U.S. Imports by 4-Digit HS, Monthly</t>
  </si>
  <si>
    <t>I00144: U.S. Exports and Imports by 2-Digit HS, Monthly I0014401: U.S. Imports by 4-Digit HS, Monthly I0014401: U.S. Imports by 4-Digit HS, Monthly</t>
  </si>
  <si>
    <t>I92444: U.S. Exports and Imports by 2-Digit HS, Monthly I9244401: U.S. Imports by 4-Digit HS, Monthly I9244401: U.S. Imports by 4-Digit HS, Monthly</t>
  </si>
  <si>
    <t>I15644: U.S. Exports and Imports by 2-Digit HS, Monthly I1564401: U.S. Imports by 4-Digit HS, Monthly I1564401: U.S. Imports by 4-Digit HS, Monthly</t>
  </si>
  <si>
    <t>I27344: U.S. Exports and Imports by 2-Digit HS, Monthly I2734401: U.S. Imports by 4-Digit HS, Monthly I2734401: U.S. Imports by 4-Digit HS, Monthly</t>
  </si>
  <si>
    <t>I15844: U.S. Exports and Imports by 2-Digit HS, Monthly I1584401: U.S. Imports by 4-Digit HS, Monthly I1584401: U.S. Imports by 4-Digit HS, Monthly</t>
  </si>
  <si>
    <t>I99744: U.S. Exports and Imports by 2-Digit HS, Monthly I9974401: U.S. Imports by 4-Digit HS, Monthly I9974401: U.S. Imports by 4-Digit HS, Monthly</t>
  </si>
  <si>
    <t>I11244: U.S. Exports and Imports by 2-Digit HS, Monthly I1124401: U.S. Imports by 4-Digit HS, Monthly I1124401: U.S. Imports by 4-Digit HS, Monthly</t>
  </si>
  <si>
    <t>I0014403: 111 I0014407: 111</t>
  </si>
  <si>
    <t>I9244403: 111 I9244407: 111</t>
  </si>
  <si>
    <t>I1564403: 111 I1564407: 111</t>
  </si>
  <si>
    <t>I2734403: 111 I2734407: 111</t>
  </si>
  <si>
    <t>I1584403: 111 I1584407: 111</t>
  </si>
  <si>
    <t>I9974403: 111 I9974407: 111</t>
  </si>
  <si>
    <t>I1124403: 111 I1124407: 111</t>
  </si>
  <si>
    <t>I00144: 111 I0014401: 111 I0014401: 111</t>
  </si>
  <si>
    <t>I92444: 111 I9244401: 111 I9244401: 111</t>
  </si>
  <si>
    <t>I15644: 111 I1564401: 111 I1564401: 111</t>
  </si>
  <si>
    <t>I27344: 111 I2734401: 111 I2734401: 111</t>
  </si>
  <si>
    <t>I15844: 111 I1584401: 111 I1584401: 111</t>
  </si>
  <si>
    <t>I99744: 111 I9974401: 111 I9974401: 111</t>
  </si>
  <si>
    <t>I11244: 111 I1124401: 111 I1124401: 111</t>
  </si>
  <si>
    <t>((I9248541@USTRADE + (((((((I9248542@USTRADE + I9248528@USTRADE) + I9248524@USTRADE) + I9248523@USTRADE) + I9248517@USTRADE) + I9248486@USTRADE) + I9248473@USTRADE) + I9248471@USTRADE)) / NM924G4@USTRADE)</t>
  </si>
  <si>
    <t>((I1568541@USTRADE + (((((((I1568542@USTRADE + I1568528@USTRADE) + I1568524@USTRADE) + I1568523@USTRADE) + I1568517@USTRADE) + I1568486@USTRADE) + I1568473@USTRADE) + I1568471@USTRADE)) / NM156G4@USTRADE)</t>
  </si>
  <si>
    <t>((I2738541@USTRADE + (((((((I2738542@USTRADE + I2738528@USTRADE) + I2738524@USTRADE) + I2738523@USTRADE) + I2738517@USTRADE) + I2738486@USTRADE) + I2738473@USTRADE) + I2738471@USTRADE)) / NM273G4@USTRADE)</t>
  </si>
  <si>
    <t>((I1588541@USTRADE + (((((((I1588542@USTRADE + I1588528@USTRADE) + I1588524@USTRADE) + I1588523@USTRADE) + I1588517@USTRADE) + I1588486@USTRADE) + I1588473@USTRADE) + I1588471@USTRADE)) / NM158G4@USTRADE)</t>
  </si>
  <si>
    <t>((I9978541@USTRADE + (((((((I9978542@USTRADE + I9978528@USTRADE) + I9978524@USTRADE) + I9978523@USTRADE) + I9978517@USTRADE) + I9978486@USTRADE) + I9978473@USTRADE) + I9978471@USTRADE)) / NM997G4@USTRADE)</t>
  </si>
  <si>
    <t>((I1128541@USTRADE + (((((((I1128542@USTRADE + I1128528@USTRADE) + I1128524@USTRADE) + I1128523@USTRADE) + I1128517@USTRADE) + I1128486@USTRADE) + I1128473@USTRADE) + I1128471@USTRADE)) / NM112G4@USTRADE)</t>
  </si>
  <si>
    <t>((I0018541@USTRADE + (((((((I0018542@USTRADE + I0018528@USTRADE) + I0018524@USTRADE) + I0018523@USTRADE) + I0018517@USTRADE) + I0018486@USTRADE) + I0018473@USTRADE) + I0018471@USTRADE)) / NM001G4@USTRADE)</t>
  </si>
  <si>
    <t xml:space="preserve"> NM924G4@USTRADE</t>
  </si>
  <si>
    <t xml:space="preserve"> NM156G4@USTRADE</t>
  </si>
  <si>
    <t xml:space="preserve"> NM273G4@USTRADE</t>
  </si>
  <si>
    <t xml:space="preserve"> NM158G4@USTRADE</t>
  </si>
  <si>
    <t xml:space="preserve"> NM997G4@USTRADE</t>
  </si>
  <si>
    <t xml:space="preserve"> NM112G4@USTRADE</t>
  </si>
  <si>
    <t xml:space="preserve"> NM001G4@USTRADE</t>
  </si>
  <si>
    <t>I9248541: US Imports from China: Semiconductor Devices; Light-Emit Diodes Etc (Thous. $) I9248542: US Imports from China: Electronic Integrated Circuits &amp; Microassemblies(Thous.$) I9248528: US Imports from China: TV Receivers, Incl Video Monitors &amp; Projectors (Thous. $) I9248524: US Imports from China: Records, Tapes &amp; Other Recorded Sound Media Etc(Thous. $) I9248523: US Imp from China: Prepared Unrecorded Media [No Film] for Sound Etc (Thous. $) I9248517: US Imports from China: Electric Apparatus for Line Telephony Etc, Parts(Thous.$) I9248486: US Imp: China: Machin/Apps for Manufacture of Semiconductor Boules/Etc(Thous. $) I9248473: US Imp from China: Parts Etc for Typewriters &amp; Other Office Machines (Thous. $) I9248471: US Imp fr China: Automatic Data Process Machines; Magnetic Readers Etc(Thous. $) NM924G4: US Gen Imp Cust Val fr China: NAICS 334 Computer &amp; Electronic Prod(NSA, Thous.$)</t>
  </si>
  <si>
    <t>I1568541: US Imports from Canada: Semiconductor Devices; Light-Emit Diodes Etc (Thous. $) I1568542: US Imp from Canada: Electronic Integrated Circuits &amp; Microassemblies (Thous. $) I1568528: US Imports from Canada: TV Receivers, Incl Video Monitors &amp; Projectors(Thous. $) I1568524: US Imports from Canada: Records, Tapes &amp; Other Recorded Sound Media Etc(Thous.$) I1568523: US Imp from Canada: Prepared Unrecorded Media [No Film] for Sound Etc (Thous. $) I1568517: US Imp from Canada: Electric Apparatus for Line Telephony Etc, Parts (Thous. $) I1568486: US Imp: Canada: Machin/Apps for Manufacture of Semiconductor Boules/Etc(Thous.$) I1568473: US Imp from Canada: Parts Etc for Typewriters &amp; Other Office Machines (Thous. $) I1568471: US Imp fr Canada: Automatic Data Process Machines; Magnetic Readers Etc(Thous.$) NM156G4: US Gen Imp Cust Val fr Canada: NAICS 334 Computer/Electronic Prod(NSA, Thous.$)</t>
  </si>
  <si>
    <t>I2738541: US Imports from Mexico: Semiconductor Devices; Light-Emit Diodes Etc (Thous. $) I2738542: US Imp from Mexico: Electronic Integrated Circuits &amp; Microassemblies (Thous. $) I2738528: US Imports from Mexico: TV Receivers, Incl Video Monitors &amp; Projectors(Thous. $) I2738524: US Imports from Mexico: Records, Tapes &amp; Other Recorded Sound Media Etc(Thous.$) I2738523: US Imp from Mexico: Prepared Unrecorded Media [No Film] for Sound Etc (Thous. $) I2738517: US Imp from Mexico: Electric Apparatus for Line Telephony Etc, Parts (Thous. $) I2738486: US Imp: Mexico: Machin/Apps for Manufacture of Semiconductor Boules/Etc(Thous.$) I2738473: US Imp from Mexico: Parts Etc for Typewriters &amp; Other Office Machines (Thous. $) I2738471: US Imp fr Mexico: Automatic Data Process Machines; Magnetic Readers Etc(Thous.$) NM273G4: US Gen Imp Cust Val fr Mexico: NAICS 334 Computer/Electronic Prod(NSA, Thous.$)</t>
  </si>
  <si>
    <t>I1588541: US Imports from Japan: Semiconductor Devices; Light-Emit Diodes Etc (Thous. $) I1588542: US Imports from Japan: Electronic Integrated Circuits &amp; Microassemblies(Thous.$) I1588528: US Imports from Japan: TV Receivers, Incl Video Monitors &amp; Projectors (Thous. $) I1588524: US Imports from Japan: Records, Tapes &amp; Other Recorded Sound Media Etc(Thous. $) I1588523: US Imp from Japan: Prepared Unrecorded Media [No Film] for Sound Etc (Thous. $) I1588517: US Imports from Japan: Electric Apparatus for Line Telephony Etc, Parts(Thous.$) I1588486: US Imp: Japan: Machin/Apps for Manufacture of Semiconductor Boules/Etc(Thous. $) I1588473: US Imp from Japan: Parts Etc for Typewriters &amp; Other Office Machines (Thous. $) I1588471: US Imp fr Japan: Automatic Data Process Machines; Magnetic Readers Etc(Thous. $) NM158G4: US Gen Imp Cust Val fr Japan: NAICS 334 Computer &amp; Electronic Prod(NSA, Thous.$)</t>
  </si>
  <si>
    <t>I9978541: US Imp from EU: Semiconductor Devices; Light-Emit Diodes Etc (Thous. $) I9978542: US Imp from EU: Electronic Integrated Circuits &amp; Microassemblies (Thous. $) I9978528: US Imp from EU: TV Receivers, Incl Video Monitors &amp; Projectors (Thous. $) I9978524: US Imp from EU: Records, Tapes &amp; Other Recorded Sound Media Etc (Thous. $) I9978523: US Imp from EU: Prepared Unrecorded Media [No Film] for Sound Etc (Thous. $) I9978517: US Imp from EU: Electric Apparatus for Line Telephony Etc, Parts (Thous. $) I9978486: US Imp fr EU: Machin/Apps for Manufacture of Semiconductor Boules, Etc(Thous. $) I9978473: US Imp from EU: Parts Etc for Typewriters &amp; Other Office Machines (Thous. $) I9978471: US Imp from EU: Automatic Data Process Machines; Magnetic Readers Etc (Thous. $) NM997G4: US Imports from EU: NAICS 334 Computer &amp; Electronic Products(NSA, Thous.$)</t>
  </si>
  <si>
    <t>I1128541: US Imp from UK: Semiconductor Devices; Light-Emit Diodes Etc (Thous. $) I1128542: US Imp from UK: Electronic Integrated Circuits &amp; Microassemblies (Thous. $) I1128528: US Imp from UK: TV Receivers, Incl Video Monitors &amp; Projectors (Thous. $) I1128524: US Imp from UK: Records, Tapes &amp; Other Recorded Sound Media Etc (Thous. $) I1128523: US Imp from UK: Prepared Unrecorded Media [No Film] for Sound Etc (Thous. $) I1128517: US Imp from UK: Electric Apparatus for Line Telephony Etc, Parts (Thous. $) I1128486: US Imp fr UK: Machin/Apps for Manufacture of Semiconductor Boules, Etc(Thous. $) I1128473: US Imp from UK: Parts Etc for Typewriters &amp; Other Office Machines (Thous. $) I1128471: US Imp from UK: Automatic Data Process Machines; Magnetic Readers Etc (Thous. $) NM112G4: US Gen Imp Cust Val fr UK: NAICS 334 Computer &amp; Electronic Prod(NSA, Thous.$)</t>
  </si>
  <si>
    <t>I0018541: US Imports from World: Semiconductor Devices; Light-Emit Diodes Etc (Thous. $) I0018542: US Imports from World: Electronic Integrated Circuits &amp; Microassemblies(Thous.$) I0018528: US Imports from World: TV Receivers, Incl Video Monitors &amp; Projectors (Thous. $) I0018524: US Imports from World: Records, Tapes &amp; Other Recorded Sound Media Etc(Thous. $) I0018523: US Imp from World: Prepared Unrecorded Media [No Film] for Sound Etc (Thous. $) I0018517: US Imports from World: Electric Apparatus for Line Telephony Etc, Parts(Thous.$) I0018486: US Imp: World: Machin/Apps for Manufacture of Semiconductor Boules/Etc(Thous. $) I0018473: US Imp from World: Parts Etc for Typewriters &amp; Other Office Machines (Thous. $) I0018471: US Imp fr World: Automatic Data Process Machines; Magnetic Readers Etc(Thous. $) NM001G4: US Gen Imp Cust Val fr World: NAICS 334 Computer &amp; Electronic Prod(NSA, Thous.$)</t>
  </si>
  <si>
    <t>US Gen Imp Cust Val fr China: NAICS 334 Computer &amp; Electronic Prod(NSA, Thous.$)</t>
  </si>
  <si>
    <t>US Gen Imp Cust Val fr Canada: NAICS 334 Computer/Electronic Prod(NSA, Thous.$)</t>
  </si>
  <si>
    <t>US Gen Imp Cust Val fr Mexico: NAICS 334 Computer/Electronic Prod(NSA, Thous.$)</t>
  </si>
  <si>
    <t>US Gen Imp Cust Val fr Japan: NAICS 334 Computer &amp; Electronic Prod(NSA, Thous.$)</t>
  </si>
  <si>
    <t>US Imports from EU: NAICS 334 Computer &amp; Electronic Products(NSA, Thous.$)</t>
  </si>
  <si>
    <t>US Gen Imp Cust Val fr UK: NAICS 334 Computer &amp; Electronic Prod(NSA, Thous.$)</t>
  </si>
  <si>
    <t>US Gen Imp Cust Val fr World: NAICS 334 Computer &amp; Electronic Prod(NSA, Thous.$)</t>
  </si>
  <si>
    <t>RESULT: 2002 I9248541: 2002 &lt;- Jan-2002 I9248542: 2002 &lt;- Jan-2002 I9248528: 2002 &lt;- Jan-2002 I9248524: 2002 &lt;- Jan-2002 I9248523: 2002 &lt;- Jan-2002 I9248517: 2002 &lt;- Jan-2002 I9248486: 2002 &lt;- Jan-2002 I9248473: 2002 &lt;- Jan-2002 I9248471: 2002 &lt;- Jan-2002 NM924G4: 2002 &lt;- Jan-2000</t>
  </si>
  <si>
    <t>RESULT: 2002 I1568541: 2002 &lt;- Jan-2002 I1568542: 2002 &lt;- Jan-2002 I1568528: 2002 &lt;- Jan-2002 I1568524: 2002 &lt;- Jan-2002 I1568523: 2002 &lt;- Jan-2002 I1568517: 2002 &lt;- Jan-2002 I1568486: 2002 &lt;- Jan-2002 I1568473: 2002 &lt;- Jan-2002 I1568471: 2002 &lt;- Jan-2002 NM156G4: 2002 &lt;- Jan-2000</t>
  </si>
  <si>
    <t>RESULT: 2002 I2738541: 2002 &lt;- Jan-2002 I2738542: 2002 &lt;- Jan-2002 I2738528: 2002 &lt;- Jan-2002 I2738524: 2002 &lt;- Jan-2002 I2738523: 2002 &lt;- Jan-2002 I2738517: 2002 &lt;- Jan-2002 I2738486: 2002 &lt;- Jan-2002 I2738473: 2002 &lt;- Jan-2002 I2738471: 2002 &lt;- Jan-2002 NM273G4: 2002 &lt;- Jan-2000</t>
  </si>
  <si>
    <t>RESULT: 2002 I1588541: 2002 &lt;- Jan-2002 I1588542: 2002 &lt;- Jan-2002 I1588528: 2002 &lt;- Jan-2002 I1588524: 2002 &lt;- Jan-2002 I1588523: 2002 &lt;- Jan-2002 I1588517: 2002 &lt;- Jan-2002 I1588486: 2002 &lt;- Jan-2002 I1588473: 2002 &lt;- Jan-2002 I1588471: 2002 &lt;- Jan-2002 NM158G4: 2002 &lt;- Jan-2000</t>
  </si>
  <si>
    <t>RESULT: 2002 I9978541: 2002 &lt;- Jan-2002 I9978542: 2002 &lt;- Jan-2002 I9978528: 2002 &lt;- Jan-2002 I9978524: 2002 &lt;- Jan-2002 I9978523: 2002 &lt;- Jan-2002 I9978517: 2002 &lt;- Jan-2002 I9978486: 2002 &lt;- Jan-2002 I9978473: 2002 &lt;- Jan-2002 I9978471: 2002 &lt;- Jan-2002 NM997G4: 2002 &lt;- Jan-2002</t>
  </si>
  <si>
    <t>RESULT: 2002 I1128541: 2002 &lt;- Jan-2002 I1128542: 2002 &lt;- Jan-2002 I1128528: 2002 &lt;- Jan-2002 I1128524: 2002 &lt;- Jan-2002 I1128523: 2002 &lt;- Jan-2002 I1128517: 2002 &lt;- Jan-2002 I1128486: 2002 &lt;- Jan-2002 I1128473: 2002 &lt;- Jan-2002 I1128471: 2002 &lt;- Jan-2002 NM112G4: 2002 &lt;- Jan-2000</t>
  </si>
  <si>
    <t>RESULT: 2002 I0018541: 2002 &lt;- Jan-2002 I0018542: 2002 &lt;- Jan-2002 I0018528: 2002 &lt;- Jan-2002 I0018524: 2002 &lt;- Jan-2002 I0018523: 2002 &lt;- Jan-2002 I0018517: 2002 &lt;- Jan-2002 I0018486: 2002 &lt;- Jan-2002 I0018473: 2002 &lt;- Jan-2002 I0018471: 2002 &lt;- Jan-2002 NM001G4: 2002 &lt;- Jan-2002</t>
  </si>
  <si>
    <t>2000 &lt;- Jan-2000</t>
  </si>
  <si>
    <t>2002 &lt;- Jan-2002</t>
  </si>
  <si>
    <t>RESULT: 2024 I9248541: 2024 &lt;- Feb-2025 I9248542: 2024 &lt;- Feb-2025 I9248528: 2024 &lt;- Feb-2025 I9248524: 2024 &lt;- Feb-2025 I9248523: 2024 &lt;- Feb-2025 I9248517: 2024 &lt;- Feb-2025 I9248486: 2024 &lt;- Feb-2025 I9248473: 2024 &lt;- Feb-2025 I9248471: 2024 &lt;- Feb-2025 NM924G4: 2024 &lt;- Feb-2025</t>
  </si>
  <si>
    <t>RESULT: 2024 I1568541: 2024 &lt;- Feb-2025 I1568542: 2024 &lt;- Feb-2025 I1568528: 2024 &lt;- Feb-2025 I1568524: 2024 &lt;- Feb-2025 I1568523: 2024 &lt;- Feb-2025 I1568517: 2024 &lt;- Feb-2025 I1568486: 2024 &lt;- Feb-2025 I1568473: 2024 &lt;- Feb-2025 I1568471: 2024 &lt;- Feb-2025 NM156G4: 2024 &lt;- Feb-2025</t>
  </si>
  <si>
    <t>RESULT: 2024 I2738541: 2024 &lt;- Feb-2025 I2738542: 2024 &lt;- Feb-2025 I2738528: 2024 &lt;- Feb-2025 I2738524: 2024 &lt;- Feb-2025 I2738523: 2024 &lt;- Feb-2025 I2738517: 2024 &lt;- Feb-2025 I2738486: 2024 &lt;- Feb-2025 I2738473: 2024 &lt;- Feb-2025 I2738471: 2024 &lt;- Feb-2025 NM273G4: 2024 &lt;- Feb-2025</t>
  </si>
  <si>
    <t>RESULT: 2024 I1588541: 2024 &lt;- Feb-2025 I1588542: 2024 &lt;- Feb-2025 I1588528: 2024 &lt;- Feb-2025 I1588524: 2024 &lt;- Feb-2025 I1588523: 2024 &lt;- Feb-2025 I1588517: 2024 &lt;- Feb-2025 I1588486: 2024 &lt;- Feb-2025 I1588473: 2024 &lt;- Feb-2025 I1588471: 2024 &lt;- Feb-2025 NM158G4: 2024 &lt;- Feb-2025</t>
  </si>
  <si>
    <t>RESULT: 2024 I9978541: 2024 &lt;- Feb-2025 I9978542: 2024 &lt;- Feb-2025 I9978528: 2024 &lt;- Feb-2025 I9978524: 2024 &lt;- Feb-2025 I9978523: 2024 &lt;- Feb-2025 I9978517: 2024 &lt;- Feb-2025 I9978486: 2024 &lt;- Feb-2025 I9978473: 2024 &lt;- Feb-2025 I9978471: 2024 &lt;- Feb-2025 NM997G4: 2024 &lt;- Feb-2025</t>
  </si>
  <si>
    <t>RESULT: 2024 I1128541: 2024 &lt;- Feb-2025 I1128542: 2024 &lt;- Feb-2025 I1128528: 2024 &lt;- Feb-2025 I1128524: 2024 &lt;- Feb-2025 I1128523: 2024 &lt;- Feb-2025 I1128517: 2024 &lt;- Feb-2025 I1128486: 2024 &lt;- Feb-2025 I1128473: 2024 &lt;- Feb-2025 I1128471: 2024 &lt;- Feb-2025 NM112G4: 2024 &lt;- Feb-2025</t>
  </si>
  <si>
    <t>RESULT: 2024 I0018541: 2024 &lt;- Feb-2025 I0018542: 2024 &lt;- Feb-2025 I0018528: 2024 &lt;- Feb-2025 I0018524: 2024 &lt;- Feb-2025 I0018523: 2024 &lt;- Feb-2025 I0018517: 2024 &lt;- Feb-2025 I0018486: 2024 &lt;- Feb-2025 I0018473: 2024 &lt;- Feb-2025 I0018471: 2024 &lt;- Feb-2025 NM001G4: 2024 &lt;- Feb-2025</t>
  </si>
  <si>
    <t>2024 &lt;- Feb-2025</t>
  </si>
  <si>
    <t>I9248541: Census Bureau I9248542: Census Bureau I9248528: Census Bureau I9248524: Census Bureau I9248523: Census Bureau I9248517: Census Bureau I9248486: Census Bureau I9248473: Census Bureau I9248471: Census Bureau NM924G4: Census Bureau</t>
  </si>
  <si>
    <t>I1568541: Census Bureau I1568542: Census Bureau I1568528: Census Bureau I1568524: Census Bureau I1568523: Census Bureau I1568517: Census Bureau I1568486: Census Bureau I1568473: Census Bureau I1568471: Census Bureau NM156G4: Census Bureau</t>
  </si>
  <si>
    <t>I2738541: Census Bureau I2738542: Census Bureau I2738528: Census Bureau I2738524: Census Bureau I2738523: Census Bureau I2738517: Census Bureau I2738486: Census Bureau I2738473: Census Bureau I2738471: Census Bureau NM273G4: Census Bureau</t>
  </si>
  <si>
    <t>I1588541: Census Bureau I1588542: Census Bureau I1588528: Census Bureau I1588524: Census Bureau I1588523: Census Bureau I1588517: Census Bureau I1588486: Census Bureau I1588473: Census Bureau I1588471: Census Bureau NM158G4: Census Bureau</t>
  </si>
  <si>
    <t>I9978541: Census Bureau I9978542: Census Bureau I9978528: Census Bureau I9978524: Census Bureau I9978523: Census Bureau I9978517: Census Bureau I9978486: Census Bureau I9978473: Census Bureau I9978471: Census Bureau NM997G4: Census Bureau</t>
  </si>
  <si>
    <t>I1128541: Census Bureau I1128542: Census Bureau I1128528: Census Bureau I1128524: Census Bureau I1128523: Census Bureau I1128517: Census Bureau I1128486: Census Bureau I1128473: Census Bureau I1128471: Census Bureau NM112G4: Census Bureau</t>
  </si>
  <si>
    <t>I0018541: Census Bureau I0018542: Census Bureau I0018528: Census Bureau I0018524: Census Bureau I0018523: Census Bureau I0018517: Census Bureau I0018486: Census Bureau I0018473: Census Bureau I0018471: Census Bureau NM001G4: Census Bureau</t>
  </si>
  <si>
    <t>Census Bureau</t>
  </si>
  <si>
    <t>RESULT: Sum I9248541: Sum I9248542: Sum I9248528: Sum I9248524: Sum I9248523: Sum I9248517: Sum I9248486: Sum I9248473: Sum I9248471: Sum NM924G4: Sum</t>
  </si>
  <si>
    <t>RESULT: Sum I1568541: Sum I1568542: Sum I1568528: Sum I1568524: Sum I1568523: Sum I1568517: Sum I1568486: Sum I1568473: Sum I1568471: Sum NM156G4: Sum</t>
  </si>
  <si>
    <t>RESULT: Sum I2738541: Sum I2738542: Sum I2738528: Sum I2738524: Sum I2738523: Sum I2738517: Sum I2738486: Sum I2738473: Sum I2738471: Sum NM273G4: Sum</t>
  </si>
  <si>
    <t>RESULT: Sum I1588541: Sum I1588542: Sum I1588528: Sum I1588524: Sum I1588523: Sum I1588517: Sum I1588486: Sum I1588473: Sum I1588471: Sum NM158G4: Sum</t>
  </si>
  <si>
    <t>RESULT: Sum I9978541: Sum I9978542: Sum I9978528: Sum I9978524: Sum I9978523: Sum I9978517: Sum I9978486: Sum I9978473: Sum I9978471: Sum NM997G4: Sum</t>
  </si>
  <si>
    <t>RESULT: Sum I1128541: Sum I1128542: Sum I1128528: Sum I1128524: Sum I1128523: Sum I1128517: Sum I1128486: Sum I1128473: Sum I1128471: Sum NM112G4: Sum</t>
  </si>
  <si>
    <t>RESULT: Sum I0018541: Sum I0018542: Sum I0018528: Sum I0018524: Sum I0018523: Sum I0018517: Sum I0018486: Sum I0018473: Sum I0018471: Sum NM001G4: Sum</t>
  </si>
  <si>
    <t>Sum</t>
  </si>
  <si>
    <t>I9248541: Apr-03-2025 12:30 I9248542: Apr-03-2025 12:30 I9248528: Apr-03-2025 12:30 I9248524: Apr-03-2025 15:30 I9248523: Apr-03-2025 12:30 I9248517: Apr-03-2025 12:30 I9248486: Apr-03-2025 12:30 I9248473: Apr-03-2025 12:30 I9248471: Apr-03-2025 12:30 NM924G4: Apr-03-2025 09:15</t>
  </si>
  <si>
    <t>I1568541: Apr-03-2025 11:35 I1568542: Apr-03-2025 11:35 I1568528: Apr-03-2025 11:35 I1568524: Apr-03-2025 14:32 I1568523: Apr-03-2025 11:35 I1568517: Apr-03-2025 11:35 I1568486: Apr-03-2025 11:35 I1568473: Apr-03-2025 11:35 I1568471: Apr-03-2025 11:35 NM156G4: Apr-03-2025 09:15</t>
  </si>
  <si>
    <t>I2738541: Apr-03-2025 12:30 I2738542: Apr-03-2025 12:30 I2738528: Apr-03-2025 12:30 I2738524: Apr-03-2025 14:32 I2738523: Apr-03-2025 12:30 I2738517: Apr-03-2025 12:30 I2738486: Apr-03-2025 12:30 I2738473: Apr-03-2025 12:30 I2738471: Apr-03-2025 12:30 NM273G4: Apr-03-2025 09:15</t>
  </si>
  <si>
    <t>I1588541: Apr-03-2025 11:35 I1588542: Apr-03-2025 11:35 I1588528: Apr-03-2025 11:35 I1588524: Apr-03-2025 14:32 I1588523: Apr-03-2025 11:35 I1588517: Apr-03-2025 11:35 I1588486: Apr-03-2025 11:35 I1588473: Apr-03-2025 11:35 I1588471: Apr-03-2025 11:35 NM158G4: Apr-03-2025 09:15</t>
  </si>
  <si>
    <t>I9978541: Apr-03-2025 12:30 I9978542: Apr-03-2025 12:30 I9978528: Apr-03-2025 12:30 I9978524: Apr-03-2025 15:30 I9978523: Apr-03-2025 12:30 I9978517: Apr-03-2025 12:30 I9978486: Apr-03-2025 12:30 I9978473: Apr-03-2025 12:30 I9978471: Apr-03-2025 12:30 NM997G4: Apr-03-2025 09:15</t>
  </si>
  <si>
    <t>I1128541: Apr-03-2025 11:35 I1128542: Apr-03-2025 11:35 I1128528: Apr-03-2025 11:35 I1128524: Apr-03-2025 14:32 I1128523: Apr-03-2025 11:35 I1128517: Apr-03-2025 11:35 I1128486: Apr-03-2025 11:35 I1128473: Apr-03-2025 11:35 I1128471: Apr-03-2025 11:35 NM112G4: Apr-03-2025 09:15</t>
  </si>
  <si>
    <t>I0018541: Apr-03-2025 11:35 I0018542: Apr-03-2025 11:35 I0018528: Apr-03-2025 11:35 I0018524: Apr-03-2025 14:32 I0018523: Apr-03-2025 11:35 I0018517: Apr-03-2025 11:35 I0018486: Apr-03-2025 11:35 I0018473: Apr-03-2025 11:35 I0018471: Apr-03-2025 11:35 NM001G4: Apr-03-2025 09:15</t>
  </si>
  <si>
    <t>Apr-03-2025 09:15</t>
  </si>
  <si>
    <t>RESULT: Annual I9248541: Annual &lt;- Monthly I9248542: Annual &lt;- Monthly I9248528: Annual &lt;- Monthly I9248524: Annual &lt;- Monthly I9248523: Annual &lt;- Monthly I9248517: Annual &lt;- Monthly I9248486: Annual &lt;- Monthly I9248473: Annual &lt;- Monthly I9248471: Annual &lt;- Monthly NM924G4: Annual &lt;- Monthly</t>
  </si>
  <si>
    <t>RESULT: Annual I1568541: Annual &lt;- Monthly I1568542: Annual &lt;- Monthly I1568528: Annual &lt;- Monthly I1568524: Annual &lt;- Monthly I1568523: Annual &lt;- Monthly I1568517: Annual &lt;- Monthly I1568486: Annual &lt;- Monthly I1568473: Annual &lt;- Monthly I1568471: Annual &lt;- Monthly NM156G4: Annual &lt;- Monthly</t>
  </si>
  <si>
    <t>RESULT: Annual I2738541: Annual &lt;- Monthly I2738542: Annual &lt;- Monthly I2738528: Annual &lt;- Monthly I2738524: Annual &lt;- Monthly I2738523: Annual &lt;- Monthly I2738517: Annual &lt;- Monthly I2738486: Annual &lt;- Monthly I2738473: Annual &lt;- Monthly I2738471: Annual &lt;- Monthly NM273G4: Annual &lt;- Monthly</t>
  </si>
  <si>
    <t>RESULT: Annual I1588541: Annual &lt;- Monthly I1588542: Annual &lt;- Monthly I1588528: Annual &lt;- Monthly I1588524: Annual &lt;- Monthly I1588523: Annual &lt;- Monthly I1588517: Annual &lt;- Monthly I1588486: Annual &lt;- Monthly I1588473: Annual &lt;- Monthly I1588471: Annual &lt;- Monthly NM158G4: Annual &lt;- Monthly</t>
  </si>
  <si>
    <t>RESULT: Annual I9978541: Annual &lt;- Monthly I9978542: Annual &lt;- Monthly I9978528: Annual &lt;- Monthly I9978524: Annual &lt;- Monthly I9978523: Annual &lt;- Monthly I9978517: Annual &lt;- Monthly I9978486: Annual &lt;- Monthly I9978473: Annual &lt;- Monthly I9978471: Annual &lt;- Monthly NM997G4: Annual &lt;- Monthly</t>
  </si>
  <si>
    <t>RESULT: Annual I1128541: Annual &lt;- Monthly I1128542: Annual &lt;- Monthly I1128528: Annual &lt;- Monthly I1128524: Annual &lt;- Monthly I1128523: Annual &lt;- Monthly I1128517: Annual &lt;- Monthly I1128486: Annual &lt;- Monthly I1128473: Annual &lt;- Monthly I1128471: Annual &lt;- Monthly NM112G4: Annual &lt;- Monthly</t>
  </si>
  <si>
    <t>RESULT: Annual I0018541: Annual &lt;- Monthly I0018542: Annual &lt;- Monthly I0018528: Annual &lt;- Monthly I0018524: Annual &lt;- Monthly I0018523: Annual &lt;- Monthly I0018517: Annual &lt;- Monthly I0018486: Annual &lt;- Monthly I0018473: Annual &lt;- Monthly I0018471: Annual &lt;- Monthly NM001G4: Annual &lt;- Monthly</t>
  </si>
  <si>
    <t>Annual &lt;- Monthly</t>
  </si>
  <si>
    <t>RESULT: RATIO I9248541: RATIO &lt;- US$ I9248542: US$ I9248528: US$ I9248524: US$ I9248523: US$ I9248517: US$ I9248486: US$ I9248473: US$ I9248471: US$ NM924G4: US$</t>
  </si>
  <si>
    <t>RESULT: RATIO I1568541: RATIO &lt;- US$ I1568542: US$ I1568528: US$ I1568524: US$ I1568523: US$ I1568517: US$ I1568486: US$ I1568473: US$ I1568471: US$ NM156G4: US$</t>
  </si>
  <si>
    <t>RESULT: RATIO I2738541: RATIO &lt;- US$ I2738542: US$ I2738528: US$ I2738524: US$ I2738523: US$ I2738517: US$ I2738486: US$ I2738473: US$ I2738471: US$ NM273G4: US$</t>
  </si>
  <si>
    <t>RESULT: RATIO I1588541: RATIO &lt;- US$ I1588542: US$ I1588528: US$ I1588524: US$ I1588523: US$ I1588517: US$ I1588486: US$ I1588473: US$ I1588471: US$ NM158G4: US$</t>
  </si>
  <si>
    <t>RESULT: RATIO I9978541: RATIO &lt;- US$ I9978542: US$ I9978528: US$ I9978524: US$ I9978523: US$ I9978517: US$ I9978486: US$ I9978473: US$ I9978471: US$ NM997G4: US$</t>
  </si>
  <si>
    <t>RESULT: RATIO I1128541: RATIO &lt;- US$ I1128542: US$ I1128528: US$ I1128524: US$ I1128523: US$ I1128517: US$ I1128486: US$ I1128473: US$ I1128471: US$ NM112G4: US$</t>
  </si>
  <si>
    <t>RESULT: RATIO I0018541: RATIO &lt;- US$ I0018542: US$ I0018528: US$ I0018524: US$ I0018523: US$ I0018517: US$ I0018486: US$ I0018473: US$ I0018471: US$ NM001G4: US$</t>
  </si>
  <si>
    <t>US$</t>
  </si>
  <si>
    <t>RESULT: 0 I9248541: 3 I9248542: 3 I9248528: 3 I9248524: 3 I9248523: 3 I9248517: 3 I9248486: 3 I9248473: 3 I9248471: 3 NM924G4: 3</t>
  </si>
  <si>
    <t>RESULT: 0 I1568541: 3 I1568542: 3 I1568528: 3 I1568524: 3 I1568523: 3 I1568517: 3 I1568486: 3 I1568473: 3 I1568471: 3 NM156G4: 3</t>
  </si>
  <si>
    <t>RESULT: 0 I2738541: 3 I2738542: 3 I2738528: 3 I2738524: 3 I2738523: 3 I2738517: 3 I2738486: 3 I2738473: 3 I2738471: 3 NM273G4: 3</t>
  </si>
  <si>
    <t>RESULT: 0 I1588541: 3 I1588542: 3 I1588528: 3 I1588524: 3 I1588523: 3 I1588517: 3 I1588486: 3 I1588473: 3 I1588471: 3 NM158G4: 3</t>
  </si>
  <si>
    <t>RESULT: 0 I9978541: 3 I9978542: 3 I9978528: 3 I9978524: 3 I9978523: 3 I9978517: 3 I9978486: 3 I9978473: 3 I9978471: 3 NM997G4: 3</t>
  </si>
  <si>
    <t>RESULT: 0 I1128541: 3 I1128542: 3 I1128528: 3 I1128524: 3 I1128523: 3 I1128517: 3 I1128486: 3 I1128473: 3 I1128471: 3 NM112G4: 3</t>
  </si>
  <si>
    <t>RESULT: 0 I0018541: 3 I0018542: 3 I0018528: 3 I0018524: 3 I0018523: 3 I0018517: 3 I0018486: 3 I0018473: 3 I0018471: 3 NM001G4: 3</t>
  </si>
  <si>
    <t>3</t>
  </si>
  <si>
    <t>I9248541: I23 I9248542: I23 I9248528: I23 I9248524: I23 I9248523: I23 I9248517: I23 I9248486: I23 I9248473: I23 I9248471: I23 NM924G4: I17</t>
  </si>
  <si>
    <t>I1568541: I23 I1568542: I23 I1568528: I23 I1568524: I23 I1568523: I23 I1568517: I23 I1568486: I23 I1568473: I23 I1568471: I23 NM156G4: I17</t>
  </si>
  <si>
    <t>I2738541: I23 I2738542: I23 I2738528: I23 I2738524: I23 I2738523: I23 I2738517: I23 I2738486: I23 I2738473: I23 I2738471: I23 NM273G4: I17</t>
  </si>
  <si>
    <t>I1588541: I23 I1588542: I23 I1588528: I23 I1588524: I23 I1588523: I23 I1588517: I23 I1588486: I23 I1588473: I23 I1588471: I23 NM158G4: I17</t>
  </si>
  <si>
    <t>I9978541: I23 I9978542: I23 I9978528: I23 I9978524: I23 I9978523: I23 I9978517: I23 I9978486: I23 I9978473: I23 I9978471: I23 NM997G4: I17</t>
  </si>
  <si>
    <t>I1128541: I23 I1128542: I23 I1128528: I23 I1128524: I23 I1128523: I23 I1128517: I23 I1128486: I23 I1128473: I23 I1128471: I23 NM112G4: I17</t>
  </si>
  <si>
    <t>I0018541: I23 I0018542: I23 I0018528: I23 I0018524: I23 I0018523: I23 I0018517: I23 I0018486: I23 I0018473: I23 I0018471: I23 NM001G4: I17</t>
  </si>
  <si>
    <t>I17</t>
  </si>
  <si>
    <t>I9248541: U.S. Imports by 4-Digit HS, Monthly I9248542: U.S. Imports by 4-Digit HS, Monthly I9248528: U.S. Imports by 4-Digit HS, Monthly I9248524: U.S. Imports by 4-Digit HS, Monthly I9248523: U.S. Imports by 4-Digit HS, Monthly I9248517: U.S. Imports by 4-Digit HS, Monthly I9248486: U.S. Imports by 4-Digit HS, Monthly I9248473: U.S. Imports by 4-Digit HS, Monthly I9248471: U.S. Imports by 4-Digit HS, Monthly NM924G4: U.S. Trade by 3,4-Digit NAICS, Monthly</t>
  </si>
  <si>
    <t>I1568541: U.S. Imports by 4-Digit HS, Monthly I1568542: U.S. Imports by 4-Digit HS, Monthly I1568528: U.S. Imports by 4-Digit HS, Monthly I1568524: U.S. Imports by 4-Digit HS, Monthly I1568523: U.S. Imports by 4-Digit HS, Monthly I1568517: U.S. Imports by 4-Digit HS, Monthly I1568486: U.S. Imports by 4-Digit HS, Monthly I1568473: U.S. Imports by 4-Digit HS, Monthly I1568471: U.S. Imports by 4-Digit HS, Monthly NM156G4: U.S. Trade by 3,4-Digit NAICS, Monthly</t>
  </si>
  <si>
    <t>I2738541: U.S. Imports by 4-Digit HS, Monthly I2738542: U.S. Imports by 4-Digit HS, Monthly I2738528: U.S. Imports by 4-Digit HS, Monthly I2738524: U.S. Imports by 4-Digit HS, Monthly I2738523: U.S. Imports by 4-Digit HS, Monthly I2738517: U.S. Imports by 4-Digit HS, Monthly I2738486: U.S. Imports by 4-Digit HS, Monthly I2738473: U.S. Imports by 4-Digit HS, Monthly I2738471: U.S. Imports by 4-Digit HS, Monthly NM273G4: U.S. Trade by 3,4-Digit NAICS, Monthly</t>
  </si>
  <si>
    <t>I1588541: U.S. Imports by 4-Digit HS, Monthly I1588542: U.S. Imports by 4-Digit HS, Monthly I1588528: U.S. Imports by 4-Digit HS, Monthly I1588524: U.S. Imports by 4-Digit HS, Monthly I1588523: U.S. Imports by 4-Digit HS, Monthly I1588517: U.S. Imports by 4-Digit HS, Monthly I1588486: U.S. Imports by 4-Digit HS, Monthly I1588473: U.S. Imports by 4-Digit HS, Monthly I1588471: U.S. Imports by 4-Digit HS, Monthly NM158G4: U.S. Trade by 3,4-Digit NAICS, Monthly</t>
  </si>
  <si>
    <t>I9978541: U.S. Imports by 4-Digit HS, Monthly I9978542: U.S. Imports by 4-Digit HS, Monthly I9978528: U.S. Imports by 4-Digit HS, Monthly I9978524: U.S. Imports by 4-Digit HS, Monthly I9978523: U.S. Imports by 4-Digit HS, Monthly I9978517: U.S. Imports by 4-Digit HS, Monthly I9978486: U.S. Imports by 4-Digit HS, Monthly I9978473: U.S. Imports by 4-Digit HS, Monthly I9978471: U.S. Imports by 4-Digit HS, Monthly NM997G4: U.S. Trade by 3,4-Digit NAICS, Monthly</t>
  </si>
  <si>
    <t>I1128541: U.S. Imports by 4-Digit HS, Monthly I1128542: U.S. Imports by 4-Digit HS, Monthly I1128528: U.S. Imports by 4-Digit HS, Monthly I1128524: U.S. Imports by 4-Digit HS, Monthly I1128523: U.S. Imports by 4-Digit HS, Monthly I1128517: U.S. Imports by 4-Digit HS, Monthly I1128486: U.S. Imports by 4-Digit HS, Monthly I1128473: U.S. Imports by 4-Digit HS, Monthly I1128471: U.S. Imports by 4-Digit HS, Monthly NM112G4: U.S. Trade by 3,4-Digit NAICS, Monthly</t>
  </si>
  <si>
    <t>I0018541: U.S. Imports by 4-Digit HS, Monthly I0018542: U.S. Imports by 4-Digit HS, Monthly I0018528: U.S. Imports by 4-Digit HS, Monthly I0018524: U.S. Imports by 4-Digit HS, Monthly I0018523: U.S. Imports by 4-Digit HS, Monthly I0018517: U.S. Imports by 4-Digit HS, Monthly I0018486: U.S. Imports by 4-Digit HS, Monthly I0018473: U.S. Imports by 4-Digit HS, Monthly I0018471: U.S. Imports by 4-Digit HS, Monthly NM001G4: U.S. Trade by 3,4-Digit NAICS, Monthly</t>
  </si>
  <si>
    <t>U.S. Trade by 3,4-Digit NAICS, Monthly</t>
  </si>
  <si>
    <t>RESULT: 111 I9248541: 111 I9248542: 111 I9248528: 111 I9248524: 111 I9248523: 111 I9248517: 111 I9248486: 111 I9248473: 111 I9248471: 111 NM924G4: 111</t>
  </si>
  <si>
    <t>RESULT: 111 I1568541: 111 I1568542: 111 I1568528: 111 I1568524: 111 I1568523: 111 I1568517: 111 I1568486: 111 I1568473: 111 I1568471: 111 NM156G4: 111</t>
  </si>
  <si>
    <t>RESULT: 111 I2738541: 111 I2738542: 111 I2738528: 111 I2738524: 111 I2738523: 111 I2738517: 111 I2738486: 111 I2738473: 111 I2738471: 111 NM273G4: 111</t>
  </si>
  <si>
    <t>RESULT: 111 I1588541: 111 I1588542: 111 I1588528: 111 I1588524: 111 I1588523: 111 I1588517: 111 I1588486: 111 I1588473: 111 I1588471: 111 NM158G4: 111</t>
  </si>
  <si>
    <t>RESULT: 111 I9978541: 111 I9978542: 111 I9978528: 111 I9978524: 111 I9978523: 111 I9978517: 111 I9978486: 111 I9978473: 111 I9978471: 111 NM997G4: 111</t>
  </si>
  <si>
    <t>RESULT: 111 I1128541: 111 I1128542: 111 I1128528: 111 I1128524: 111 I1128523: 111 I1128517: 111 I1128486: 111 I1128473: 111 I1128471: 111 NM112G4: 111</t>
  </si>
  <si>
    <t>RESULT: 111 I0018541: 111 I0018542: 111 I0018528: 111 I0018524: 111 I0018523: 111 I0018517: 111 I0018486: 111 I0018473: 111 I0018471: 111 NM001G4: 111</t>
  </si>
  <si>
    <t>Reciprocal Tariff</t>
  </si>
  <si>
    <t>Semiconductor Tariff</t>
  </si>
  <si>
    <t>Add'l Tariff</t>
  </si>
  <si>
    <t>Weighted Electronics Tariff</t>
  </si>
  <si>
    <t>SECTORNUMBER</t>
  </si>
  <si>
    <t>Imports For Consumption|Monthly data for 2025</t>
  </si>
  <si>
    <t>Data Row Count</t>
  </si>
  <si>
    <t>Data Type</t>
  </si>
  <si>
    <t>NAIC Number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</si>
  <si>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</si>
  <si>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</si>
  <si>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</si>
  <si>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</si>
  <si>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</si>
  <si>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</si>
  <si>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</si>
  <si>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</si>
  <si>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</si>
  <si>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</si>
  <si>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</si>
  <si>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</si>
  <si>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</si>
  <si>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March USMCA</t>
  </si>
  <si>
    <t>USMCA Share</t>
  </si>
  <si>
    <t>Customs Value</t>
  </si>
  <si>
    <t>AGRICULTURAL PRODUCTS</t>
  </si>
  <si>
    <t>112</t>
  </si>
  <si>
    <t>LIVESTOCK &amp; LIVESTOCK PRODUCTS</t>
  </si>
  <si>
    <t>113</t>
  </si>
  <si>
    <t>FORESTRY PRODUCTS, NESOI</t>
  </si>
  <si>
    <t>114</t>
  </si>
  <si>
    <t>FISH, FRESH/CHILLED/FROZEN &amp; OTHER MARINE PRODUCTS</t>
  </si>
  <si>
    <t>115</t>
  </si>
  <si>
    <t xml:space="preserve">PRODUCTS SUPPORTING AGRICULTURE AND FORESTRY </t>
  </si>
  <si>
    <t>211</t>
  </si>
  <si>
    <t>OIL &amp; GAS</t>
  </si>
  <si>
    <t>212</t>
  </si>
  <si>
    <t>MINERALS &amp; ORES</t>
  </si>
  <si>
    <t>311</t>
  </si>
  <si>
    <t>FOOD &amp; KINDRED PRODUCTS</t>
  </si>
  <si>
    <t>312</t>
  </si>
  <si>
    <t>BEVERAGES &amp; TOBACCO PRODUCTS</t>
  </si>
  <si>
    <t>313</t>
  </si>
  <si>
    <t>TEXTILES &amp; FABRICS</t>
  </si>
  <si>
    <t>314</t>
  </si>
  <si>
    <t>TEXTILE MILL PRODUCTS</t>
  </si>
  <si>
    <t>315</t>
  </si>
  <si>
    <t>APPAREL &amp; ACCESSORIES</t>
  </si>
  <si>
    <t>316</t>
  </si>
  <si>
    <t>LEATHER &amp; ALLIED PRODUCTS</t>
  </si>
  <si>
    <t>321</t>
  </si>
  <si>
    <t>WOOD PRODUCTS</t>
  </si>
  <si>
    <t>322</t>
  </si>
  <si>
    <t>PAPER</t>
  </si>
  <si>
    <t>323</t>
  </si>
  <si>
    <t>PRINTED MATTER AND RELATED PRODUCTS, NESOI</t>
  </si>
  <si>
    <t>324</t>
  </si>
  <si>
    <t>PETROLEUM &amp; COAL PRODUCTS</t>
  </si>
  <si>
    <t>325</t>
  </si>
  <si>
    <t>CHEMICALS</t>
  </si>
  <si>
    <t>326</t>
  </si>
  <si>
    <t>PLASTICS &amp; RUBBER PRODUCTS</t>
  </si>
  <si>
    <t>327</t>
  </si>
  <si>
    <t>NONMETALLIC MINERAL PRODUCTS</t>
  </si>
  <si>
    <t>331</t>
  </si>
  <si>
    <t>PRIMARY METAL MFG</t>
  </si>
  <si>
    <t>332</t>
  </si>
  <si>
    <t>FABRICATED METAL PRODUCTS, NESOI</t>
  </si>
  <si>
    <t>333</t>
  </si>
  <si>
    <t>MACHINERY, EXCEPT ELECTRICAL</t>
  </si>
  <si>
    <t>334</t>
  </si>
  <si>
    <t>COMPUTER &amp; ELECTRONIC PRODUCTS</t>
  </si>
  <si>
    <t>335</t>
  </si>
  <si>
    <t>ELECTRICAL EQUIPMENT, APPLIANCES &amp; COMPONENTS</t>
  </si>
  <si>
    <t>336</t>
  </si>
  <si>
    <t>TRANSPORTATION EQUIPMENT</t>
  </si>
  <si>
    <t>337</t>
  </si>
  <si>
    <t>FURNITURE &amp; FIXTURES</t>
  </si>
  <si>
    <t>339</t>
  </si>
  <si>
    <t>MISCELLANEOUS MANUFACTURED COMMODITIES</t>
  </si>
  <si>
    <t>910</t>
  </si>
  <si>
    <t>WASTE AND SCRAP</t>
  </si>
  <si>
    <t>930</t>
  </si>
  <si>
    <t>USED OR SECOND-HAND MERCHANDISE</t>
  </si>
  <si>
    <t>980</t>
  </si>
  <si>
    <t>GOODS RETURNED (EXPORTS FOR CANADA ONLY)</t>
  </si>
  <si>
    <t>990</t>
  </si>
  <si>
    <t>OTHER SPECIAL CLASSIFICATION PROVISIONS</t>
  </si>
  <si>
    <t>Program</t>
  </si>
  <si>
    <t>United States-Mexico-Canada Agreement (USMCA)</t>
  </si>
  <si>
    <t>Month</t>
  </si>
  <si>
    <t>Dutiable Value</t>
  </si>
  <si>
    <t>Commodities/Industries</t>
  </si>
  <si>
    <t>11</t>
  </si>
  <si>
    <t>21</t>
  </si>
  <si>
    <t>22</t>
  </si>
  <si>
    <t>23</t>
  </si>
  <si>
    <t>31G</t>
  </si>
  <si>
    <t>42</t>
  </si>
  <si>
    <t>44RT</t>
  </si>
  <si>
    <t>48TW</t>
  </si>
  <si>
    <t>51</t>
  </si>
  <si>
    <t>FIRE</t>
  </si>
  <si>
    <t>PROF</t>
  </si>
  <si>
    <t>6</t>
  </si>
  <si>
    <t>7</t>
  </si>
  <si>
    <t>81</t>
  </si>
  <si>
    <t>G</t>
  </si>
  <si>
    <t>T001</t>
  </si>
  <si>
    <t>F010</t>
  </si>
  <si>
    <t>F020</t>
  </si>
  <si>
    <t>F030</t>
  </si>
  <si>
    <t>F040</t>
  </si>
  <si>
    <t>F100</t>
  </si>
  <si>
    <t>T019</t>
  </si>
  <si>
    <t>F050</t>
  </si>
  <si>
    <t>Domestic Private Fixed Investment</t>
  </si>
  <si>
    <t>PRIVATE INVESTMENT</t>
  </si>
  <si>
    <t>Name</t>
  </si>
  <si>
    <t>Agriculture, forestry, fishing, and hunting</t>
  </si>
  <si>
    <t>Mining</t>
  </si>
  <si>
    <t>Manufacturing</t>
  </si>
  <si>
    <t>Wholesale trade</t>
  </si>
  <si>
    <t>Retail trade</t>
  </si>
  <si>
    <t>Transportation and warehousing</t>
  </si>
  <si>
    <t>Information</t>
  </si>
  <si>
    <t>Finance, insurance, real estate, rental, and leasing</t>
  </si>
  <si>
    <t>Professional and business services</t>
  </si>
  <si>
    <t>Educational services, health care, and social assistance</t>
  </si>
  <si>
    <t>Arts, entertainment, recreation, accommodation, and food services</t>
  </si>
  <si>
    <t>Other services, except government</t>
  </si>
  <si>
    <t>Government</t>
  </si>
  <si>
    <t>Total Intermediate</t>
  </si>
  <si>
    <t>Personal consumption expenditures</t>
  </si>
  <si>
    <t>Private fixed investment</t>
  </si>
  <si>
    <t>Change in private inventories</t>
  </si>
  <si>
    <t>Exports of goods and services</t>
  </si>
  <si>
    <t>Government consumption expenditures and gross investment</t>
  </si>
  <si>
    <t>Total use of products</t>
  </si>
  <si>
    <t>Intermediate Demand</t>
  </si>
  <si>
    <t>Final Demand</t>
  </si>
  <si>
    <t>Domestic Consumption</t>
  </si>
  <si>
    <t>Import Goods</t>
  </si>
  <si>
    <t>Import Services</t>
  </si>
  <si>
    <t>Import Share of Intermediate</t>
  </si>
  <si>
    <t>Imported Content</t>
  </si>
  <si>
    <t>Exports</t>
  </si>
  <si>
    <t>Used</t>
  </si>
  <si>
    <t>Scrap, used and secondhand goods</t>
  </si>
  <si>
    <t>Noncomparable imports and rest-of-the-world adjustment</t>
  </si>
  <si>
    <t>T005</t>
  </si>
  <si>
    <t>V001</t>
  </si>
  <si>
    <t>Compensation of employees</t>
  </si>
  <si>
    <t>T00OTOP</t>
  </si>
  <si>
    <t>Other taxes on production</t>
  </si>
  <si>
    <t>Total Direct</t>
  </si>
  <si>
    <t>T00OSUB</t>
  </si>
  <si>
    <t>Less: Other subsidies on production</t>
  </si>
  <si>
    <t>Private fixed Investment</t>
  </si>
  <si>
    <t>V003</t>
  </si>
  <si>
    <t>Gross operating surplus</t>
  </si>
  <si>
    <t>VABAS</t>
  </si>
  <si>
    <t>Value Added (basic prices)</t>
  </si>
  <si>
    <t>Direct %</t>
  </si>
  <si>
    <t>T018</t>
  </si>
  <si>
    <t>Total industry output (basic prices)</t>
  </si>
  <si>
    <t>T00TOP</t>
  </si>
  <si>
    <t>Taxes on products and imports</t>
  </si>
  <si>
    <t>Import Content</t>
  </si>
  <si>
    <t>IMPORTS</t>
  </si>
  <si>
    <t>T00SUB</t>
  </si>
  <si>
    <t>Less: Subsidies on products</t>
  </si>
  <si>
    <t>VAPRO</t>
  </si>
  <si>
    <t>Value Added (producer prices)</t>
  </si>
  <si>
    <t>Import %</t>
  </si>
  <si>
    <t>Investment</t>
  </si>
  <si>
    <t>Share of Imports</t>
  </si>
  <si>
    <t>Tariff</t>
  </si>
  <si>
    <t>Direct</t>
  </si>
  <si>
    <t>Nonchina</t>
  </si>
  <si>
    <t>Indirect</t>
  </si>
  <si>
    <t>Weighted Tariff</t>
  </si>
  <si>
    <t>Indirect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</si>
</sst>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_(* #,##0_);_(* \(#,##0\);_(* &quot;-&quot;??_);_(@_)"/>
    <numFmt numFmtId="166" formatCode="_(* #,##0.0_);_(* \(#,##0.0\);_(* &quot;-&quot;??_);_(@_)"/>
    <numFmt numFmtId="167" formatCode="_(* #,##0.000_);_(* \(#,##0.000\);_(* &quot;-&quot;??_);_(@_)"/>
    <numFmt numFmtId="168" formatCode="0.000"/>
    <numFmt numFmtId="169" formatCode="0.0%"/>
    <numFmt numFmtId="170" formatCode="&quot;$&quot;#,##0"/>
    <numFmt numFmtId="171" formatCode="_(&quot;$&quot;* #,##0_);_(&quot;$&quot;* \(#,##0\);_(&quot;$&quot;* &quot;-&quot;??_);_(@_)"/>
    <numFmt numFmtId="172" formatCode="#,##0.0"/>
    <numFmt numFmtId="173" formatCode="0.000%"/>
    <numFmt numFmtId="174" formatCode="_(* #,##0.0000_);_(* \(#,##0.0000\);_(* &quot;-&quot;??_);_(@_)"/>
    <numFmt numFmtId="175" formatCode="yyyy"/>
    <numFmt numFmtId="176" formatCode="0.0000%"/>
    <numFmt numFmtId="177" formatCode="_(* #,##0.0000_);_(* \(#,##0.0000\);_(* &quot;-&quot;????_);_(@_)"/>
    <numFmt numFmtId="178" formatCode="000000000000.0"/>
    <numFmt numFmtId="179" formatCode="yyyymmdd"/>
    <numFmt numFmtId="180" formatCode="&quot;$&quot;#,##0.00"/>
  </numFmts>
  <fonts count="57">
    <font>
      <sz val="10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theme="3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i/>
      <sz val="1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1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b/>
      <sz val="14"/>
      <name val="Calibri"/>
      <family val="2"/>
    </font>
    <font>
      <sz val="13"/>
      <name val="Calibri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u/>
      <sz val="11"/>
      <color theme="10"/>
      <name val="Aptos Narrow"/>
      <family val="2"/>
      <scheme val="minor"/>
    </font>
    <font>
      <sz val="10"/>
      <color rgb="FF0000FF"/>
      <name val="Verdana"/>
      <family val="2"/>
    </font>
    <font>
      <b/>
      <sz val="11"/>
      <color indexed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  <font>
      <sz val="11"/>
      <color theme="1"/>
      <name val="Aptos Narrow"/>
      <family val="2"/>
      <scheme val="minor"/>
    </font>
    <font>
      <u/>
      <sz val="10"/>
      <name val="Arial"/>
      <family val="2"/>
    </font>
    <font>
      <sz val="18"/>
      <name val="FkGrotesk"/>
    </font>
    <font>
      <sz val="12"/>
      <name val="Segoe UI"/>
      <family val="2"/>
    </font>
    <font>
      <sz val="8.75"/>
      <name val="Segoe UI"/>
      <family val="2"/>
    </font>
    <font>
      <b/>
      <sz val="10"/>
      <color indexed="8"/>
      <name val="Calibri"/>
      <family val="2"/>
    </font>
    <font>
      <sz val="11"/>
      <color theme="1"/>
      <name val="Aptos Narrow"/>
      <family val="2"/>
      <scheme val="minor"/>
    </font>
    <font>
      <sz val="12"/>
      <color theme="1"/>
      <name val="Aptos"/>
      <family val="2"/>
    </font>
    <font>
      <b/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6DCE4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darkGray">
        <bgColor indexed="12"/>
      </patternFill>
    </fill>
    <fill>
      <patternFill patternType="solid">
        <fgColor rgb="FF99CC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dotted">
        <color rgb="FFC0C0C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/>
      <right style="medium">
        <color theme="8"/>
      </right>
      <top/>
      <bottom style="thin">
        <color indexed="64"/>
      </bottom>
      <diagonal/>
    </border>
    <border>
      <left style="medium">
        <color theme="8"/>
      </left>
      <right/>
      <top/>
      <bottom style="thin">
        <color indexed="64"/>
      </bottom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theme="8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46">
    <xf numFmtId="0" fontId="0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7" fillId="0" borderId="0"/>
    <xf numFmtId="0" fontId="17" fillId="0" borderId="0"/>
    <xf numFmtId="0" fontId="17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7" fillId="0" borderId="0"/>
    <xf numFmtId="0" fontId="14" fillId="0" borderId="0"/>
    <xf numFmtId="0" fontId="24" fillId="0" borderId="0"/>
    <xf numFmtId="0" fontId="25" fillId="0" borderId="0" applyNumberFormat="0" applyFill="0" applyBorder="0" applyAlignment="0" applyProtection="0"/>
    <xf numFmtId="0" fontId="26" fillId="0" borderId="0"/>
    <xf numFmtId="0" fontId="17" fillId="0" borderId="0"/>
    <xf numFmtId="0" fontId="14" fillId="0" borderId="0"/>
    <xf numFmtId="0" fontId="26" fillId="0" borderId="0"/>
    <xf numFmtId="0" fontId="19" fillId="0" borderId="0" applyNumberFormat="0" applyFill="0" applyBorder="0" applyAlignment="0" applyProtection="0"/>
    <xf numFmtId="0" fontId="13" fillId="0" borderId="0"/>
    <xf numFmtId="0" fontId="32" fillId="0" borderId="0"/>
    <xf numFmtId="0" fontId="12" fillId="0" borderId="0"/>
    <xf numFmtId="43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1" fillId="0" borderId="0"/>
    <xf numFmtId="0" fontId="40" fillId="0" borderId="0"/>
    <xf numFmtId="0" fontId="24" fillId="0" borderId="0"/>
    <xf numFmtId="0" fontId="45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51" fillId="0" borderId="0"/>
    <xf numFmtId="0" fontId="4" fillId="0" borderId="0"/>
    <xf numFmtId="0" fontId="3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6" fillId="0" borderId="0"/>
  </cellStyleXfs>
  <cellXfs count="471">
    <xf numFmtId="0" fontId="0" fillId="0" borderId="0" xfId="0"/>
    <xf numFmtId="0" fontId="0" fillId="0" borderId="0" xfId="0" applyAlignment="1">
      <alignment horizontal="right"/>
    </xf>
    <xf numFmtId="169" fontId="0" fillId="0" borderId="0" xfId="3" applyNumberFormat="1" applyFont="1"/>
    <xf numFmtId="3" fontId="0" fillId="0" borderId="0" xfId="0" applyNumberFormat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20" fillId="2" borderId="1" xfId="8" applyFont="1" applyFill="1" applyBorder="1" applyAlignment="1">
      <alignment horizontal="right"/>
    </xf>
    <xf numFmtId="0" fontId="0" fillId="2" borderId="0" xfId="0" applyFill="1" applyAlignment="1">
      <alignment horizontal="left"/>
    </xf>
    <xf numFmtId="1" fontId="0" fillId="2" borderId="0" xfId="0" applyNumberFormat="1" applyFill="1" applyAlignment="1">
      <alignment horizontal="right"/>
    </xf>
    <xf numFmtId="169" fontId="0" fillId="2" borderId="0" xfId="3" applyNumberFormat="1" applyFont="1" applyFill="1" applyAlignment="1">
      <alignment horizontal="right"/>
    </xf>
    <xf numFmtId="3" fontId="0" fillId="2" borderId="0" xfId="0" applyNumberFormat="1" applyFill="1" applyAlignment="1">
      <alignment horizontal="right"/>
    </xf>
    <xf numFmtId="0" fontId="21" fillId="2" borderId="0" xfId="0" applyFont="1" applyFill="1"/>
    <xf numFmtId="0" fontId="20" fillId="2" borderId="0" xfId="8" applyFont="1" applyFill="1" applyAlignment="1">
      <alignment horizontal="right"/>
    </xf>
    <xf numFmtId="0" fontId="21" fillId="2" borderId="0" xfId="0" applyFont="1" applyFill="1" applyAlignment="1">
      <alignment horizontal="left"/>
    </xf>
    <xf numFmtId="165" fontId="0" fillId="0" borderId="0" xfId="1" applyNumberFormat="1" applyFont="1"/>
    <xf numFmtId="0" fontId="18" fillId="3" borderId="0" xfId="0" applyFont="1" applyFill="1"/>
    <xf numFmtId="171" fontId="0" fillId="0" borderId="0" xfId="2" applyNumberFormat="1" applyFont="1" applyAlignment="1">
      <alignment horizontal="right"/>
    </xf>
    <xf numFmtId="3" fontId="18" fillId="0" borderId="0" xfId="0" applyNumberFormat="1" applyFont="1"/>
    <xf numFmtId="9" fontId="0" fillId="0" borderId="0" xfId="3" applyFont="1" applyAlignment="1">
      <alignment horizontal="right"/>
    </xf>
    <xf numFmtId="0" fontId="21" fillId="2" borderId="0" xfId="0" applyFont="1" applyFill="1" applyAlignment="1">
      <alignment horizontal="right"/>
    </xf>
    <xf numFmtId="3" fontId="21" fillId="2" borderId="0" xfId="0" applyNumberFormat="1" applyFont="1" applyFill="1" applyAlignment="1">
      <alignment horizontal="right"/>
    </xf>
    <xf numFmtId="49" fontId="22" fillId="0" borderId="4" xfId="0" applyNumberFormat="1" applyFont="1" applyBorder="1" applyAlignment="1">
      <alignment horizontal="left" vertical="top" wrapText="1"/>
    </xf>
    <xf numFmtId="43" fontId="0" fillId="0" borderId="0" xfId="0" applyNumberFormat="1"/>
    <xf numFmtId="0" fontId="29" fillId="0" borderId="0" xfId="0" applyFont="1"/>
    <xf numFmtId="3" fontId="18" fillId="0" borderId="0" xfId="0" applyNumberFormat="1" applyFont="1" applyAlignment="1">
      <alignment horizontal="center"/>
    </xf>
    <xf numFmtId="0" fontId="0" fillId="5" borderId="0" xfId="0" applyFill="1"/>
    <xf numFmtId="0" fontId="21" fillId="5" borderId="8" xfId="0" applyFont="1" applyFill="1" applyBorder="1"/>
    <xf numFmtId="0" fontId="32" fillId="0" borderId="0" xfId="21"/>
    <xf numFmtId="0" fontId="12" fillId="0" borderId="0" xfId="22"/>
    <xf numFmtId="3" fontId="32" fillId="0" borderId="0" xfId="21" applyNumberFormat="1"/>
    <xf numFmtId="165" fontId="32" fillId="0" borderId="0" xfId="23" applyNumberFormat="1" applyFill="1"/>
    <xf numFmtId="43" fontId="32" fillId="0" borderId="0" xfId="21" applyNumberFormat="1"/>
    <xf numFmtId="169" fontId="32" fillId="0" borderId="0" xfId="24" applyNumberFormat="1" applyFill="1"/>
    <xf numFmtId="43" fontId="32" fillId="0" borderId="0" xfId="23" applyFill="1"/>
    <xf numFmtId="0" fontId="36" fillId="0" borderId="0" xfId="21" applyFont="1"/>
    <xf numFmtId="3" fontId="36" fillId="0" borderId="0" xfId="21" applyNumberFormat="1" applyFont="1"/>
    <xf numFmtId="169" fontId="36" fillId="0" borderId="0" xfId="24" applyNumberFormat="1" applyFont="1" applyFill="1"/>
    <xf numFmtId="9" fontId="32" fillId="0" borderId="0" xfId="21" applyNumberFormat="1"/>
    <xf numFmtId="169" fontId="32" fillId="0" borderId="0" xfId="21" applyNumberFormat="1"/>
    <xf numFmtId="9" fontId="32" fillId="0" borderId="0" xfId="24" applyFill="1"/>
    <xf numFmtId="165" fontId="0" fillId="0" borderId="0" xfId="23" applyNumberFormat="1" applyFont="1"/>
    <xf numFmtId="10" fontId="0" fillId="0" borderId="0" xfId="24" applyNumberFormat="1" applyFont="1"/>
    <xf numFmtId="2" fontId="32" fillId="0" borderId="0" xfId="21" applyNumberFormat="1"/>
    <xf numFmtId="167" fontId="32" fillId="0" borderId="0" xfId="21" applyNumberFormat="1"/>
    <xf numFmtId="174" fontId="32" fillId="0" borderId="0" xfId="21" applyNumberFormat="1"/>
    <xf numFmtId="43" fontId="0" fillId="0" borderId="0" xfId="23" applyFont="1"/>
    <xf numFmtId="0" fontId="32" fillId="5" borderId="0" xfId="21" applyFill="1"/>
    <xf numFmtId="9" fontId="0" fillId="0" borderId="0" xfId="24" applyFont="1"/>
    <xf numFmtId="0" fontId="12" fillId="0" borderId="0" xfId="22" quotePrefix="1"/>
    <xf numFmtId="0" fontId="37" fillId="0" borderId="0" xfId="25"/>
    <xf numFmtId="0" fontId="38" fillId="0" borderId="0" xfId="22" applyFont="1" applyAlignment="1">
      <alignment vertical="center"/>
    </xf>
    <xf numFmtId="2" fontId="12" fillId="0" borderId="0" xfId="22" applyNumberFormat="1"/>
    <xf numFmtId="0" fontId="12" fillId="5" borderId="0" xfId="22" applyFill="1"/>
    <xf numFmtId="175" fontId="12" fillId="0" borderId="0" xfId="22" applyNumberFormat="1"/>
    <xf numFmtId="168" fontId="12" fillId="0" borderId="0" xfId="22" applyNumberFormat="1"/>
    <xf numFmtId="1" fontId="12" fillId="0" borderId="0" xfId="22" applyNumberFormat="1"/>
    <xf numFmtId="170" fontId="12" fillId="0" borderId="0" xfId="22" applyNumberFormat="1"/>
    <xf numFmtId="176" fontId="0" fillId="0" borderId="0" xfId="24" applyNumberFormat="1" applyFont="1"/>
    <xf numFmtId="174" fontId="32" fillId="0" borderId="0" xfId="1" applyNumberFormat="1" applyFont="1"/>
    <xf numFmtId="177" fontId="32" fillId="0" borderId="0" xfId="21" applyNumberFormat="1"/>
    <xf numFmtId="2" fontId="0" fillId="0" borderId="0" xfId="0" applyNumberFormat="1"/>
    <xf numFmtId="164" fontId="12" fillId="0" borderId="0" xfId="22" applyNumberFormat="1"/>
    <xf numFmtId="1" fontId="21" fillId="2" borderId="0" xfId="0" applyNumberFormat="1" applyFont="1" applyFill="1" applyAlignment="1">
      <alignment horizontal="right"/>
    </xf>
    <xf numFmtId="0" fontId="39" fillId="0" borderId="0" xfId="21" applyFont="1"/>
    <xf numFmtId="0" fontId="11" fillId="0" borderId="0" xfId="28"/>
    <xf numFmtId="0" fontId="24" fillId="0" borderId="0" xfId="30" applyAlignment="1">
      <alignment vertical="center"/>
    </xf>
    <xf numFmtId="0" fontId="24" fillId="0" borderId="0" xfId="30"/>
    <xf numFmtId="0" fontId="42" fillId="0" borderId="0" xfId="30" applyFont="1" applyAlignment="1">
      <alignment horizontal="centerContinuous" vertical="center"/>
    </xf>
    <xf numFmtId="0" fontId="24" fillId="0" borderId="0" xfId="30" applyAlignment="1">
      <alignment horizontal="centerContinuous"/>
    </xf>
    <xf numFmtId="178" fontId="43" fillId="0" borderId="13" xfId="30" applyNumberFormat="1" applyFont="1" applyBorder="1"/>
    <xf numFmtId="172" fontId="43" fillId="0" borderId="14" xfId="30" applyNumberFormat="1" applyFont="1" applyBorder="1" applyAlignment="1">
      <alignment horizontal="right"/>
    </xf>
    <xf numFmtId="0" fontId="24" fillId="0" borderId="13" xfId="30" applyBorder="1"/>
    <xf numFmtId="172" fontId="24" fillId="0" borderId="14" xfId="30" applyNumberFormat="1" applyBorder="1" applyAlignment="1">
      <alignment horizontal="right"/>
    </xf>
    <xf numFmtId="1" fontId="24" fillId="0" borderId="14" xfId="30" applyNumberFormat="1" applyBorder="1" applyAlignment="1">
      <alignment horizontal="right"/>
    </xf>
    <xf numFmtId="0" fontId="24" fillId="0" borderId="9" xfId="30" applyBorder="1"/>
    <xf numFmtId="172" fontId="24" fillId="0" borderId="2" xfId="30" applyNumberFormat="1" applyBorder="1" applyAlignment="1">
      <alignment horizontal="right"/>
    </xf>
    <xf numFmtId="0" fontId="24" fillId="0" borderId="0" xfId="30" applyAlignment="1">
      <alignment wrapText="1"/>
    </xf>
    <xf numFmtId="0" fontId="24" fillId="0" borderId="15" xfId="30" applyBorder="1"/>
    <xf numFmtId="172" fontId="24" fillId="0" borderId="16" xfId="30" applyNumberFormat="1" applyBorder="1" applyAlignment="1">
      <alignment horizontal="right"/>
    </xf>
    <xf numFmtId="3" fontId="24" fillId="0" borderId="0" xfId="30" applyNumberFormat="1"/>
    <xf numFmtId="0" fontId="44" fillId="0" borderId="0" xfId="30" applyFont="1" applyAlignment="1">
      <alignment horizontal="left"/>
    </xf>
    <xf numFmtId="0" fontId="42" fillId="0" borderId="0" xfId="30" applyFont="1" applyAlignment="1">
      <alignment horizontal="center"/>
    </xf>
    <xf numFmtId="0" fontId="42" fillId="0" borderId="0" xfId="30" applyFont="1" applyAlignment="1">
      <alignment horizontal="centerContinuous"/>
    </xf>
    <xf numFmtId="0" fontId="24" fillId="7" borderId="0" xfId="30" applyFill="1" applyAlignment="1">
      <alignment horizontal="centerContinuous"/>
    </xf>
    <xf numFmtId="0" fontId="24" fillId="7" borderId="0" xfId="30" applyFill="1" applyAlignment="1">
      <alignment horizontal="center" vertical="center"/>
    </xf>
    <xf numFmtId="172" fontId="43" fillId="0" borderId="0" xfId="30" applyNumberFormat="1" applyFont="1" applyAlignment="1">
      <alignment horizontal="right"/>
    </xf>
    <xf numFmtId="1" fontId="24" fillId="0" borderId="0" xfId="30" applyNumberFormat="1" applyAlignment="1">
      <alignment horizontal="right"/>
    </xf>
    <xf numFmtId="2" fontId="24" fillId="0" borderId="0" xfId="30" applyNumberFormat="1" applyAlignment="1">
      <alignment horizontal="right"/>
    </xf>
    <xf numFmtId="168" fontId="24" fillId="0" borderId="0" xfId="30" applyNumberFormat="1" applyAlignment="1">
      <alignment horizontal="right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/>
    <xf numFmtId="164" fontId="30" fillId="0" borderId="0" xfId="26" applyNumberFormat="1" applyFont="1" applyAlignment="1">
      <alignment horizontal="right" vertical="justify"/>
    </xf>
    <xf numFmtId="2" fontId="30" fillId="0" borderId="0" xfId="26" applyNumberFormat="1" applyFont="1" applyAlignment="1">
      <alignment horizontal="right" vertical="justify"/>
    </xf>
    <xf numFmtId="164" fontId="30" fillId="0" borderId="0" xfId="28" applyNumberFormat="1" applyFont="1" applyAlignment="1">
      <alignment horizontal="right" vertical="justify"/>
    </xf>
    <xf numFmtId="166" fontId="0" fillId="0" borderId="0" xfId="1" applyNumberFormat="1" applyFont="1" applyFill="1"/>
    <xf numFmtId="1" fontId="41" fillId="0" borderId="1" xfId="8" applyNumberFormat="1" applyFont="1" applyBorder="1" applyAlignment="1">
      <alignment horizontal="right"/>
    </xf>
    <xf numFmtId="1" fontId="41" fillId="0" borderId="0" xfId="8" applyNumberFormat="1" applyFont="1" applyAlignment="1">
      <alignment horizontal="right"/>
    </xf>
    <xf numFmtId="0" fontId="0" fillId="0" borderId="0" xfId="0" quotePrefix="1"/>
    <xf numFmtId="2" fontId="0" fillId="5" borderId="0" xfId="0" applyNumberFormat="1" applyFill="1"/>
    <xf numFmtId="43" fontId="12" fillId="0" borderId="0" xfId="22" applyNumberFormat="1"/>
    <xf numFmtId="165" fontId="0" fillId="0" borderId="0" xfId="27" applyNumberFormat="1" applyFont="1" applyFill="1"/>
    <xf numFmtId="0" fontId="32" fillId="2" borderId="0" xfId="21" applyFill="1"/>
    <xf numFmtId="169" fontId="32" fillId="2" borderId="0" xfId="3" applyNumberFormat="1" applyFont="1" applyFill="1"/>
    <xf numFmtId="9" fontId="32" fillId="2" borderId="0" xfId="21" applyNumberFormat="1" applyFill="1"/>
    <xf numFmtId="9" fontId="0" fillId="2" borderId="0" xfId="24" applyFont="1" applyFill="1" applyAlignment="1">
      <alignment horizontal="right"/>
    </xf>
    <xf numFmtId="164" fontId="32" fillId="2" borderId="0" xfId="21" applyNumberFormat="1" applyFill="1"/>
    <xf numFmtId="0" fontId="32" fillId="2" borderId="1" xfId="21" applyFill="1" applyBorder="1"/>
    <xf numFmtId="0" fontId="32" fillId="2" borderId="1" xfId="21" applyFill="1" applyBorder="1" applyAlignment="1">
      <alignment horizontal="right"/>
    </xf>
    <xf numFmtId="164" fontId="0" fillId="2" borderId="1" xfId="0" applyNumberFormat="1" applyFill="1" applyBorder="1" applyAlignment="1">
      <alignment horizontal="center" vertical="center"/>
    </xf>
    <xf numFmtId="164" fontId="30" fillId="8" borderId="0" xfId="33" applyNumberFormat="1" applyFont="1" applyFill="1" applyAlignment="1">
      <alignment horizontal="right" vertical="justify"/>
    </xf>
    <xf numFmtId="164" fontId="30" fillId="8" borderId="7" xfId="33" applyNumberFormat="1" applyFont="1" applyFill="1" applyBorder="1" applyAlignment="1">
      <alignment horizontal="right" vertical="justify"/>
    </xf>
    <xf numFmtId="169" fontId="30" fillId="8" borderId="0" xfId="3" applyNumberFormat="1" applyFont="1" applyFill="1" applyBorder="1" applyAlignment="1">
      <alignment horizontal="right" vertical="justify"/>
    </xf>
    <xf numFmtId="164" fontId="0" fillId="0" borderId="0" xfId="0" applyNumberFormat="1"/>
    <xf numFmtId="179" fontId="0" fillId="0" borderId="0" xfId="0" applyNumberFormat="1"/>
    <xf numFmtId="168" fontId="0" fillId="0" borderId="0" xfId="0" applyNumberFormat="1"/>
    <xf numFmtId="175" fontId="0" fillId="0" borderId="0" xfId="0" applyNumberFormat="1"/>
    <xf numFmtId="1" fontId="0" fillId="0" borderId="0" xfId="0" applyNumberFormat="1"/>
    <xf numFmtId="43" fontId="0" fillId="0" borderId="0" xfId="1" applyFont="1"/>
    <xf numFmtId="166" fontId="0" fillId="0" borderId="0" xfId="1" applyNumberFormat="1" applyFont="1"/>
    <xf numFmtId="0" fontId="21" fillId="0" borderId="0" xfId="0" applyFont="1"/>
    <xf numFmtId="0" fontId="7" fillId="0" borderId="0" xfId="36"/>
    <xf numFmtId="0" fontId="0" fillId="10" borderId="0" xfId="0" applyFill="1"/>
    <xf numFmtId="172" fontId="0" fillId="0" borderId="0" xfId="0" applyNumberFormat="1" applyAlignment="1">
      <alignment horizontal="right"/>
    </xf>
    <xf numFmtId="3" fontId="0" fillId="0" borderId="0" xfId="0" applyNumberFormat="1"/>
    <xf numFmtId="176" fontId="32" fillId="0" borderId="0" xfId="21" applyNumberFormat="1"/>
    <xf numFmtId="164" fontId="0" fillId="2" borderId="0" xfId="0" applyNumberFormat="1" applyFill="1" applyAlignment="1">
      <alignment horizontal="right"/>
    </xf>
    <xf numFmtId="0" fontId="28" fillId="0" borderId="0" xfId="0" applyFont="1"/>
    <xf numFmtId="0" fontId="46" fillId="0" borderId="0" xfId="0" applyFont="1"/>
    <xf numFmtId="0" fontId="12" fillId="2" borderId="0" xfId="22" applyFill="1"/>
    <xf numFmtId="164" fontId="12" fillId="2" borderId="0" xfId="22" applyNumberFormat="1" applyFill="1"/>
    <xf numFmtId="0" fontId="0" fillId="5" borderId="0" xfId="0" quotePrefix="1" applyFill="1"/>
    <xf numFmtId="164" fontId="30" fillId="2" borderId="0" xfId="26" applyNumberFormat="1" applyFont="1" applyFill="1" applyAlignment="1">
      <alignment horizontal="right" vertical="justify"/>
    </xf>
    <xf numFmtId="164" fontId="30" fillId="2" borderId="0" xfId="32" applyNumberFormat="1" applyFont="1" applyFill="1" applyAlignment="1">
      <alignment horizontal="right" vertical="justify"/>
    </xf>
    <xf numFmtId="2" fontId="30" fillId="2" borderId="0" xfId="34" applyNumberFormat="1" applyFont="1" applyFill="1" applyAlignment="1">
      <alignment horizontal="right" vertical="justify"/>
    </xf>
    <xf numFmtId="164" fontId="30" fillId="2" borderId="0" xfId="35" applyNumberFormat="1" applyFont="1" applyFill="1" applyAlignment="1">
      <alignment horizontal="right" vertical="justify"/>
    </xf>
    <xf numFmtId="2" fontId="30" fillId="2" borderId="0" xfId="33" applyNumberFormat="1" applyFont="1" applyFill="1" applyAlignment="1">
      <alignment horizontal="right" vertical="justify"/>
    </xf>
    <xf numFmtId="2" fontId="30" fillId="2" borderId="0" xfId="26" applyNumberFormat="1" applyFont="1" applyFill="1" applyAlignment="1">
      <alignment horizontal="right" vertical="justify"/>
    </xf>
    <xf numFmtId="164" fontId="30" fillId="2" borderId="7" xfId="26" applyNumberFormat="1" applyFont="1" applyFill="1" applyBorder="1" applyAlignment="1">
      <alignment horizontal="right" vertical="justify"/>
    </xf>
    <xf numFmtId="164" fontId="30" fillId="2" borderId="7" xfId="32" applyNumberFormat="1" applyFont="1" applyFill="1" applyBorder="1" applyAlignment="1">
      <alignment horizontal="right" vertical="justify"/>
    </xf>
    <xf numFmtId="2" fontId="30" fillId="2" borderId="7" xfId="34" applyNumberFormat="1" applyFont="1" applyFill="1" applyBorder="1" applyAlignment="1">
      <alignment horizontal="right" vertical="justify"/>
    </xf>
    <xf numFmtId="164" fontId="30" fillId="2" borderId="7" xfId="35" applyNumberFormat="1" applyFont="1" applyFill="1" applyBorder="1" applyAlignment="1">
      <alignment horizontal="right" vertical="justify"/>
    </xf>
    <xf numFmtId="2" fontId="30" fillId="2" borderId="7" xfId="33" applyNumberFormat="1" applyFont="1" applyFill="1" applyBorder="1" applyAlignment="1">
      <alignment horizontal="right" vertical="justify"/>
    </xf>
    <xf numFmtId="2" fontId="30" fillId="2" borderId="7" xfId="26" applyNumberFormat="1" applyFont="1" applyFill="1" applyBorder="1" applyAlignment="1">
      <alignment horizontal="right" vertical="justify"/>
    </xf>
    <xf numFmtId="0" fontId="0" fillId="11" borderId="17" xfId="0" applyFill="1" applyBorder="1"/>
    <xf numFmtId="0" fontId="0" fillId="11" borderId="18" xfId="0" applyFill="1" applyBorder="1"/>
    <xf numFmtId="165" fontId="0" fillId="5" borderId="0" xfId="1" applyNumberFormat="1" applyFont="1" applyFill="1"/>
    <xf numFmtId="0" fontId="0" fillId="2" borderId="20" xfId="0" applyFill="1" applyBorder="1"/>
    <xf numFmtId="0" fontId="0" fillId="2" borderId="22" xfId="0" applyFill="1" applyBorder="1"/>
    <xf numFmtId="0" fontId="0" fillId="2" borderId="25" xfId="0" applyFill="1" applyBorder="1"/>
    <xf numFmtId="0" fontId="0" fillId="2" borderId="27" xfId="0" applyFill="1" applyBorder="1"/>
    <xf numFmtId="0" fontId="27" fillId="2" borderId="19" xfId="0" applyFont="1" applyFill="1" applyBorder="1"/>
    <xf numFmtId="0" fontId="27" fillId="2" borderId="22" xfId="0" applyFont="1" applyFill="1" applyBorder="1"/>
    <xf numFmtId="164" fontId="0" fillId="2" borderId="0" xfId="0" applyNumberFormat="1" applyFill="1" applyAlignment="1">
      <alignment horizontal="center" vertical="center"/>
    </xf>
    <xf numFmtId="0" fontId="0" fillId="2" borderId="26" xfId="0" applyFill="1" applyBorder="1"/>
    <xf numFmtId="0" fontId="0" fillId="4" borderId="19" xfId="0" applyFill="1" applyBorder="1"/>
    <xf numFmtId="0" fontId="0" fillId="4" borderId="21" xfId="0" applyFill="1" applyBorder="1"/>
    <xf numFmtId="14" fontId="0" fillId="4" borderId="22" xfId="0" applyNumberFormat="1" applyFill="1" applyBorder="1"/>
    <xf numFmtId="0" fontId="0" fillId="4" borderId="23" xfId="0" applyFill="1" applyBorder="1"/>
    <xf numFmtId="14" fontId="0" fillId="4" borderId="26" xfId="0" applyNumberFormat="1" applyFill="1" applyBorder="1"/>
    <xf numFmtId="0" fontId="0" fillId="4" borderId="28" xfId="0" applyFill="1" applyBorder="1"/>
    <xf numFmtId="0" fontId="0" fillId="0" borderId="19" xfId="0" applyBorder="1"/>
    <xf numFmtId="164" fontId="0" fillId="0" borderId="21" xfId="0" applyNumberFormat="1" applyBorder="1"/>
    <xf numFmtId="0" fontId="0" fillId="0" borderId="22" xfId="0" applyBorder="1"/>
    <xf numFmtId="164" fontId="0" fillId="0" borderId="23" xfId="0" applyNumberFormat="1" applyBorder="1"/>
    <xf numFmtId="0" fontId="0" fillId="0" borderId="26" xfId="0" applyBorder="1"/>
    <xf numFmtId="164" fontId="0" fillId="0" borderId="28" xfId="0" applyNumberFormat="1" applyBorder="1"/>
    <xf numFmtId="0" fontId="0" fillId="4" borderId="22" xfId="0" applyFill="1" applyBorder="1"/>
    <xf numFmtId="2" fontId="0" fillId="4" borderId="23" xfId="0" applyNumberFormat="1" applyFill="1" applyBorder="1"/>
    <xf numFmtId="0" fontId="0" fillId="4" borderId="22" xfId="0" applyFill="1" applyBorder="1" applyAlignment="1">
      <alignment wrapText="1"/>
    </xf>
    <xf numFmtId="0" fontId="0" fillId="4" borderId="26" xfId="0" applyFill="1" applyBorder="1" applyAlignment="1">
      <alignment wrapText="1"/>
    </xf>
    <xf numFmtId="2" fontId="0" fillId="4" borderId="28" xfId="0" applyNumberFormat="1" applyFill="1" applyBorder="1"/>
    <xf numFmtId="0" fontId="0" fillId="4" borderId="20" xfId="0" applyFill="1" applyBorder="1"/>
    <xf numFmtId="0" fontId="0" fillId="4" borderId="0" xfId="0" applyFill="1"/>
    <xf numFmtId="0" fontId="0" fillId="4" borderId="26" xfId="0" applyFill="1" applyBorder="1"/>
    <xf numFmtId="0" fontId="0" fillId="4" borderId="27" xfId="0" applyFill="1" applyBorder="1"/>
    <xf numFmtId="0" fontId="12" fillId="4" borderId="19" xfId="22" applyFill="1" applyBorder="1"/>
    <xf numFmtId="0" fontId="12" fillId="4" borderId="20" xfId="22" applyFill="1" applyBorder="1"/>
    <xf numFmtId="0" fontId="12" fillId="4" borderId="21" xfId="22" applyFill="1" applyBorder="1"/>
    <xf numFmtId="164" fontId="12" fillId="4" borderId="27" xfId="22" applyNumberFormat="1" applyFill="1" applyBorder="1"/>
    <xf numFmtId="0" fontId="12" fillId="4" borderId="26" xfId="22" applyFill="1" applyBorder="1"/>
    <xf numFmtId="170" fontId="12" fillId="4" borderId="27" xfId="22" applyNumberFormat="1" applyFill="1" applyBorder="1"/>
    <xf numFmtId="0" fontId="12" fillId="4" borderId="22" xfId="22" applyFill="1" applyBorder="1"/>
    <xf numFmtId="164" fontId="12" fillId="4" borderId="23" xfId="22" applyNumberFormat="1" applyFill="1" applyBorder="1"/>
    <xf numFmtId="0" fontId="12" fillId="4" borderId="0" xfId="22" applyFill="1"/>
    <xf numFmtId="164" fontId="12" fillId="4" borderId="0" xfId="22" applyNumberFormat="1" applyFill="1"/>
    <xf numFmtId="0" fontId="0" fillId="13" borderId="0" xfId="0" applyFill="1"/>
    <xf numFmtId="0" fontId="0" fillId="15" borderId="0" xfId="0" applyFill="1"/>
    <xf numFmtId="0" fontId="47" fillId="0" borderId="0" xfId="0" applyFont="1" applyAlignment="1">
      <alignment vertical="center" wrapText="1"/>
    </xf>
    <xf numFmtId="0" fontId="48" fillId="0" borderId="0" xfId="0" applyFont="1" applyAlignment="1">
      <alignment vertical="center" wrapText="1"/>
    </xf>
    <xf numFmtId="0" fontId="49" fillId="0" borderId="0" xfId="0" applyFont="1" applyAlignment="1">
      <alignment horizontal="center" vertical="top" wrapText="1"/>
    </xf>
    <xf numFmtId="164" fontId="30" fillId="5" borderId="0" xfId="37" applyNumberFormat="1" applyFont="1" applyFill="1" applyAlignment="1">
      <alignment horizontal="right" vertical="justify"/>
    </xf>
    <xf numFmtId="164" fontId="30" fillId="5" borderId="7" xfId="37" applyNumberFormat="1" applyFont="1" applyFill="1" applyBorder="1" applyAlignment="1">
      <alignment horizontal="right" vertical="justify"/>
    </xf>
    <xf numFmtId="11" fontId="0" fillId="0" borderId="0" xfId="0" applyNumberFormat="1"/>
    <xf numFmtId="0" fontId="0" fillId="0" borderId="30" xfId="0" applyBorder="1"/>
    <xf numFmtId="49" fontId="50" fillId="0" borderId="0" xfId="21" applyNumberFormat="1" applyFont="1" applyAlignment="1">
      <alignment horizontal="center"/>
    </xf>
    <xf numFmtId="1" fontId="32" fillId="0" borderId="0" xfId="21" applyNumberFormat="1"/>
    <xf numFmtId="49" fontId="32" fillId="0" borderId="0" xfId="21" applyNumberFormat="1"/>
    <xf numFmtId="169" fontId="0" fillId="0" borderId="0" xfId="24" applyNumberFormat="1" applyFont="1"/>
    <xf numFmtId="165" fontId="32" fillId="0" borderId="0" xfId="21" applyNumberFormat="1"/>
    <xf numFmtId="165" fontId="36" fillId="0" borderId="0" xfId="21" applyNumberFormat="1" applyFont="1"/>
    <xf numFmtId="1" fontId="18" fillId="16" borderId="0" xfId="5" applyNumberFormat="1" applyFont="1" applyFill="1"/>
    <xf numFmtId="180" fontId="12" fillId="0" borderId="0" xfId="22" applyNumberFormat="1"/>
    <xf numFmtId="166" fontId="12" fillId="0" borderId="0" xfId="22" applyNumberFormat="1"/>
    <xf numFmtId="0" fontId="31" fillId="2" borderId="31" xfId="40" applyFont="1" applyFill="1" applyBorder="1" applyAlignment="1">
      <alignment horizontal="center" vertical="center"/>
    </xf>
    <xf numFmtId="0" fontId="31" fillId="2" borderId="0" xfId="40" applyFont="1" applyFill="1" applyAlignment="1">
      <alignment horizontal="center" vertical="center"/>
    </xf>
    <xf numFmtId="14" fontId="4" fillId="2" borderId="0" xfId="40" applyNumberFormat="1" applyFill="1" applyAlignment="1">
      <alignment vertical="center"/>
    </xf>
    <xf numFmtId="0" fontId="4" fillId="2" borderId="0" xfId="40" applyFill="1" applyAlignment="1">
      <alignment horizontal="center" vertical="center"/>
    </xf>
    <xf numFmtId="0" fontId="4" fillId="2" borderId="0" xfId="40" applyFill="1"/>
    <xf numFmtId="0" fontId="52" fillId="0" borderId="0" xfId="40" applyFont="1" applyAlignment="1">
      <alignment vertical="center"/>
    </xf>
    <xf numFmtId="0" fontId="52" fillId="2" borderId="0" xfId="40" applyFont="1" applyFill="1" applyAlignment="1">
      <alignment horizontal="center"/>
    </xf>
    <xf numFmtId="14" fontId="4" fillId="2" borderId="0" xfId="40" applyNumberFormat="1" applyFill="1"/>
    <xf numFmtId="14" fontId="4" fillId="2" borderId="31" xfId="40" applyNumberFormat="1" applyFill="1" applyBorder="1" applyAlignment="1">
      <alignment vertical="center"/>
    </xf>
    <xf numFmtId="0" fontId="4" fillId="2" borderId="31" xfId="40" applyFill="1" applyBorder="1" applyAlignment="1">
      <alignment horizontal="center" vertical="center"/>
    </xf>
    <xf numFmtId="0" fontId="4" fillId="2" borderId="0" xfId="40" applyFill="1" applyAlignment="1">
      <alignment vertical="center"/>
    </xf>
    <xf numFmtId="2" fontId="0" fillId="4" borderId="0" xfId="0" applyNumberFormat="1" applyFill="1"/>
    <xf numFmtId="1" fontId="21" fillId="0" borderId="0" xfId="0" applyNumberFormat="1" applyFont="1"/>
    <xf numFmtId="0" fontId="0" fillId="0" borderId="1" xfId="0" applyBorder="1" applyAlignment="1">
      <alignment horizontal="right"/>
    </xf>
    <xf numFmtId="0" fontId="21" fillId="2" borderId="1" xfId="0" applyFont="1" applyFill="1" applyBorder="1"/>
    <xf numFmtId="1" fontId="0" fillId="2" borderId="0" xfId="0" applyNumberFormat="1" applyFill="1"/>
    <xf numFmtId="1" fontId="21" fillId="2" borderId="0" xfId="0" applyNumberFormat="1" applyFont="1" applyFill="1"/>
    <xf numFmtId="165" fontId="21" fillId="2" borderId="0" xfId="1" applyNumberFormat="1" applyFont="1" applyFill="1"/>
    <xf numFmtId="165" fontId="0" fillId="2" borderId="0" xfId="1" applyNumberFormat="1" applyFont="1" applyFill="1"/>
    <xf numFmtId="0" fontId="28" fillId="2" borderId="0" xfId="0" applyFont="1" applyFill="1" applyAlignment="1">
      <alignment horizontal="left" indent="1"/>
    </xf>
    <xf numFmtId="49" fontId="0" fillId="0" borderId="0" xfId="0" applyNumberFormat="1"/>
    <xf numFmtId="171" fontId="0" fillId="0" borderId="0" xfId="2" applyNumberFormat="1" applyFont="1"/>
    <xf numFmtId="9" fontId="18" fillId="0" borderId="0" xfId="3" applyFont="1"/>
    <xf numFmtId="1" fontId="24" fillId="0" borderId="0" xfId="30" applyNumberFormat="1"/>
    <xf numFmtId="0" fontId="0" fillId="0" borderId="17" xfId="0" applyBorder="1"/>
    <xf numFmtId="0" fontId="0" fillId="0" borderId="18" xfId="0" applyBorder="1"/>
    <xf numFmtId="0" fontId="21" fillId="0" borderId="32" xfId="0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2" borderId="35" xfId="0" applyFill="1" applyBorder="1" applyAlignment="1">
      <alignment horizontal="right"/>
    </xf>
    <xf numFmtId="0" fontId="0" fillId="0" borderId="39" xfId="0" applyBorder="1"/>
    <xf numFmtId="0" fontId="21" fillId="0" borderId="38" xfId="0" applyFont="1" applyBorder="1" applyAlignment="1">
      <alignment horizontal="right"/>
    </xf>
    <xf numFmtId="0" fontId="21" fillId="0" borderId="33" xfId="0" applyFont="1" applyBorder="1"/>
    <xf numFmtId="10" fontId="0" fillId="0" borderId="35" xfId="3" applyNumberFormat="1" applyFont="1" applyBorder="1"/>
    <xf numFmtId="169" fontId="0" fillId="0" borderId="35" xfId="3" applyNumberFormat="1" applyFont="1" applyBorder="1"/>
    <xf numFmtId="0" fontId="28" fillId="0" borderId="36" xfId="0" applyFont="1" applyBorder="1" applyAlignment="1">
      <alignment horizontal="left" indent="2"/>
    </xf>
    <xf numFmtId="0" fontId="0" fillId="0" borderId="32" xfId="0" applyBorder="1"/>
    <xf numFmtId="9" fontId="0" fillId="0" borderId="33" xfId="3" applyFont="1" applyBorder="1"/>
    <xf numFmtId="9" fontId="0" fillId="0" borderId="37" xfId="3" applyFont="1" applyBorder="1"/>
    <xf numFmtId="165" fontId="0" fillId="2" borderId="0" xfId="27" applyNumberFormat="1" applyFont="1" applyFill="1"/>
    <xf numFmtId="10" fontId="21" fillId="2" borderId="0" xfId="3" applyNumberFormat="1" applyFont="1" applyFill="1"/>
    <xf numFmtId="49" fontId="50" fillId="0" borderId="0" xfId="0" applyNumberFormat="1" applyFont="1" applyAlignment="1">
      <alignment horizontal="center"/>
    </xf>
    <xf numFmtId="169" fontId="21" fillId="2" borderId="0" xfId="3" applyNumberFormat="1" applyFont="1" applyFill="1" applyAlignment="1">
      <alignment horizontal="right"/>
    </xf>
    <xf numFmtId="173" fontId="0" fillId="0" borderId="0" xfId="0" applyNumberFormat="1"/>
    <xf numFmtId="0" fontId="0" fillId="18" borderId="0" xfId="0" applyFill="1"/>
    <xf numFmtId="164" fontId="0" fillId="0" borderId="35" xfId="0" applyNumberFormat="1" applyBorder="1"/>
    <xf numFmtId="164" fontId="4" fillId="2" borderId="0" xfId="40" applyNumberFormat="1" applyFill="1"/>
    <xf numFmtId="1" fontId="28" fillId="5" borderId="0" xfId="0" applyNumberFormat="1" applyFont="1" applyFill="1"/>
    <xf numFmtId="1" fontId="53" fillId="5" borderId="0" xfId="0" applyNumberFormat="1" applyFont="1" applyFill="1"/>
    <xf numFmtId="0" fontId="0" fillId="19" borderId="0" xfId="0" applyFill="1" applyAlignment="1">
      <alignment vertical="center"/>
    </xf>
    <xf numFmtId="0" fontId="24" fillId="5" borderId="0" xfId="30" applyFill="1"/>
    <xf numFmtId="0" fontId="43" fillId="20" borderId="32" xfId="30" applyFont="1" applyFill="1" applyBorder="1"/>
    <xf numFmtId="0" fontId="24" fillId="20" borderId="38" xfId="30" applyFill="1" applyBorder="1"/>
    <xf numFmtId="0" fontId="24" fillId="20" borderId="33" xfId="30" applyFill="1" applyBorder="1"/>
    <xf numFmtId="0" fontId="24" fillId="20" borderId="34" xfId="30" applyFill="1" applyBorder="1"/>
    <xf numFmtId="0" fontId="24" fillId="20" borderId="0" xfId="30" applyFill="1"/>
    <xf numFmtId="0" fontId="24" fillId="20" borderId="35" xfId="30" applyFill="1" applyBorder="1"/>
    <xf numFmtId="0" fontId="24" fillId="20" borderId="36" xfId="30" applyFill="1" applyBorder="1"/>
    <xf numFmtId="0" fontId="24" fillId="20" borderId="39" xfId="30" applyFill="1" applyBorder="1"/>
    <xf numFmtId="0" fontId="24" fillId="20" borderId="37" xfId="30" applyFill="1" applyBorder="1"/>
    <xf numFmtId="0" fontId="0" fillId="5" borderId="33" xfId="0" applyFill="1" applyBorder="1"/>
    <xf numFmtId="0" fontId="0" fillId="5" borderId="37" xfId="0" applyFill="1" applyBorder="1"/>
    <xf numFmtId="10" fontId="0" fillId="5" borderId="39" xfId="0" applyNumberFormat="1" applyFill="1" applyBorder="1"/>
    <xf numFmtId="0" fontId="0" fillId="5" borderId="35" xfId="0" applyFill="1" applyBorder="1"/>
    <xf numFmtId="0" fontId="0" fillId="5" borderId="39" xfId="0" applyFill="1" applyBorder="1"/>
    <xf numFmtId="0" fontId="0" fillId="5" borderId="35" xfId="0" applyFill="1" applyBorder="1" applyAlignment="1">
      <alignment horizontal="right"/>
    </xf>
    <xf numFmtId="0" fontId="0" fillId="5" borderId="18" xfId="0" applyFill="1" applyBorder="1"/>
    <xf numFmtId="0" fontId="0" fillId="21" borderId="0" xfId="0" applyFill="1"/>
    <xf numFmtId="0" fontId="0" fillId="22" borderId="0" xfId="0" applyFill="1"/>
    <xf numFmtId="0" fontId="12" fillId="0" borderId="1" xfId="22" applyBorder="1"/>
    <xf numFmtId="0" fontId="0" fillId="0" borderId="1" xfId="0" applyBorder="1"/>
    <xf numFmtId="0" fontId="0" fillId="0" borderId="40" xfId="0" applyBorder="1"/>
    <xf numFmtId="0" fontId="21" fillId="0" borderId="40" xfId="0" applyFont="1" applyBorder="1" applyAlignment="1">
      <alignment horizontal="right"/>
    </xf>
    <xf numFmtId="164" fontId="0" fillId="2" borderId="40" xfId="0" applyNumberFormat="1" applyFill="1" applyBorder="1" applyAlignment="1">
      <alignment horizontal="right"/>
    </xf>
    <xf numFmtId="0" fontId="0" fillId="13" borderId="34" xfId="0" applyFill="1" applyBorder="1"/>
    <xf numFmtId="0" fontId="0" fillId="13" borderId="35" xfId="0" applyFill="1" applyBorder="1"/>
    <xf numFmtId="0" fontId="0" fillId="21" borderId="34" xfId="0" applyFill="1" applyBorder="1"/>
    <xf numFmtId="0" fontId="0" fillId="21" borderId="35" xfId="0" applyFill="1" applyBorder="1"/>
    <xf numFmtId="0" fontId="0" fillId="10" borderId="34" xfId="0" applyFill="1" applyBorder="1"/>
    <xf numFmtId="0" fontId="0" fillId="10" borderId="35" xfId="0" applyFill="1" applyBorder="1"/>
    <xf numFmtId="0" fontId="0" fillId="22" borderId="34" xfId="0" applyFill="1" applyBorder="1"/>
    <xf numFmtId="0" fontId="0" fillId="22" borderId="35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2" borderId="34" xfId="0" applyFill="1" applyBorder="1" applyAlignment="1">
      <alignment horizontal="right"/>
    </xf>
    <xf numFmtId="0" fontId="0" fillId="12" borderId="0" xfId="0" applyFill="1" applyAlignment="1">
      <alignment horizontal="right"/>
    </xf>
    <xf numFmtId="0" fontId="0" fillId="12" borderId="35" xfId="0" applyFill="1" applyBorder="1" applyAlignment="1">
      <alignment horizontal="right"/>
    </xf>
    <xf numFmtId="164" fontId="0" fillId="0" borderId="34" xfId="0" applyNumberFormat="1" applyBorder="1"/>
    <xf numFmtId="164" fontId="0" fillId="13" borderId="0" xfId="0" applyNumberFormat="1" applyFill="1"/>
    <xf numFmtId="164" fontId="0" fillId="21" borderId="0" xfId="0" applyNumberFormat="1" applyFill="1"/>
    <xf numFmtId="164" fontId="0" fillId="10" borderId="0" xfId="0" applyNumberFormat="1" applyFill="1"/>
    <xf numFmtId="164" fontId="0" fillId="22" borderId="0" xfId="0" applyNumberFormat="1" applyFill="1"/>
    <xf numFmtId="164" fontId="0" fillId="15" borderId="0" xfId="0" applyNumberFormat="1" applyFill="1"/>
    <xf numFmtId="164" fontId="0" fillId="18" borderId="0" xfId="0" applyNumberFormat="1" applyFill="1"/>
    <xf numFmtId="164" fontId="0" fillId="0" borderId="36" xfId="0" applyNumberFormat="1" applyBorder="1"/>
    <xf numFmtId="164" fontId="0" fillId="0" borderId="39" xfId="0" applyNumberFormat="1" applyBorder="1"/>
    <xf numFmtId="164" fontId="0" fillId="0" borderId="37" xfId="0" applyNumberFormat="1" applyBorder="1"/>
    <xf numFmtId="0" fontId="12" fillId="0" borderId="34" xfId="22" applyBorder="1"/>
    <xf numFmtId="0" fontId="12" fillId="13" borderId="34" xfId="22" applyFill="1" applyBorder="1"/>
    <xf numFmtId="0" fontId="12" fillId="21" borderId="34" xfId="22" applyFill="1" applyBorder="1"/>
    <xf numFmtId="0" fontId="12" fillId="10" borderId="34" xfId="22" applyFill="1" applyBorder="1"/>
    <xf numFmtId="0" fontId="12" fillId="22" borderId="34" xfId="22" applyFill="1" applyBorder="1"/>
    <xf numFmtId="0" fontId="12" fillId="15" borderId="34" xfId="22" applyFill="1" applyBorder="1"/>
    <xf numFmtId="0" fontId="12" fillId="18" borderId="34" xfId="22" applyFill="1" applyBorder="1"/>
    <xf numFmtId="0" fontId="12" fillId="0" borderId="41" xfId="22" applyBorder="1"/>
    <xf numFmtId="0" fontId="0" fillId="0" borderId="42" xfId="0" applyBorder="1"/>
    <xf numFmtId="0" fontId="21" fillId="0" borderId="43" xfId="0" applyFont="1" applyBorder="1"/>
    <xf numFmtId="0" fontId="0" fillId="13" borderId="44" xfId="0" applyFill="1" applyBorder="1"/>
    <xf numFmtId="0" fontId="0" fillId="14" borderId="44" xfId="0" applyFill="1" applyBorder="1"/>
    <xf numFmtId="0" fontId="0" fillId="10" borderId="44" xfId="0" applyFill="1" applyBorder="1"/>
    <xf numFmtId="0" fontId="0" fillId="15" borderId="44" xfId="0" applyFill="1" applyBorder="1"/>
    <xf numFmtId="0" fontId="0" fillId="17" borderId="45" xfId="0" applyFill="1" applyBorder="1"/>
    <xf numFmtId="0" fontId="0" fillId="5" borderId="0" xfId="0" applyFill="1" applyAlignment="1">
      <alignment horizontal="right"/>
    </xf>
    <xf numFmtId="0" fontId="12" fillId="13" borderId="0" xfId="22" applyFill="1"/>
    <xf numFmtId="0" fontId="12" fillId="21" borderId="0" xfId="22" applyFill="1"/>
    <xf numFmtId="0" fontId="12" fillId="10" borderId="0" xfId="22" applyFill="1"/>
    <xf numFmtId="0" fontId="12" fillId="22" borderId="0" xfId="22" applyFill="1"/>
    <xf numFmtId="0" fontId="12" fillId="15" borderId="0" xfId="22" applyFill="1"/>
    <xf numFmtId="0" fontId="12" fillId="18" borderId="0" xfId="22" applyFill="1"/>
    <xf numFmtId="0" fontId="12" fillId="0" borderId="36" xfId="22" applyBorder="1"/>
    <xf numFmtId="0" fontId="12" fillId="0" borderId="39" xfId="22" applyBorder="1"/>
    <xf numFmtId="0" fontId="39" fillId="0" borderId="32" xfId="21" applyFont="1" applyBorder="1"/>
    <xf numFmtId="0" fontId="32" fillId="0" borderId="33" xfId="21" applyBorder="1"/>
    <xf numFmtId="0" fontId="32" fillId="0" borderId="34" xfId="21" applyBorder="1"/>
    <xf numFmtId="2" fontId="32" fillId="0" borderId="35" xfId="21" applyNumberFormat="1" applyBorder="1"/>
    <xf numFmtId="0" fontId="32" fillId="0" borderId="36" xfId="21" applyBorder="1"/>
    <xf numFmtId="2" fontId="32" fillId="0" borderId="37" xfId="21" applyNumberFormat="1" applyBorder="1"/>
    <xf numFmtId="10" fontId="0" fillId="0" borderId="0" xfId="24" applyNumberFormat="1" applyFont="1" applyFill="1"/>
    <xf numFmtId="173" fontId="0" fillId="0" borderId="0" xfId="24" applyNumberFormat="1" applyFont="1" applyFill="1"/>
    <xf numFmtId="0" fontId="21" fillId="5" borderId="0" xfId="0" applyFont="1" applyFill="1"/>
    <xf numFmtId="164" fontId="30" fillId="0" borderId="0" xfId="32" applyNumberFormat="1" applyFont="1" applyAlignment="1">
      <alignment horizontal="right" vertical="justify"/>
    </xf>
    <xf numFmtId="2" fontId="30" fillId="0" borderId="0" xfId="34" applyNumberFormat="1" applyFont="1" applyAlignment="1">
      <alignment horizontal="right" vertical="justify"/>
    </xf>
    <xf numFmtId="164" fontId="30" fillId="0" borderId="0" xfId="35" applyNumberFormat="1" applyFont="1" applyAlignment="1">
      <alignment horizontal="right" vertical="justify"/>
    </xf>
    <xf numFmtId="2" fontId="30" fillId="0" borderId="0" xfId="33" applyNumberFormat="1" applyFont="1" applyAlignment="1">
      <alignment horizontal="right" vertical="justify"/>
    </xf>
    <xf numFmtId="164" fontId="30" fillId="0" borderId="0" xfId="38" applyNumberFormat="1" applyFont="1" applyAlignment="1">
      <alignment horizontal="right" vertical="justify"/>
    </xf>
    <xf numFmtId="164" fontId="30" fillId="0" borderId="7" xfId="26" applyNumberFormat="1" applyFont="1" applyBorder="1" applyAlignment="1">
      <alignment horizontal="right" vertical="justify"/>
    </xf>
    <xf numFmtId="164" fontId="30" fillId="0" borderId="7" xfId="32" applyNumberFormat="1" applyFont="1" applyBorder="1" applyAlignment="1">
      <alignment horizontal="right" vertical="justify"/>
    </xf>
    <xf numFmtId="2" fontId="30" fillId="0" borderId="7" xfId="34" applyNumberFormat="1" applyFont="1" applyBorder="1" applyAlignment="1">
      <alignment horizontal="right" vertical="justify"/>
    </xf>
    <xf numFmtId="164" fontId="30" fillId="0" borderId="7" xfId="35" applyNumberFormat="1" applyFont="1" applyBorder="1" applyAlignment="1">
      <alignment horizontal="right" vertical="justify"/>
    </xf>
    <xf numFmtId="2" fontId="30" fillId="0" borderId="7" xfId="33" applyNumberFormat="1" applyFont="1" applyBorder="1" applyAlignment="1">
      <alignment horizontal="right" vertical="justify"/>
    </xf>
    <xf numFmtId="2" fontId="30" fillId="0" borderId="7" xfId="26" applyNumberFormat="1" applyFont="1" applyBorder="1" applyAlignment="1">
      <alignment horizontal="right" vertical="justify"/>
    </xf>
    <xf numFmtId="164" fontId="30" fillId="0" borderId="7" xfId="38" applyNumberFormat="1" applyFont="1" applyBorder="1" applyAlignment="1">
      <alignment horizontal="right" vertical="justify"/>
    </xf>
    <xf numFmtId="164" fontId="30" fillId="0" borderId="0" xfId="33" applyNumberFormat="1" applyFont="1" applyAlignment="1">
      <alignment horizontal="right" vertical="justify"/>
    </xf>
    <xf numFmtId="164" fontId="30" fillId="0" borderId="7" xfId="33" applyNumberFormat="1" applyFont="1" applyBorder="1" applyAlignment="1">
      <alignment horizontal="right" vertical="justify"/>
    </xf>
    <xf numFmtId="169" fontId="30" fillId="0" borderId="0" xfId="3" applyNumberFormat="1" applyFont="1" applyFill="1" applyBorder="1" applyAlignment="1">
      <alignment horizontal="right" vertical="justify"/>
    </xf>
    <xf numFmtId="164" fontId="30" fillId="0" borderId="0" xfId="41" applyNumberFormat="1" applyFont="1" applyAlignment="1">
      <alignment horizontal="right" vertical="justify"/>
    </xf>
    <xf numFmtId="164" fontId="30" fillId="0" borderId="7" xfId="41" applyNumberFormat="1" applyFont="1" applyBorder="1" applyAlignment="1">
      <alignment horizontal="right" vertical="justify"/>
    </xf>
    <xf numFmtId="0" fontId="2" fillId="0" borderId="0" xfId="42"/>
    <xf numFmtId="0" fontId="2" fillId="0" borderId="0" xfId="42" quotePrefix="1"/>
    <xf numFmtId="165" fontId="0" fillId="0" borderId="0" xfId="43" applyNumberFormat="1" applyFont="1"/>
    <xf numFmtId="9" fontId="0" fillId="0" borderId="0" xfId="44" applyFont="1"/>
    <xf numFmtId="9" fontId="2" fillId="0" borderId="0" xfId="42" applyNumberFormat="1"/>
    <xf numFmtId="0" fontId="37" fillId="0" borderId="0" xfId="25" applyFill="1"/>
    <xf numFmtId="0" fontId="0" fillId="2" borderId="34" xfId="0" applyFill="1" applyBorder="1" applyAlignment="1">
      <alignment horizontal="left"/>
    </xf>
    <xf numFmtId="0" fontId="21" fillId="9" borderId="32" xfId="0" applyFont="1" applyFill="1" applyBorder="1"/>
    <xf numFmtId="0" fontId="0" fillId="9" borderId="38" xfId="0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0" xfId="0" applyFill="1"/>
    <xf numFmtId="0" fontId="0" fillId="9" borderId="35" xfId="0" applyFill="1" applyBorder="1"/>
    <xf numFmtId="14" fontId="0" fillId="9" borderId="34" xfId="0" applyNumberFormat="1" applyFill="1" applyBorder="1"/>
    <xf numFmtId="164" fontId="30" fillId="9" borderId="0" xfId="26" applyNumberFormat="1" applyFont="1" applyFill="1" applyAlignment="1">
      <alignment horizontal="right" vertical="justify"/>
    </xf>
    <xf numFmtId="164" fontId="30" fillId="9" borderId="0" xfId="32" applyNumberFormat="1" applyFont="1" applyFill="1" applyAlignment="1">
      <alignment horizontal="right" vertical="justify"/>
    </xf>
    <xf numFmtId="2" fontId="30" fillId="9" borderId="0" xfId="34" applyNumberFormat="1" applyFont="1" applyFill="1" applyAlignment="1">
      <alignment horizontal="right" vertical="justify"/>
    </xf>
    <xf numFmtId="164" fontId="30" fillId="9" borderId="0" xfId="35" applyNumberFormat="1" applyFont="1" applyFill="1" applyAlignment="1">
      <alignment horizontal="right" vertical="justify"/>
    </xf>
    <xf numFmtId="2" fontId="30" fillId="9" borderId="35" xfId="26" applyNumberFormat="1" applyFont="1" applyFill="1" applyBorder="1" applyAlignment="1">
      <alignment horizontal="right" vertical="justify"/>
    </xf>
    <xf numFmtId="14" fontId="0" fillId="9" borderId="36" xfId="0" applyNumberFormat="1" applyFill="1" applyBorder="1"/>
    <xf numFmtId="164" fontId="30" fillId="9" borderId="39" xfId="26" applyNumberFormat="1" applyFont="1" applyFill="1" applyBorder="1" applyAlignment="1">
      <alignment horizontal="right" vertical="justify"/>
    </xf>
    <xf numFmtId="164" fontId="30" fillId="9" borderId="39" xfId="32" applyNumberFormat="1" applyFont="1" applyFill="1" applyBorder="1" applyAlignment="1">
      <alignment horizontal="right" vertical="justify"/>
    </xf>
    <xf numFmtId="2" fontId="30" fillId="9" borderId="39" xfId="34" applyNumberFormat="1" applyFont="1" applyFill="1" applyBorder="1" applyAlignment="1">
      <alignment horizontal="right" vertical="justify"/>
    </xf>
    <xf numFmtId="164" fontId="30" fillId="9" borderId="39" xfId="35" applyNumberFormat="1" applyFont="1" applyFill="1" applyBorder="1" applyAlignment="1">
      <alignment horizontal="right" vertical="justify"/>
    </xf>
    <xf numFmtId="2" fontId="30" fillId="9" borderId="37" xfId="26" applyNumberFormat="1" applyFont="1" applyFill="1" applyBorder="1" applyAlignment="1">
      <alignment horizontal="right" vertical="justify"/>
    </xf>
    <xf numFmtId="1" fontId="41" fillId="0" borderId="41" xfId="8" applyNumberFormat="1" applyFont="1" applyBorder="1" applyAlignment="1">
      <alignment horizontal="right"/>
    </xf>
    <xf numFmtId="1" fontId="41" fillId="0" borderId="42" xfId="8" applyNumberFormat="1" applyFont="1" applyBorder="1" applyAlignment="1">
      <alignment horizontal="right"/>
    </xf>
    <xf numFmtId="0" fontId="0" fillId="13" borderId="34" xfId="0" quotePrefix="1" applyFill="1" applyBorder="1"/>
    <xf numFmtId="2" fontId="30" fillId="13" borderId="34" xfId="26" applyNumberFormat="1" applyFont="1" applyFill="1" applyBorder="1" applyAlignment="1">
      <alignment horizontal="right" vertical="justify"/>
    </xf>
    <xf numFmtId="2" fontId="0" fillId="13" borderId="35" xfId="0" applyNumberFormat="1" applyFill="1" applyBorder="1"/>
    <xf numFmtId="2" fontId="30" fillId="13" borderId="36" xfId="26" applyNumberFormat="1" applyFont="1" applyFill="1" applyBorder="1" applyAlignment="1">
      <alignment horizontal="right" vertical="justify"/>
    </xf>
    <xf numFmtId="2" fontId="0" fillId="13" borderId="37" xfId="0" applyNumberFormat="1" applyFill="1" applyBorder="1"/>
    <xf numFmtId="0" fontId="0" fillId="5" borderId="34" xfId="0" applyFill="1" applyBorder="1"/>
    <xf numFmtId="164" fontId="30" fillId="0" borderId="0" xfId="29" applyNumberFormat="1" applyFont="1" applyAlignment="1">
      <alignment horizontal="right" vertical="justify"/>
    </xf>
    <xf numFmtId="2" fontId="30" fillId="0" borderId="0" xfId="29" applyNumberFormat="1" applyFont="1" applyAlignment="1">
      <alignment horizontal="right" vertical="justify"/>
    </xf>
    <xf numFmtId="2" fontId="30" fillId="0" borderId="0" xfId="31" applyNumberFormat="1" applyFont="1" applyAlignment="1">
      <alignment horizontal="right" vertical="justify"/>
    </xf>
    <xf numFmtId="164" fontId="30" fillId="0" borderId="7" xfId="29" applyNumberFormat="1" applyFont="1" applyBorder="1" applyAlignment="1">
      <alignment horizontal="right" vertical="justify"/>
    </xf>
    <xf numFmtId="2" fontId="30" fillId="0" borderId="7" xfId="29" applyNumberFormat="1" applyFont="1" applyBorder="1" applyAlignment="1">
      <alignment horizontal="right" vertical="justify"/>
    </xf>
    <xf numFmtId="2" fontId="30" fillId="0" borderId="7" xfId="31" applyNumberFormat="1" applyFont="1" applyBorder="1" applyAlignment="1">
      <alignment horizontal="right" vertical="justify"/>
    </xf>
    <xf numFmtId="164" fontId="30" fillId="0" borderId="0" xfId="39" applyNumberFormat="1" applyFont="1" applyAlignment="1">
      <alignment horizontal="right" vertical="justify"/>
    </xf>
    <xf numFmtId="164" fontId="30" fillId="0" borderId="7" xfId="39" applyNumberFormat="1" applyFont="1" applyBorder="1" applyAlignment="1">
      <alignment horizontal="right" vertical="justify"/>
    </xf>
    <xf numFmtId="0" fontId="49" fillId="0" borderId="29" xfId="0" applyFont="1" applyBorder="1" applyAlignment="1">
      <alignment vertical="center" wrapText="1"/>
    </xf>
    <xf numFmtId="0" fontId="49" fillId="0" borderId="29" xfId="0" applyFont="1" applyBorder="1" applyAlignment="1">
      <alignment horizontal="center" vertical="center" wrapText="1"/>
    </xf>
    <xf numFmtId="0" fontId="49" fillId="0" borderId="0" xfId="0" applyFont="1" applyAlignment="1">
      <alignment vertical="center" wrapText="1"/>
    </xf>
    <xf numFmtId="0" fontId="49" fillId="0" borderId="0" xfId="0" applyFont="1" applyAlignment="1">
      <alignment horizontal="center" vertical="center" wrapText="1"/>
    </xf>
    <xf numFmtId="2" fontId="21" fillId="2" borderId="18" xfId="0" applyNumberFormat="1" applyFont="1" applyFill="1" applyBorder="1" applyAlignment="1">
      <alignment horizontal="right"/>
    </xf>
    <xf numFmtId="0" fontId="1" fillId="0" borderId="0" xfId="22" applyFont="1"/>
    <xf numFmtId="0" fontId="1" fillId="0" borderId="0" xfId="22" quotePrefix="1" applyFont="1"/>
    <xf numFmtId="0" fontId="1" fillId="0" borderId="0" xfId="22" applyFont="1" applyAlignment="1">
      <alignment horizontal="right"/>
    </xf>
    <xf numFmtId="165" fontId="1" fillId="0" borderId="0" xfId="1" applyNumberFormat="1" applyFont="1"/>
    <xf numFmtId="0" fontId="1" fillId="4" borderId="26" xfId="22" applyFont="1" applyFill="1" applyBorder="1"/>
    <xf numFmtId="9" fontId="1" fillId="0" borderId="0" xfId="3" applyFont="1"/>
    <xf numFmtId="164" fontId="1" fillId="4" borderId="20" xfId="22" applyNumberFormat="1" applyFont="1" applyFill="1" applyBorder="1"/>
    <xf numFmtId="164" fontId="1" fillId="4" borderId="21" xfId="22" applyNumberFormat="1" applyFont="1" applyFill="1" applyBorder="1"/>
    <xf numFmtId="164" fontId="1" fillId="2" borderId="0" xfId="22" applyNumberFormat="1" applyFont="1" applyFill="1"/>
    <xf numFmtId="0" fontId="1" fillId="2" borderId="0" xfId="22" applyFont="1" applyFill="1"/>
    <xf numFmtId="0" fontId="1" fillId="0" borderId="36" xfId="22" applyFont="1" applyBorder="1"/>
    <xf numFmtId="165" fontId="12" fillId="0" borderId="0" xfId="22" applyNumberFormat="1"/>
    <xf numFmtId="169" fontId="0" fillId="5" borderId="0" xfId="3" applyNumberFormat="1" applyFont="1" applyFill="1" applyAlignment="1">
      <alignment horizontal="right"/>
    </xf>
    <xf numFmtId="0" fontId="0" fillId="5" borderId="0" xfId="0" applyFill="1" applyAlignment="1">
      <alignment horizontal="left"/>
    </xf>
    <xf numFmtId="169" fontId="0" fillId="2" borderId="0" xfId="0" applyNumberFormat="1" applyFill="1" applyAlignment="1">
      <alignment horizontal="right"/>
    </xf>
    <xf numFmtId="169" fontId="1" fillId="0" borderId="0" xfId="3" applyNumberFormat="1" applyFont="1"/>
    <xf numFmtId="49" fontId="22" fillId="0" borderId="50" xfId="0" applyNumberFormat="1" applyFont="1" applyBorder="1" applyAlignment="1">
      <alignment horizontal="left" vertical="top" wrapText="1"/>
    </xf>
    <xf numFmtId="49" fontId="22" fillId="0" borderId="53" xfId="0" applyNumberFormat="1" applyFont="1" applyBorder="1" applyAlignment="1">
      <alignment horizontal="left" vertical="top" wrapText="1"/>
    </xf>
    <xf numFmtId="49" fontId="23" fillId="0" borderId="53" xfId="0" applyNumberFormat="1" applyFont="1" applyBorder="1" applyAlignment="1">
      <alignment horizontal="right"/>
    </xf>
    <xf numFmtId="0" fontId="23" fillId="0" borderId="53" xfId="0" applyFont="1" applyBorder="1" applyAlignment="1">
      <alignment horizontal="right"/>
    </xf>
    <xf numFmtId="49" fontId="23" fillId="0" borderId="47" xfId="0" applyNumberFormat="1" applyFont="1" applyBorder="1"/>
    <xf numFmtId="49" fontId="23" fillId="0" borderId="48" xfId="0" applyNumberFormat="1" applyFont="1" applyBorder="1"/>
    <xf numFmtId="49" fontId="23" fillId="0" borderId="49" xfId="0" applyNumberFormat="1" applyFont="1" applyBorder="1"/>
    <xf numFmtId="0" fontId="24" fillId="7" borderId="55" xfId="30" applyFill="1" applyBorder="1" applyAlignment="1">
      <alignment horizontal="centerContinuous"/>
    </xf>
    <xf numFmtId="0" fontId="24" fillId="7" borderId="48" xfId="30" applyFill="1" applyBorder="1" applyAlignment="1">
      <alignment horizontal="centerContinuous"/>
    </xf>
    <xf numFmtId="0" fontId="31" fillId="19" borderId="56" xfId="0" applyFont="1" applyFill="1" applyBorder="1" applyAlignment="1">
      <alignment horizontal="center" vertical="center" wrapText="1"/>
    </xf>
    <xf numFmtId="0" fontId="31" fillId="0" borderId="56" xfId="36" applyFont="1" applyBorder="1" applyAlignment="1">
      <alignment horizontal="center" vertical="top"/>
    </xf>
    <xf numFmtId="0" fontId="35" fillId="6" borderId="57" xfId="21" applyFont="1" applyFill="1" applyBorder="1" applyAlignment="1">
      <alignment horizontal="center" vertical="center"/>
    </xf>
    <xf numFmtId="170" fontId="0" fillId="0" borderId="0" xfId="2" applyNumberFormat="1" applyFont="1"/>
    <xf numFmtId="0" fontId="27" fillId="2" borderId="20" xfId="0" applyFont="1" applyFill="1" applyBorder="1"/>
    <xf numFmtId="0" fontId="27" fillId="2" borderId="0" xfId="0" applyFont="1" applyFill="1"/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9" fontId="0" fillId="2" borderId="0" xfId="3" applyFont="1" applyFill="1" applyBorder="1" applyAlignment="1">
      <alignment horizontal="center"/>
    </xf>
    <xf numFmtId="9" fontId="0" fillId="2" borderId="0" xfId="3" applyFont="1" applyFill="1" applyAlignment="1">
      <alignment horizontal="center" vertical="center"/>
    </xf>
    <xf numFmtId="9" fontId="0" fillId="2" borderId="1" xfId="3" applyFont="1" applyFill="1" applyBorder="1" applyAlignment="1">
      <alignment horizontal="center"/>
    </xf>
    <xf numFmtId="0" fontId="21" fillId="2" borderId="22" xfId="0" applyFont="1" applyFill="1" applyBorder="1"/>
    <xf numFmtId="164" fontId="21" fillId="2" borderId="0" xfId="0" applyNumberFormat="1" applyFont="1" applyFill="1" applyAlignment="1">
      <alignment horizontal="center"/>
    </xf>
    <xf numFmtId="164" fontId="21" fillId="2" borderId="0" xfId="0" applyNumberFormat="1" applyFont="1" applyFill="1" applyAlignment="1">
      <alignment horizontal="center" vertical="center"/>
    </xf>
    <xf numFmtId="9" fontId="21" fillId="2" borderId="0" xfId="3" applyFont="1" applyFill="1" applyBorder="1" applyAlignment="1">
      <alignment horizontal="center"/>
    </xf>
    <xf numFmtId="9" fontId="0" fillId="2" borderId="0" xfId="3" applyFont="1" applyFill="1"/>
    <xf numFmtId="164" fontId="30" fillId="8" borderId="0" xfId="45" applyNumberFormat="1" applyFont="1" applyFill="1" applyAlignment="1">
      <alignment horizontal="right" vertical="justify"/>
    </xf>
    <xf numFmtId="164" fontId="30" fillId="8" borderId="7" xfId="45" applyNumberFormat="1" applyFont="1" applyFill="1" applyBorder="1" applyAlignment="1">
      <alignment horizontal="right" vertical="justify"/>
    </xf>
    <xf numFmtId="0" fontId="0" fillId="2" borderId="1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49" fontId="22" fillId="0" borderId="47" xfId="0" applyNumberFormat="1" applyFont="1" applyBorder="1" applyAlignment="1">
      <alignment horizontal="left" vertical="top" wrapText="1"/>
    </xf>
    <xf numFmtId="49" fontId="22" fillId="0" borderId="48" xfId="0" applyNumberFormat="1" applyFont="1" applyBorder="1" applyAlignment="1">
      <alignment horizontal="left" vertical="top" wrapText="1"/>
    </xf>
    <xf numFmtId="49" fontId="22" fillId="0" borderId="49" xfId="0" applyNumberFormat="1" applyFont="1" applyBorder="1" applyAlignment="1">
      <alignment horizontal="left" vertical="top" wrapText="1"/>
    </xf>
    <xf numFmtId="49" fontId="22" fillId="0" borderId="50" xfId="0" applyNumberFormat="1" applyFont="1" applyBorder="1" applyAlignment="1">
      <alignment horizontal="left" vertical="top" wrapText="1"/>
    </xf>
    <xf numFmtId="49" fontId="22" fillId="0" borderId="51" xfId="0" applyNumberFormat="1" applyFont="1" applyBorder="1" applyAlignment="1">
      <alignment horizontal="left" vertical="top" wrapText="1"/>
    </xf>
    <xf numFmtId="49" fontId="22" fillId="0" borderId="2" xfId="0" applyNumberFormat="1" applyFont="1" applyBorder="1" applyAlignment="1">
      <alignment horizontal="left" vertical="top" wrapText="1"/>
    </xf>
    <xf numFmtId="49" fontId="22" fillId="0" borderId="3" xfId="0" applyNumberFormat="1" applyFont="1" applyBorder="1" applyAlignment="1">
      <alignment horizontal="left" vertical="top" wrapText="1"/>
    </xf>
    <xf numFmtId="49" fontId="22" fillId="0" borderId="5" xfId="0" applyNumberFormat="1" applyFont="1" applyBorder="1" applyAlignment="1">
      <alignment horizontal="left" vertical="top" wrapText="1"/>
    </xf>
    <xf numFmtId="49" fontId="22" fillId="0" borderId="6" xfId="0" applyNumberFormat="1" applyFont="1" applyBorder="1" applyAlignment="1">
      <alignment horizontal="left" vertical="top" wrapText="1"/>
    </xf>
    <xf numFmtId="49" fontId="22" fillId="0" borderId="52" xfId="0" applyNumberFormat="1" applyFont="1" applyBorder="1" applyAlignment="1">
      <alignment horizontal="left" vertical="top" wrapText="1"/>
    </xf>
    <xf numFmtId="49" fontId="22" fillId="0" borderId="4" xfId="0" applyNumberFormat="1" applyFont="1" applyBorder="1" applyAlignment="1">
      <alignment horizontal="left" vertical="top" wrapText="1"/>
    </xf>
    <xf numFmtId="0" fontId="32" fillId="2" borderId="46" xfId="21" applyFill="1" applyBorder="1" applyAlignment="1">
      <alignment horizontal="right" vertical="center"/>
    </xf>
    <xf numFmtId="0" fontId="32" fillId="2" borderId="0" xfId="21" applyFill="1" applyAlignment="1">
      <alignment horizontal="right" vertical="center"/>
    </xf>
    <xf numFmtId="0" fontId="24" fillId="7" borderId="54" xfId="30" applyFill="1" applyBorder="1" applyAlignment="1">
      <alignment horizontal="center" vertical="center"/>
    </xf>
    <xf numFmtId="0" fontId="24" fillId="7" borderId="9" xfId="30" applyFill="1" applyBorder="1" applyAlignment="1">
      <alignment horizontal="center" vertical="center"/>
    </xf>
    <xf numFmtId="0" fontId="24" fillId="7" borderId="10" xfId="30" applyFill="1" applyBorder="1" applyAlignment="1">
      <alignment horizontal="center" vertical="center"/>
    </xf>
    <xf numFmtId="0" fontId="24" fillId="7" borderId="52" xfId="30" applyFill="1" applyBorder="1" applyAlignment="1">
      <alignment horizontal="center" vertical="center" wrapText="1"/>
    </xf>
    <xf numFmtId="0" fontId="24" fillId="7" borderId="11" xfId="30" applyFill="1" applyBorder="1" applyAlignment="1">
      <alignment horizontal="center" vertical="center" wrapText="1"/>
    </xf>
    <xf numFmtId="0" fontId="24" fillId="7" borderId="50" xfId="30" applyFill="1" applyBorder="1" applyAlignment="1">
      <alignment horizontal="center" vertical="center"/>
    </xf>
    <xf numFmtId="0" fontId="24" fillId="7" borderId="12" xfId="30" applyFill="1" applyBorder="1" applyAlignment="1">
      <alignment horizontal="center" vertical="center"/>
    </xf>
    <xf numFmtId="0" fontId="35" fillId="6" borderId="57" xfId="21" applyFont="1" applyFill="1" applyBorder="1" applyAlignment="1">
      <alignment horizontal="center" vertical="center"/>
    </xf>
    <xf numFmtId="0" fontId="33" fillId="0" borderId="0" xfId="21" applyFont="1" applyAlignment="1"/>
    <xf numFmtId="0" fontId="32" fillId="0" borderId="0" xfId="21" applyAlignment="1"/>
    <xf numFmtId="0" fontId="34" fillId="0" borderId="0" xfId="21" applyFont="1" applyAlignment="1"/>
  </cellXfs>
  <cellStyles count="46">
    <cellStyle name="Comma" xfId="1" builtinId="3"/>
    <cellStyle name="Comma 2" xfId="9" xr:uid="{83F85020-6736-4A61-9926-81524122100C}"/>
    <cellStyle name="Comma 3" xfId="23" xr:uid="{4AA96811-D005-481E-A627-4A05036F8673}"/>
    <cellStyle name="Comma 4" xfId="27" xr:uid="{C77855FF-0687-48BC-BB55-C88C6537217E}"/>
    <cellStyle name="Comma 5" xfId="43" xr:uid="{F55C7ABD-AFDA-488F-BCF8-E505D03448CF}"/>
    <cellStyle name="Currency" xfId="2" builtinId="4"/>
    <cellStyle name="Hyperlink 2" xfId="14" xr:uid="{1DA1DC8C-0D36-48BB-B137-E47B806449DD}"/>
    <cellStyle name="Hyperlink 2 2" xfId="19" xr:uid="{13D1AAB6-813C-45C2-BE10-352CC9C6360D}"/>
    <cellStyle name="Hyperlink 3" xfId="25" xr:uid="{003E4D9D-ED77-402F-8C3A-76D6CBEB3C3B}"/>
    <cellStyle name="Hyperlink 6" xfId="4" xr:uid="{3EC3F845-5F60-4BBE-99DB-20649D7EEBEE}"/>
    <cellStyle name="Normal" xfId="0" builtinId="0"/>
    <cellStyle name="Normal 2" xfId="8" xr:uid="{1A0E75BF-B3B8-421E-893B-6265ED6ADE61}"/>
    <cellStyle name="Normal 2 2" xfId="16" xr:uid="{4E779F4A-4ED8-44C1-B448-24CCD4C5A500}"/>
    <cellStyle name="Normal 2 3" xfId="5" xr:uid="{B991F522-A1C6-4F9D-8294-BCDB3A627703}"/>
    <cellStyle name="Normal 2 3 11" xfId="18" xr:uid="{3DE4ABCF-BF79-4171-8D36-A4C549C10ED7}"/>
    <cellStyle name="Normal 2 3 2" xfId="6" xr:uid="{2864AFE5-296E-45FC-B748-3F274873F9A2}"/>
    <cellStyle name="Normal 2 3 3" xfId="15" xr:uid="{C48CF61B-C6E4-4FC4-A7B1-33DCE3EB655F}"/>
    <cellStyle name="Normal 2 4" xfId="21" xr:uid="{AB4256D0-AEA4-4DC8-B09C-4FA1C9861C8A}"/>
    <cellStyle name="Normal 2 5" xfId="30" xr:uid="{797ED41B-861E-4881-A254-DFAE082AACFC}"/>
    <cellStyle name="Normal 22" xfId="17" xr:uid="{A03B94BB-217B-47C7-98A2-D2544E817226}"/>
    <cellStyle name="Normal 3" xfId="13" xr:uid="{BA89F510-2100-4D8F-981A-C9FA78A65567}"/>
    <cellStyle name="Normal 3 2" xfId="22" xr:uid="{40FEB7D3-91E7-4674-898E-272CF881F762}"/>
    <cellStyle name="Normal 4" xfId="20" xr:uid="{5D795D37-2F3C-459E-8D88-D70C3EECBB7A}"/>
    <cellStyle name="Normal 5" xfId="36" xr:uid="{C921D9CE-2EDB-49FD-BF58-A4282F399C85}"/>
    <cellStyle name="Normal 5 10" xfId="7" xr:uid="{B19FCC00-7315-4425-B43A-29EA6E5EB5B9}"/>
    <cellStyle name="Normal 5 3 6" xfId="12" xr:uid="{C15A3EC3-E069-4FF3-A347-E7F62EF27093}"/>
    <cellStyle name="Normal 6" xfId="40" xr:uid="{4863B82E-1375-4BF7-AB18-4DC1F8B83C38}"/>
    <cellStyle name="Normal 7" xfId="42" xr:uid="{3E69734F-71A7-4EAB-9B89-BAA3D39D2C4E}"/>
    <cellStyle name="Normal_F2 GDP" xfId="37" xr:uid="{61438F0B-4BF2-4370-BD16-75E26E328B8E}"/>
    <cellStyle name="Normal_F2 GDP_1" xfId="38" xr:uid="{AC00B79F-2662-4EFC-A4B5-2D214C818CC2}"/>
    <cellStyle name="Normal_F2 GDP_2" xfId="39" xr:uid="{469E5430-3C99-4A4D-9EA3-8367E028CFE7}"/>
    <cellStyle name="Normal_F3 GDP" xfId="45" xr:uid="{23447B04-2C1E-43C2-B684-3CD5153A4074}"/>
    <cellStyle name="Normal_F4 GDP" xfId="41" xr:uid="{F42A95BD-C34D-4C8D-88D6-BF7D15142ABB}"/>
    <cellStyle name="Normal_Figure 1 GDP" xfId="35" xr:uid="{BB0FA3DA-D928-4DA8-8BFB-145ABDD7CC90}"/>
    <cellStyle name="Normal_Figure 1 GDP_1" xfId="33" xr:uid="{9C758004-80C6-4632-A157-C91756DCF4BB}"/>
    <cellStyle name="Normal_Figure 1 GDP_2" xfId="34" xr:uid="{9275E21D-CD12-41C0-970A-6D2C17057DD3}"/>
    <cellStyle name="Normal_MAUS_1" xfId="31" xr:uid="{B572AF1C-654F-4A9A-A1CC-C49272D43DDD}"/>
    <cellStyle name="Normal_Short-Run GDP" xfId="26" xr:uid="{81D12625-1C3B-46F7-9335-4647D8269CFC}"/>
    <cellStyle name="Normal_Short-Run GDP_1" xfId="28" xr:uid="{307B3D65-7A8D-441C-AEB0-2C4213C3CFED}"/>
    <cellStyle name="Normal_Short-Run GDP_2" xfId="29" xr:uid="{D0E6BF25-95C2-4D89-ABAD-25BCFB5941B1}"/>
    <cellStyle name="Normal_Short-Run GDP_3" xfId="32" xr:uid="{1D17527C-44D1-4033-A3CF-E24A7B7A3B9D}"/>
    <cellStyle name="Percent" xfId="3" builtinId="5"/>
    <cellStyle name="Percent 2" xfId="10" xr:uid="{B52B45BF-9F49-40B0-BB47-061C00425A06}"/>
    <cellStyle name="Percent 3" xfId="11" xr:uid="{02E4A35A-4999-4D22-8DC5-50E69A671602}"/>
    <cellStyle name="Percent 4" xfId="24" xr:uid="{B171CC4C-6882-48AD-9A8A-4D6D5BFE18C4}"/>
    <cellStyle name="Percent 5" xfId="44" xr:uid="{B70A7D3E-A52A-49F3-AEFB-01432D28C9C4}"/>
  </cellStyles>
  <dxfs count="0"/>
  <tableStyles count="0" defaultTableStyle="TableStyleMedium2" defaultPivotStyle="PivotStyleLight16"/>
  <colors>
    <mruColors>
      <color rgb="FF15608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3.xml"/><Relationship Id="rId40" Type="http://schemas.openxmlformats.org/officeDocument/2006/relationships/connections" Target="connections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2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sheetMetadata" Target="metadata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4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 b="1"/>
              <a:t>US Average Effective Tariff Rate Since 1790</a:t>
            </a:r>
            <a:endParaRPr lang="en-US" b="1" baseline="0"/>
          </a:p>
          <a:p>
            <a:pPr algn="l">
              <a:defRPr b="1"/>
            </a:pPr>
            <a:r>
              <a:rPr lang="en-US" sz="1200" b="0" baseline="0"/>
              <a:t>Customs duty revenue as a percent of goods imports</a:t>
            </a:r>
            <a:endParaRPr lang="en-US" sz="1200" b="0"/>
          </a:p>
        </c:rich>
      </c:tx>
      <c:layout>
        <c:manualLayout>
          <c:xMode val="edge"/>
          <c:yMode val="edge"/>
          <c:x val="1.1734698331679466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tx1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66208724853693E-2"/>
          <c:y val="0.13475465087545679"/>
          <c:w val="0.89766440653251678"/>
          <c:h val="0.64895588105476554"/>
        </c:manualLayout>
      </c:layout>
      <c:lineChart>
        <c:grouping val="standard"/>
        <c:varyColors val="0"/>
        <c:ser>
          <c:idx val="3"/>
          <c:order val="0"/>
          <c:tx>
            <c:strRef>
              <c:f>'F1 Historical'!$E$1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'F1 Historical'!$A$2:$A$240</c:f>
              <c:numCache>
                <c:formatCode>General</c:formatCode>
                <c:ptCount val="239"/>
                <c:pt idx="0">
                  <c:v>1790</c:v>
                </c:pt>
                <c:pt idx="1">
                  <c:v>1791</c:v>
                </c:pt>
                <c:pt idx="2">
                  <c:v>1792</c:v>
                </c:pt>
                <c:pt idx="3">
                  <c:v>1793</c:v>
                </c:pt>
                <c:pt idx="4">
                  <c:v>1794</c:v>
                </c:pt>
                <c:pt idx="5">
                  <c:v>1795</c:v>
                </c:pt>
                <c:pt idx="6">
                  <c:v>1796</c:v>
                </c:pt>
                <c:pt idx="7">
                  <c:v>1797</c:v>
                </c:pt>
                <c:pt idx="8">
                  <c:v>1798</c:v>
                </c:pt>
                <c:pt idx="9">
                  <c:v>1799</c:v>
                </c:pt>
                <c:pt idx="10">
                  <c:v>1800</c:v>
                </c:pt>
                <c:pt idx="11">
                  <c:v>1801</c:v>
                </c:pt>
                <c:pt idx="12">
                  <c:v>1802</c:v>
                </c:pt>
                <c:pt idx="13">
                  <c:v>1803</c:v>
                </c:pt>
                <c:pt idx="14">
                  <c:v>1804</c:v>
                </c:pt>
                <c:pt idx="15">
                  <c:v>1805</c:v>
                </c:pt>
                <c:pt idx="16">
                  <c:v>1806</c:v>
                </c:pt>
                <c:pt idx="17">
                  <c:v>1807</c:v>
                </c:pt>
                <c:pt idx="18">
                  <c:v>1808</c:v>
                </c:pt>
                <c:pt idx="19">
                  <c:v>1809</c:v>
                </c:pt>
                <c:pt idx="20">
                  <c:v>1810</c:v>
                </c:pt>
                <c:pt idx="21">
                  <c:v>1811</c:v>
                </c:pt>
                <c:pt idx="22">
                  <c:v>1812</c:v>
                </c:pt>
                <c:pt idx="23">
                  <c:v>1813</c:v>
                </c:pt>
                <c:pt idx="24">
                  <c:v>1814</c:v>
                </c:pt>
                <c:pt idx="25">
                  <c:v>1815</c:v>
                </c:pt>
                <c:pt idx="26">
                  <c:v>1816</c:v>
                </c:pt>
                <c:pt idx="27">
                  <c:v>1817</c:v>
                </c:pt>
                <c:pt idx="28">
                  <c:v>1818</c:v>
                </c:pt>
                <c:pt idx="29">
                  <c:v>1819</c:v>
                </c:pt>
                <c:pt idx="30">
                  <c:v>1820</c:v>
                </c:pt>
                <c:pt idx="31">
                  <c:v>1821</c:v>
                </c:pt>
                <c:pt idx="32">
                  <c:v>1822</c:v>
                </c:pt>
                <c:pt idx="33">
                  <c:v>1823</c:v>
                </c:pt>
                <c:pt idx="34">
                  <c:v>1824</c:v>
                </c:pt>
                <c:pt idx="35">
                  <c:v>1825</c:v>
                </c:pt>
                <c:pt idx="36">
                  <c:v>1826</c:v>
                </c:pt>
                <c:pt idx="37">
                  <c:v>1827</c:v>
                </c:pt>
                <c:pt idx="38">
                  <c:v>1828</c:v>
                </c:pt>
                <c:pt idx="39">
                  <c:v>1829</c:v>
                </c:pt>
                <c:pt idx="40">
                  <c:v>1830</c:v>
                </c:pt>
                <c:pt idx="41">
                  <c:v>1831</c:v>
                </c:pt>
                <c:pt idx="42">
                  <c:v>1832</c:v>
                </c:pt>
                <c:pt idx="43">
                  <c:v>1833</c:v>
                </c:pt>
                <c:pt idx="44">
                  <c:v>1834</c:v>
                </c:pt>
                <c:pt idx="45">
                  <c:v>1835</c:v>
                </c:pt>
                <c:pt idx="46">
                  <c:v>1836</c:v>
                </c:pt>
                <c:pt idx="47">
                  <c:v>1837</c:v>
                </c:pt>
                <c:pt idx="48">
                  <c:v>1838</c:v>
                </c:pt>
                <c:pt idx="49">
                  <c:v>1839</c:v>
                </c:pt>
                <c:pt idx="50">
                  <c:v>1840</c:v>
                </c:pt>
                <c:pt idx="51">
                  <c:v>1841</c:v>
                </c:pt>
                <c:pt idx="52">
                  <c:v>1842</c:v>
                </c:pt>
                <c:pt idx="53">
                  <c:v>1843</c:v>
                </c:pt>
                <c:pt idx="54">
                  <c:v>1844</c:v>
                </c:pt>
                <c:pt idx="55">
                  <c:v>1845</c:v>
                </c:pt>
                <c:pt idx="56">
                  <c:v>1846</c:v>
                </c:pt>
                <c:pt idx="57">
                  <c:v>1847</c:v>
                </c:pt>
                <c:pt idx="58">
                  <c:v>1848</c:v>
                </c:pt>
                <c:pt idx="59">
                  <c:v>1849</c:v>
                </c:pt>
                <c:pt idx="60">
                  <c:v>1850</c:v>
                </c:pt>
                <c:pt idx="61">
                  <c:v>1851</c:v>
                </c:pt>
                <c:pt idx="62">
                  <c:v>1852</c:v>
                </c:pt>
                <c:pt idx="63">
                  <c:v>1853</c:v>
                </c:pt>
                <c:pt idx="64">
                  <c:v>1854</c:v>
                </c:pt>
                <c:pt idx="65">
                  <c:v>1855</c:v>
                </c:pt>
                <c:pt idx="66">
                  <c:v>1856</c:v>
                </c:pt>
                <c:pt idx="67">
                  <c:v>1857</c:v>
                </c:pt>
                <c:pt idx="68">
                  <c:v>1858</c:v>
                </c:pt>
                <c:pt idx="69">
                  <c:v>1859</c:v>
                </c:pt>
                <c:pt idx="70">
                  <c:v>1860</c:v>
                </c:pt>
                <c:pt idx="71">
                  <c:v>1861</c:v>
                </c:pt>
                <c:pt idx="72">
                  <c:v>1862</c:v>
                </c:pt>
                <c:pt idx="73">
                  <c:v>1863</c:v>
                </c:pt>
                <c:pt idx="74">
                  <c:v>1864</c:v>
                </c:pt>
                <c:pt idx="75">
                  <c:v>1865</c:v>
                </c:pt>
                <c:pt idx="76">
                  <c:v>1866</c:v>
                </c:pt>
                <c:pt idx="77">
                  <c:v>1867</c:v>
                </c:pt>
                <c:pt idx="78">
                  <c:v>1868</c:v>
                </c:pt>
                <c:pt idx="79">
                  <c:v>1869</c:v>
                </c:pt>
                <c:pt idx="80">
                  <c:v>1870</c:v>
                </c:pt>
                <c:pt idx="81">
                  <c:v>1871</c:v>
                </c:pt>
                <c:pt idx="82">
                  <c:v>1872</c:v>
                </c:pt>
                <c:pt idx="83">
                  <c:v>1873</c:v>
                </c:pt>
                <c:pt idx="84">
                  <c:v>1874</c:v>
                </c:pt>
                <c:pt idx="85">
                  <c:v>1875</c:v>
                </c:pt>
                <c:pt idx="86">
                  <c:v>1876</c:v>
                </c:pt>
                <c:pt idx="87">
                  <c:v>1877</c:v>
                </c:pt>
                <c:pt idx="88">
                  <c:v>1878</c:v>
                </c:pt>
                <c:pt idx="89">
                  <c:v>1879</c:v>
                </c:pt>
                <c:pt idx="90">
                  <c:v>1880</c:v>
                </c:pt>
                <c:pt idx="91">
                  <c:v>1881</c:v>
                </c:pt>
                <c:pt idx="92">
                  <c:v>1882</c:v>
                </c:pt>
                <c:pt idx="93">
                  <c:v>1883</c:v>
                </c:pt>
                <c:pt idx="94">
                  <c:v>1884</c:v>
                </c:pt>
                <c:pt idx="95">
                  <c:v>1885</c:v>
                </c:pt>
                <c:pt idx="96">
                  <c:v>1886</c:v>
                </c:pt>
                <c:pt idx="97">
                  <c:v>1887</c:v>
                </c:pt>
                <c:pt idx="98">
                  <c:v>1888</c:v>
                </c:pt>
                <c:pt idx="99">
                  <c:v>1889</c:v>
                </c:pt>
                <c:pt idx="100">
                  <c:v>1890</c:v>
                </c:pt>
                <c:pt idx="101">
                  <c:v>1891</c:v>
                </c:pt>
                <c:pt idx="102">
                  <c:v>1892</c:v>
                </c:pt>
                <c:pt idx="103">
                  <c:v>1893</c:v>
                </c:pt>
                <c:pt idx="104">
                  <c:v>1894</c:v>
                </c:pt>
                <c:pt idx="105">
                  <c:v>1895</c:v>
                </c:pt>
                <c:pt idx="106">
                  <c:v>1896</c:v>
                </c:pt>
                <c:pt idx="107">
                  <c:v>1897</c:v>
                </c:pt>
                <c:pt idx="108">
                  <c:v>1898</c:v>
                </c:pt>
                <c:pt idx="109">
                  <c:v>1899</c:v>
                </c:pt>
                <c:pt idx="110">
                  <c:v>1900</c:v>
                </c:pt>
                <c:pt idx="111">
                  <c:v>1901</c:v>
                </c:pt>
                <c:pt idx="112">
                  <c:v>1902</c:v>
                </c:pt>
                <c:pt idx="113">
                  <c:v>1903</c:v>
                </c:pt>
                <c:pt idx="114">
                  <c:v>1904</c:v>
                </c:pt>
                <c:pt idx="115">
                  <c:v>1905</c:v>
                </c:pt>
                <c:pt idx="116">
                  <c:v>1906</c:v>
                </c:pt>
                <c:pt idx="117">
                  <c:v>1907</c:v>
                </c:pt>
                <c:pt idx="118">
                  <c:v>1908</c:v>
                </c:pt>
                <c:pt idx="119">
                  <c:v>1909</c:v>
                </c:pt>
                <c:pt idx="120">
                  <c:v>1910</c:v>
                </c:pt>
                <c:pt idx="121">
                  <c:v>1911</c:v>
                </c:pt>
                <c:pt idx="122">
                  <c:v>1912</c:v>
                </c:pt>
                <c:pt idx="123">
                  <c:v>1913</c:v>
                </c:pt>
                <c:pt idx="124">
                  <c:v>1914</c:v>
                </c:pt>
                <c:pt idx="125">
                  <c:v>1915</c:v>
                </c:pt>
                <c:pt idx="126">
                  <c:v>1916</c:v>
                </c:pt>
                <c:pt idx="127">
                  <c:v>1917</c:v>
                </c:pt>
                <c:pt idx="128">
                  <c:v>1918</c:v>
                </c:pt>
                <c:pt idx="129">
                  <c:v>1919</c:v>
                </c:pt>
                <c:pt idx="130">
                  <c:v>1920</c:v>
                </c:pt>
                <c:pt idx="131">
                  <c:v>1921</c:v>
                </c:pt>
                <c:pt idx="132">
                  <c:v>1922</c:v>
                </c:pt>
                <c:pt idx="133">
                  <c:v>1923</c:v>
                </c:pt>
                <c:pt idx="134">
                  <c:v>1924</c:v>
                </c:pt>
                <c:pt idx="135">
                  <c:v>1925</c:v>
                </c:pt>
                <c:pt idx="136">
                  <c:v>1926</c:v>
                </c:pt>
                <c:pt idx="137">
                  <c:v>1927</c:v>
                </c:pt>
                <c:pt idx="138">
                  <c:v>1928</c:v>
                </c:pt>
                <c:pt idx="139">
                  <c:v>1929</c:v>
                </c:pt>
                <c:pt idx="140">
                  <c:v>1930</c:v>
                </c:pt>
                <c:pt idx="141">
                  <c:v>1931</c:v>
                </c:pt>
                <c:pt idx="142">
                  <c:v>1932</c:v>
                </c:pt>
                <c:pt idx="143">
                  <c:v>1933</c:v>
                </c:pt>
                <c:pt idx="144">
                  <c:v>1934</c:v>
                </c:pt>
                <c:pt idx="145">
                  <c:v>1935</c:v>
                </c:pt>
                <c:pt idx="146">
                  <c:v>1936</c:v>
                </c:pt>
                <c:pt idx="147">
                  <c:v>1937</c:v>
                </c:pt>
                <c:pt idx="148">
                  <c:v>1938</c:v>
                </c:pt>
                <c:pt idx="149">
                  <c:v>1939</c:v>
                </c:pt>
                <c:pt idx="150">
                  <c:v>1940</c:v>
                </c:pt>
                <c:pt idx="151">
                  <c:v>1941</c:v>
                </c:pt>
                <c:pt idx="152">
                  <c:v>1942</c:v>
                </c:pt>
                <c:pt idx="153">
                  <c:v>1943</c:v>
                </c:pt>
                <c:pt idx="154">
                  <c:v>1944</c:v>
                </c:pt>
                <c:pt idx="155">
                  <c:v>1945</c:v>
                </c:pt>
                <c:pt idx="156">
                  <c:v>1946</c:v>
                </c:pt>
                <c:pt idx="157">
                  <c:v>1947</c:v>
                </c:pt>
                <c:pt idx="158">
                  <c:v>1948</c:v>
                </c:pt>
                <c:pt idx="159">
                  <c:v>1949</c:v>
                </c:pt>
                <c:pt idx="160">
                  <c:v>1950</c:v>
                </c:pt>
                <c:pt idx="161">
                  <c:v>1951</c:v>
                </c:pt>
                <c:pt idx="162">
                  <c:v>1952</c:v>
                </c:pt>
                <c:pt idx="163">
                  <c:v>1953</c:v>
                </c:pt>
                <c:pt idx="164">
                  <c:v>1954</c:v>
                </c:pt>
                <c:pt idx="165">
                  <c:v>1955</c:v>
                </c:pt>
                <c:pt idx="166">
                  <c:v>1956</c:v>
                </c:pt>
                <c:pt idx="167">
                  <c:v>1957</c:v>
                </c:pt>
                <c:pt idx="168">
                  <c:v>1958</c:v>
                </c:pt>
                <c:pt idx="169">
                  <c:v>1959</c:v>
                </c:pt>
                <c:pt idx="170">
                  <c:v>1960</c:v>
                </c:pt>
                <c:pt idx="171">
                  <c:v>1961</c:v>
                </c:pt>
                <c:pt idx="172">
                  <c:v>1962</c:v>
                </c:pt>
                <c:pt idx="173">
                  <c:v>1963</c:v>
                </c:pt>
                <c:pt idx="174">
                  <c:v>1964</c:v>
                </c:pt>
                <c:pt idx="175">
                  <c:v>1965</c:v>
                </c:pt>
                <c:pt idx="176">
                  <c:v>1966</c:v>
                </c:pt>
                <c:pt idx="177">
                  <c:v>1967</c:v>
                </c:pt>
                <c:pt idx="178">
                  <c:v>1968</c:v>
                </c:pt>
                <c:pt idx="179">
                  <c:v>1969</c:v>
                </c:pt>
                <c:pt idx="180">
                  <c:v>1970</c:v>
                </c:pt>
                <c:pt idx="181">
                  <c:v>1971</c:v>
                </c:pt>
                <c:pt idx="182">
                  <c:v>1972</c:v>
                </c:pt>
                <c:pt idx="183">
                  <c:v>1973</c:v>
                </c:pt>
                <c:pt idx="184">
                  <c:v>1974</c:v>
                </c:pt>
                <c:pt idx="185">
                  <c:v>1975</c:v>
                </c:pt>
                <c:pt idx="186">
                  <c:v>1976</c:v>
                </c:pt>
                <c:pt idx="187">
                  <c:v>1977</c:v>
                </c:pt>
                <c:pt idx="188">
                  <c:v>1978</c:v>
                </c:pt>
                <c:pt idx="189">
                  <c:v>1979</c:v>
                </c:pt>
                <c:pt idx="190">
                  <c:v>1980</c:v>
                </c:pt>
                <c:pt idx="191">
                  <c:v>1981</c:v>
                </c:pt>
                <c:pt idx="192">
                  <c:v>1982</c:v>
                </c:pt>
                <c:pt idx="193">
                  <c:v>1983</c:v>
                </c:pt>
                <c:pt idx="194">
                  <c:v>1984</c:v>
                </c:pt>
                <c:pt idx="195">
                  <c:v>1985</c:v>
                </c:pt>
                <c:pt idx="196">
                  <c:v>1986</c:v>
                </c:pt>
                <c:pt idx="197">
                  <c:v>1987</c:v>
                </c:pt>
                <c:pt idx="198">
                  <c:v>1988</c:v>
                </c:pt>
                <c:pt idx="199">
                  <c:v>1989</c:v>
                </c:pt>
                <c:pt idx="200">
                  <c:v>1990</c:v>
                </c:pt>
                <c:pt idx="201">
                  <c:v>1991</c:v>
                </c:pt>
                <c:pt idx="202">
                  <c:v>1992</c:v>
                </c:pt>
                <c:pt idx="203">
                  <c:v>1993</c:v>
                </c:pt>
                <c:pt idx="204">
                  <c:v>1994</c:v>
                </c:pt>
                <c:pt idx="205">
                  <c:v>1995</c:v>
                </c:pt>
                <c:pt idx="206">
                  <c:v>1996</c:v>
                </c:pt>
                <c:pt idx="207">
                  <c:v>1997</c:v>
                </c:pt>
                <c:pt idx="208">
                  <c:v>1998</c:v>
                </c:pt>
                <c:pt idx="209">
                  <c:v>1999</c:v>
                </c:pt>
                <c:pt idx="210">
                  <c:v>2000</c:v>
                </c:pt>
                <c:pt idx="211">
                  <c:v>2001</c:v>
                </c:pt>
                <c:pt idx="212">
                  <c:v>2002</c:v>
                </c:pt>
                <c:pt idx="213">
                  <c:v>2003</c:v>
                </c:pt>
                <c:pt idx="214">
                  <c:v>2004</c:v>
                </c:pt>
                <c:pt idx="215">
                  <c:v>2005</c:v>
                </c:pt>
                <c:pt idx="216">
                  <c:v>2006</c:v>
                </c:pt>
                <c:pt idx="217">
                  <c:v>2007</c:v>
                </c:pt>
                <c:pt idx="218">
                  <c:v>2008</c:v>
                </c:pt>
                <c:pt idx="219">
                  <c:v>2009</c:v>
                </c:pt>
                <c:pt idx="220">
                  <c:v>2010</c:v>
                </c:pt>
                <c:pt idx="221">
                  <c:v>2011</c:v>
                </c:pt>
                <c:pt idx="222">
                  <c:v>2012</c:v>
                </c:pt>
                <c:pt idx="223">
                  <c:v>2013</c:v>
                </c:pt>
                <c:pt idx="224">
                  <c:v>2014</c:v>
                </c:pt>
                <c:pt idx="225">
                  <c:v>2015</c:v>
                </c:pt>
                <c:pt idx="226">
                  <c:v>2016</c:v>
                </c:pt>
                <c:pt idx="227">
                  <c:v>2017</c:v>
                </c:pt>
                <c:pt idx="228">
                  <c:v>2018</c:v>
                </c:pt>
                <c:pt idx="229">
                  <c:v>2019</c:v>
                </c:pt>
                <c:pt idx="230">
                  <c:v>2020</c:v>
                </c:pt>
                <c:pt idx="231">
                  <c:v>2021</c:v>
                </c:pt>
                <c:pt idx="232">
                  <c:v>2022</c:v>
                </c:pt>
                <c:pt idx="233">
                  <c:v>2023</c:v>
                </c:pt>
                <c:pt idx="234">
                  <c:v>2024</c:v>
                </c:pt>
                <c:pt idx="235">
                  <c:v>2025</c:v>
                </c:pt>
              </c:numCache>
            </c:numRef>
          </c:cat>
          <c:val>
            <c:numRef>
              <c:f>'F1 Historical'!$E$2:$E$240</c:f>
              <c:numCache>
                <c:formatCode>General</c:formatCode>
                <c:ptCount val="239"/>
                <c:pt idx="234">
                  <c:v>2.4180000000000001</c:v>
                </c:pt>
                <c:pt idx="235">
                  <c:v>16.804955336938377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1-4566-87D2-0C9C6AE423AF}"/>
            </c:ext>
          </c:extLst>
        </c:ser>
        <c:ser>
          <c:idx val="0"/>
          <c:order val="1"/>
          <c:tx>
            <c:strRef>
              <c:f>'F1 Historical'!$B$1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'F1 Historical'!$A$2:$A$240</c:f>
              <c:numCache>
                <c:formatCode>General</c:formatCode>
                <c:ptCount val="239"/>
                <c:pt idx="0">
                  <c:v>1790</c:v>
                </c:pt>
                <c:pt idx="1">
                  <c:v>1791</c:v>
                </c:pt>
                <c:pt idx="2">
                  <c:v>1792</c:v>
                </c:pt>
                <c:pt idx="3">
                  <c:v>1793</c:v>
                </c:pt>
                <c:pt idx="4">
                  <c:v>1794</c:v>
                </c:pt>
                <c:pt idx="5">
                  <c:v>1795</c:v>
                </c:pt>
                <c:pt idx="6">
                  <c:v>1796</c:v>
                </c:pt>
                <c:pt idx="7">
                  <c:v>1797</c:v>
                </c:pt>
                <c:pt idx="8">
                  <c:v>1798</c:v>
                </c:pt>
                <c:pt idx="9">
                  <c:v>1799</c:v>
                </c:pt>
                <c:pt idx="10">
                  <c:v>1800</c:v>
                </c:pt>
                <c:pt idx="11">
                  <c:v>1801</c:v>
                </c:pt>
                <c:pt idx="12">
                  <c:v>1802</c:v>
                </c:pt>
                <c:pt idx="13">
                  <c:v>1803</c:v>
                </c:pt>
                <c:pt idx="14">
                  <c:v>1804</c:v>
                </c:pt>
                <c:pt idx="15">
                  <c:v>1805</c:v>
                </c:pt>
                <c:pt idx="16">
                  <c:v>1806</c:v>
                </c:pt>
                <c:pt idx="17">
                  <c:v>1807</c:v>
                </c:pt>
                <c:pt idx="18">
                  <c:v>1808</c:v>
                </c:pt>
                <c:pt idx="19">
                  <c:v>1809</c:v>
                </c:pt>
                <c:pt idx="20">
                  <c:v>1810</c:v>
                </c:pt>
                <c:pt idx="21">
                  <c:v>1811</c:v>
                </c:pt>
                <c:pt idx="22">
                  <c:v>1812</c:v>
                </c:pt>
                <c:pt idx="23">
                  <c:v>1813</c:v>
                </c:pt>
                <c:pt idx="24">
                  <c:v>1814</c:v>
                </c:pt>
                <c:pt idx="25">
                  <c:v>1815</c:v>
                </c:pt>
                <c:pt idx="26">
                  <c:v>1816</c:v>
                </c:pt>
                <c:pt idx="27">
                  <c:v>1817</c:v>
                </c:pt>
                <c:pt idx="28">
                  <c:v>1818</c:v>
                </c:pt>
                <c:pt idx="29">
                  <c:v>1819</c:v>
                </c:pt>
                <c:pt idx="30">
                  <c:v>1820</c:v>
                </c:pt>
                <c:pt idx="31">
                  <c:v>1821</c:v>
                </c:pt>
                <c:pt idx="32">
                  <c:v>1822</c:v>
                </c:pt>
                <c:pt idx="33">
                  <c:v>1823</c:v>
                </c:pt>
                <c:pt idx="34">
                  <c:v>1824</c:v>
                </c:pt>
                <c:pt idx="35">
                  <c:v>1825</c:v>
                </c:pt>
                <c:pt idx="36">
                  <c:v>1826</c:v>
                </c:pt>
                <c:pt idx="37">
                  <c:v>1827</c:v>
                </c:pt>
                <c:pt idx="38">
                  <c:v>1828</c:v>
                </c:pt>
                <c:pt idx="39">
                  <c:v>1829</c:v>
                </c:pt>
                <c:pt idx="40">
                  <c:v>1830</c:v>
                </c:pt>
                <c:pt idx="41">
                  <c:v>1831</c:v>
                </c:pt>
                <c:pt idx="42">
                  <c:v>1832</c:v>
                </c:pt>
                <c:pt idx="43">
                  <c:v>1833</c:v>
                </c:pt>
                <c:pt idx="44">
                  <c:v>1834</c:v>
                </c:pt>
                <c:pt idx="45">
                  <c:v>1835</c:v>
                </c:pt>
                <c:pt idx="46">
                  <c:v>1836</c:v>
                </c:pt>
                <c:pt idx="47">
                  <c:v>1837</c:v>
                </c:pt>
                <c:pt idx="48">
                  <c:v>1838</c:v>
                </c:pt>
                <c:pt idx="49">
                  <c:v>1839</c:v>
                </c:pt>
                <c:pt idx="50">
                  <c:v>1840</c:v>
                </c:pt>
                <c:pt idx="51">
                  <c:v>1841</c:v>
                </c:pt>
                <c:pt idx="52">
                  <c:v>1842</c:v>
                </c:pt>
                <c:pt idx="53">
                  <c:v>1843</c:v>
                </c:pt>
                <c:pt idx="54">
                  <c:v>1844</c:v>
                </c:pt>
                <c:pt idx="55">
                  <c:v>1845</c:v>
                </c:pt>
                <c:pt idx="56">
                  <c:v>1846</c:v>
                </c:pt>
                <c:pt idx="57">
                  <c:v>1847</c:v>
                </c:pt>
                <c:pt idx="58">
                  <c:v>1848</c:v>
                </c:pt>
                <c:pt idx="59">
                  <c:v>1849</c:v>
                </c:pt>
                <c:pt idx="60">
                  <c:v>1850</c:v>
                </c:pt>
                <c:pt idx="61">
                  <c:v>1851</c:v>
                </c:pt>
                <c:pt idx="62">
                  <c:v>1852</c:v>
                </c:pt>
                <c:pt idx="63">
                  <c:v>1853</c:v>
                </c:pt>
                <c:pt idx="64">
                  <c:v>1854</c:v>
                </c:pt>
                <c:pt idx="65">
                  <c:v>1855</c:v>
                </c:pt>
                <c:pt idx="66">
                  <c:v>1856</c:v>
                </c:pt>
                <c:pt idx="67">
                  <c:v>1857</c:v>
                </c:pt>
                <c:pt idx="68">
                  <c:v>1858</c:v>
                </c:pt>
                <c:pt idx="69">
                  <c:v>1859</c:v>
                </c:pt>
                <c:pt idx="70">
                  <c:v>1860</c:v>
                </c:pt>
                <c:pt idx="71">
                  <c:v>1861</c:v>
                </c:pt>
                <c:pt idx="72">
                  <c:v>1862</c:v>
                </c:pt>
                <c:pt idx="73">
                  <c:v>1863</c:v>
                </c:pt>
                <c:pt idx="74">
                  <c:v>1864</c:v>
                </c:pt>
                <c:pt idx="75">
                  <c:v>1865</c:v>
                </c:pt>
                <c:pt idx="76">
                  <c:v>1866</c:v>
                </c:pt>
                <c:pt idx="77">
                  <c:v>1867</c:v>
                </c:pt>
                <c:pt idx="78">
                  <c:v>1868</c:v>
                </c:pt>
                <c:pt idx="79">
                  <c:v>1869</c:v>
                </c:pt>
                <c:pt idx="80">
                  <c:v>1870</c:v>
                </c:pt>
                <c:pt idx="81">
                  <c:v>1871</c:v>
                </c:pt>
                <c:pt idx="82">
                  <c:v>1872</c:v>
                </c:pt>
                <c:pt idx="83">
                  <c:v>1873</c:v>
                </c:pt>
                <c:pt idx="84">
                  <c:v>1874</c:v>
                </c:pt>
                <c:pt idx="85">
                  <c:v>1875</c:v>
                </c:pt>
                <c:pt idx="86">
                  <c:v>1876</c:v>
                </c:pt>
                <c:pt idx="87">
                  <c:v>1877</c:v>
                </c:pt>
                <c:pt idx="88">
                  <c:v>1878</c:v>
                </c:pt>
                <c:pt idx="89">
                  <c:v>1879</c:v>
                </c:pt>
                <c:pt idx="90">
                  <c:v>1880</c:v>
                </c:pt>
                <c:pt idx="91">
                  <c:v>1881</c:v>
                </c:pt>
                <c:pt idx="92">
                  <c:v>1882</c:v>
                </c:pt>
                <c:pt idx="93">
                  <c:v>1883</c:v>
                </c:pt>
                <c:pt idx="94">
                  <c:v>1884</c:v>
                </c:pt>
                <c:pt idx="95">
                  <c:v>1885</c:v>
                </c:pt>
                <c:pt idx="96">
                  <c:v>1886</c:v>
                </c:pt>
                <c:pt idx="97">
                  <c:v>1887</c:v>
                </c:pt>
                <c:pt idx="98">
                  <c:v>1888</c:v>
                </c:pt>
                <c:pt idx="99">
                  <c:v>1889</c:v>
                </c:pt>
                <c:pt idx="100">
                  <c:v>1890</c:v>
                </c:pt>
                <c:pt idx="101">
                  <c:v>1891</c:v>
                </c:pt>
                <c:pt idx="102">
                  <c:v>1892</c:v>
                </c:pt>
                <c:pt idx="103">
                  <c:v>1893</c:v>
                </c:pt>
                <c:pt idx="104">
                  <c:v>1894</c:v>
                </c:pt>
                <c:pt idx="105">
                  <c:v>1895</c:v>
                </c:pt>
                <c:pt idx="106">
                  <c:v>1896</c:v>
                </c:pt>
                <c:pt idx="107">
                  <c:v>1897</c:v>
                </c:pt>
                <c:pt idx="108">
                  <c:v>1898</c:v>
                </c:pt>
                <c:pt idx="109">
                  <c:v>1899</c:v>
                </c:pt>
                <c:pt idx="110">
                  <c:v>1900</c:v>
                </c:pt>
                <c:pt idx="111">
                  <c:v>1901</c:v>
                </c:pt>
                <c:pt idx="112">
                  <c:v>1902</c:v>
                </c:pt>
                <c:pt idx="113">
                  <c:v>1903</c:v>
                </c:pt>
                <c:pt idx="114">
                  <c:v>1904</c:v>
                </c:pt>
                <c:pt idx="115">
                  <c:v>1905</c:v>
                </c:pt>
                <c:pt idx="116">
                  <c:v>1906</c:v>
                </c:pt>
                <c:pt idx="117">
                  <c:v>1907</c:v>
                </c:pt>
                <c:pt idx="118">
                  <c:v>1908</c:v>
                </c:pt>
                <c:pt idx="119">
                  <c:v>1909</c:v>
                </c:pt>
                <c:pt idx="120">
                  <c:v>1910</c:v>
                </c:pt>
                <c:pt idx="121">
                  <c:v>1911</c:v>
                </c:pt>
                <c:pt idx="122">
                  <c:v>1912</c:v>
                </c:pt>
                <c:pt idx="123">
                  <c:v>1913</c:v>
                </c:pt>
                <c:pt idx="124">
                  <c:v>1914</c:v>
                </c:pt>
                <c:pt idx="125">
                  <c:v>1915</c:v>
                </c:pt>
                <c:pt idx="126">
                  <c:v>1916</c:v>
                </c:pt>
                <c:pt idx="127">
                  <c:v>1917</c:v>
                </c:pt>
                <c:pt idx="128">
                  <c:v>1918</c:v>
                </c:pt>
                <c:pt idx="129">
                  <c:v>1919</c:v>
                </c:pt>
                <c:pt idx="130">
                  <c:v>1920</c:v>
                </c:pt>
                <c:pt idx="131">
                  <c:v>1921</c:v>
                </c:pt>
                <c:pt idx="132">
                  <c:v>1922</c:v>
                </c:pt>
                <c:pt idx="133">
                  <c:v>1923</c:v>
                </c:pt>
                <c:pt idx="134">
                  <c:v>1924</c:v>
                </c:pt>
                <c:pt idx="135">
                  <c:v>1925</c:v>
                </c:pt>
                <c:pt idx="136">
                  <c:v>1926</c:v>
                </c:pt>
                <c:pt idx="137">
                  <c:v>1927</c:v>
                </c:pt>
                <c:pt idx="138">
                  <c:v>1928</c:v>
                </c:pt>
                <c:pt idx="139">
                  <c:v>1929</c:v>
                </c:pt>
                <c:pt idx="140">
                  <c:v>1930</c:v>
                </c:pt>
                <c:pt idx="141">
                  <c:v>1931</c:v>
                </c:pt>
                <c:pt idx="142">
                  <c:v>1932</c:v>
                </c:pt>
                <c:pt idx="143">
                  <c:v>1933</c:v>
                </c:pt>
                <c:pt idx="144">
                  <c:v>1934</c:v>
                </c:pt>
                <c:pt idx="145">
                  <c:v>1935</c:v>
                </c:pt>
                <c:pt idx="146">
                  <c:v>1936</c:v>
                </c:pt>
                <c:pt idx="147">
                  <c:v>1937</c:v>
                </c:pt>
                <c:pt idx="148">
                  <c:v>1938</c:v>
                </c:pt>
                <c:pt idx="149">
                  <c:v>1939</c:v>
                </c:pt>
                <c:pt idx="150">
                  <c:v>1940</c:v>
                </c:pt>
                <c:pt idx="151">
                  <c:v>1941</c:v>
                </c:pt>
                <c:pt idx="152">
                  <c:v>1942</c:v>
                </c:pt>
                <c:pt idx="153">
                  <c:v>1943</c:v>
                </c:pt>
                <c:pt idx="154">
                  <c:v>1944</c:v>
                </c:pt>
                <c:pt idx="155">
                  <c:v>1945</c:v>
                </c:pt>
                <c:pt idx="156">
                  <c:v>1946</c:v>
                </c:pt>
                <c:pt idx="157">
                  <c:v>1947</c:v>
                </c:pt>
                <c:pt idx="158">
                  <c:v>1948</c:v>
                </c:pt>
                <c:pt idx="159">
                  <c:v>1949</c:v>
                </c:pt>
                <c:pt idx="160">
                  <c:v>1950</c:v>
                </c:pt>
                <c:pt idx="161">
                  <c:v>1951</c:v>
                </c:pt>
                <c:pt idx="162">
                  <c:v>1952</c:v>
                </c:pt>
                <c:pt idx="163">
                  <c:v>1953</c:v>
                </c:pt>
                <c:pt idx="164">
                  <c:v>1954</c:v>
                </c:pt>
                <c:pt idx="165">
                  <c:v>1955</c:v>
                </c:pt>
                <c:pt idx="166">
                  <c:v>1956</c:v>
                </c:pt>
                <c:pt idx="167">
                  <c:v>1957</c:v>
                </c:pt>
                <c:pt idx="168">
                  <c:v>1958</c:v>
                </c:pt>
                <c:pt idx="169">
                  <c:v>1959</c:v>
                </c:pt>
                <c:pt idx="170">
                  <c:v>1960</c:v>
                </c:pt>
                <c:pt idx="171">
                  <c:v>1961</c:v>
                </c:pt>
                <c:pt idx="172">
                  <c:v>1962</c:v>
                </c:pt>
                <c:pt idx="173">
                  <c:v>1963</c:v>
                </c:pt>
                <c:pt idx="174">
                  <c:v>1964</c:v>
                </c:pt>
                <c:pt idx="175">
                  <c:v>1965</c:v>
                </c:pt>
                <c:pt idx="176">
                  <c:v>1966</c:v>
                </c:pt>
                <c:pt idx="177">
                  <c:v>1967</c:v>
                </c:pt>
                <c:pt idx="178">
                  <c:v>1968</c:v>
                </c:pt>
                <c:pt idx="179">
                  <c:v>1969</c:v>
                </c:pt>
                <c:pt idx="180">
                  <c:v>1970</c:v>
                </c:pt>
                <c:pt idx="181">
                  <c:v>1971</c:v>
                </c:pt>
                <c:pt idx="182">
                  <c:v>1972</c:v>
                </c:pt>
                <c:pt idx="183">
                  <c:v>1973</c:v>
                </c:pt>
                <c:pt idx="184">
                  <c:v>1974</c:v>
                </c:pt>
                <c:pt idx="185">
                  <c:v>1975</c:v>
                </c:pt>
                <c:pt idx="186">
                  <c:v>1976</c:v>
                </c:pt>
                <c:pt idx="187">
                  <c:v>1977</c:v>
                </c:pt>
                <c:pt idx="188">
                  <c:v>1978</c:v>
                </c:pt>
                <c:pt idx="189">
                  <c:v>1979</c:v>
                </c:pt>
                <c:pt idx="190">
                  <c:v>1980</c:v>
                </c:pt>
                <c:pt idx="191">
                  <c:v>1981</c:v>
                </c:pt>
                <c:pt idx="192">
                  <c:v>1982</c:v>
                </c:pt>
                <c:pt idx="193">
                  <c:v>1983</c:v>
                </c:pt>
                <c:pt idx="194">
                  <c:v>1984</c:v>
                </c:pt>
                <c:pt idx="195">
                  <c:v>1985</c:v>
                </c:pt>
                <c:pt idx="196">
                  <c:v>1986</c:v>
                </c:pt>
                <c:pt idx="197">
                  <c:v>1987</c:v>
                </c:pt>
                <c:pt idx="198">
                  <c:v>1988</c:v>
                </c:pt>
                <c:pt idx="199">
                  <c:v>1989</c:v>
                </c:pt>
                <c:pt idx="200">
                  <c:v>1990</c:v>
                </c:pt>
                <c:pt idx="201">
                  <c:v>1991</c:v>
                </c:pt>
                <c:pt idx="202">
                  <c:v>1992</c:v>
                </c:pt>
                <c:pt idx="203">
                  <c:v>1993</c:v>
                </c:pt>
                <c:pt idx="204">
                  <c:v>1994</c:v>
                </c:pt>
                <c:pt idx="205">
                  <c:v>1995</c:v>
                </c:pt>
                <c:pt idx="206">
                  <c:v>1996</c:v>
                </c:pt>
                <c:pt idx="207">
                  <c:v>1997</c:v>
                </c:pt>
                <c:pt idx="208">
                  <c:v>1998</c:v>
                </c:pt>
                <c:pt idx="209">
                  <c:v>1999</c:v>
                </c:pt>
                <c:pt idx="210">
                  <c:v>2000</c:v>
                </c:pt>
                <c:pt idx="211">
                  <c:v>2001</c:v>
                </c:pt>
                <c:pt idx="212">
                  <c:v>2002</c:v>
                </c:pt>
                <c:pt idx="213">
                  <c:v>2003</c:v>
                </c:pt>
                <c:pt idx="214">
                  <c:v>2004</c:v>
                </c:pt>
                <c:pt idx="215">
                  <c:v>2005</c:v>
                </c:pt>
                <c:pt idx="216">
                  <c:v>2006</c:v>
                </c:pt>
                <c:pt idx="217">
                  <c:v>2007</c:v>
                </c:pt>
                <c:pt idx="218">
                  <c:v>2008</c:v>
                </c:pt>
                <c:pt idx="219">
                  <c:v>2009</c:v>
                </c:pt>
                <c:pt idx="220">
                  <c:v>2010</c:v>
                </c:pt>
                <c:pt idx="221">
                  <c:v>2011</c:v>
                </c:pt>
                <c:pt idx="222">
                  <c:v>2012</c:v>
                </c:pt>
                <c:pt idx="223">
                  <c:v>2013</c:v>
                </c:pt>
                <c:pt idx="224">
                  <c:v>2014</c:v>
                </c:pt>
                <c:pt idx="225">
                  <c:v>2015</c:v>
                </c:pt>
                <c:pt idx="226">
                  <c:v>2016</c:v>
                </c:pt>
                <c:pt idx="227">
                  <c:v>2017</c:v>
                </c:pt>
                <c:pt idx="228">
                  <c:v>2018</c:v>
                </c:pt>
                <c:pt idx="229">
                  <c:v>2019</c:v>
                </c:pt>
                <c:pt idx="230">
                  <c:v>2020</c:v>
                </c:pt>
                <c:pt idx="231">
                  <c:v>2021</c:v>
                </c:pt>
                <c:pt idx="232">
                  <c:v>2022</c:v>
                </c:pt>
                <c:pt idx="233">
                  <c:v>2023</c:v>
                </c:pt>
                <c:pt idx="234">
                  <c:v>2024</c:v>
                </c:pt>
                <c:pt idx="235">
                  <c:v>2025</c:v>
                </c:pt>
              </c:numCache>
            </c:numRef>
          </c:cat>
          <c:val>
            <c:numRef>
              <c:f>'F1 Historical'!$B$2:$B$240</c:f>
              <c:numCache>
                <c:formatCode>General</c:formatCode>
                <c:ptCount val="239"/>
                <c:pt idx="0">
                  <c:v>12.5</c:v>
                </c:pt>
                <c:pt idx="1">
                  <c:v>10</c:v>
                </c:pt>
                <c:pt idx="2">
                  <c:v>15.63</c:v>
                </c:pt>
                <c:pt idx="3">
                  <c:v>22.58</c:v>
                </c:pt>
                <c:pt idx="4">
                  <c:v>30</c:v>
                </c:pt>
                <c:pt idx="5">
                  <c:v>17.46</c:v>
                </c:pt>
                <c:pt idx="6">
                  <c:v>22.81</c:v>
                </c:pt>
                <c:pt idx="7">
                  <c:v>24</c:v>
                </c:pt>
                <c:pt idx="8">
                  <c:v>31.58</c:v>
                </c:pt>
                <c:pt idx="9">
                  <c:v>44.44</c:v>
                </c:pt>
                <c:pt idx="10">
                  <c:v>29.63</c:v>
                </c:pt>
                <c:pt idx="11">
                  <c:v>29.85</c:v>
                </c:pt>
                <c:pt idx="12">
                  <c:v>34.880000000000003</c:v>
                </c:pt>
                <c:pt idx="13">
                  <c:v>26.92</c:v>
                </c:pt>
                <c:pt idx="14">
                  <c:v>41.18</c:v>
                </c:pt>
                <c:pt idx="15">
                  <c:v>33.33</c:v>
                </c:pt>
                <c:pt idx="16">
                  <c:v>34.21</c:v>
                </c:pt>
                <c:pt idx="17">
                  <c:v>31.76</c:v>
                </c:pt>
                <c:pt idx="18">
                  <c:v>24.44</c:v>
                </c:pt>
                <c:pt idx="19">
                  <c:v>30</c:v>
                </c:pt>
                <c:pt idx="20">
                  <c:v>26.15</c:v>
                </c:pt>
                <c:pt idx="21">
                  <c:v>23.81</c:v>
                </c:pt>
                <c:pt idx="22">
                  <c:v>21.43</c:v>
                </c:pt>
                <c:pt idx="23">
                  <c:v>36.840000000000003</c:v>
                </c:pt>
                <c:pt idx="24">
                  <c:v>30.77</c:v>
                </c:pt>
                <c:pt idx="25">
                  <c:v>48.1</c:v>
                </c:pt>
                <c:pt idx="26">
                  <c:v>24.63</c:v>
                </c:pt>
                <c:pt idx="27">
                  <c:v>26.83</c:v>
                </c:pt>
                <c:pt idx="28">
                  <c:v>24.07</c:v>
                </c:pt>
                <c:pt idx="29">
                  <c:v>28.38</c:v>
                </c:pt>
                <c:pt idx="30">
                  <c:v>29.82</c:v>
                </c:pt>
                <c:pt idx="31">
                  <c:v>43.21</c:v>
                </c:pt>
                <c:pt idx="32">
                  <c:v>35.229999999999997</c:v>
                </c:pt>
                <c:pt idx="33">
                  <c:v>43.69</c:v>
                </c:pt>
                <c:pt idx="34">
                  <c:v>47.39</c:v>
                </c:pt>
                <c:pt idx="35">
                  <c:v>47.72</c:v>
                </c:pt>
                <c:pt idx="36">
                  <c:v>45.28</c:v>
                </c:pt>
                <c:pt idx="37">
                  <c:v>50.93</c:v>
                </c:pt>
                <c:pt idx="38">
                  <c:v>44.74</c:v>
                </c:pt>
                <c:pt idx="39">
                  <c:v>50.73</c:v>
                </c:pt>
                <c:pt idx="40">
                  <c:v>57.32</c:v>
                </c:pt>
                <c:pt idx="41">
                  <c:v>44.23</c:v>
                </c:pt>
                <c:pt idx="42">
                  <c:v>38.97</c:v>
                </c:pt>
                <c:pt idx="43">
                  <c:v>28.99</c:v>
                </c:pt>
                <c:pt idx="44">
                  <c:v>21.83</c:v>
                </c:pt>
                <c:pt idx="45">
                  <c:v>21.25</c:v>
                </c:pt>
                <c:pt idx="46">
                  <c:v>19.510000000000002</c:v>
                </c:pt>
                <c:pt idx="47">
                  <c:v>16.05</c:v>
                </c:pt>
                <c:pt idx="48">
                  <c:v>23.11</c:v>
                </c:pt>
                <c:pt idx="49">
                  <c:v>17.57</c:v>
                </c:pt>
                <c:pt idx="50">
                  <c:v>17.600000000000001</c:v>
                </c:pt>
                <c:pt idx="51">
                  <c:v>17.37</c:v>
                </c:pt>
                <c:pt idx="52">
                  <c:v>18.96</c:v>
                </c:pt>
                <c:pt idx="53">
                  <c:v>20.13</c:v>
                </c:pt>
                <c:pt idx="54">
                  <c:v>30.5</c:v>
                </c:pt>
                <c:pt idx="55">
                  <c:v>29.34</c:v>
                </c:pt>
                <c:pt idx="56">
                  <c:v>27.7</c:v>
                </c:pt>
                <c:pt idx="57">
                  <c:v>24.2</c:v>
                </c:pt>
                <c:pt idx="58">
                  <c:v>23.49</c:v>
                </c:pt>
                <c:pt idx="59">
                  <c:v>23.41</c:v>
                </c:pt>
                <c:pt idx="60">
                  <c:v>24.5</c:v>
                </c:pt>
                <c:pt idx="61">
                  <c:v>24.26</c:v>
                </c:pt>
                <c:pt idx="62">
                  <c:v>24.35</c:v>
                </c:pt>
                <c:pt idx="63">
                  <c:v>23.37</c:v>
                </c:pt>
                <c:pt idx="64">
                  <c:v>23.52</c:v>
                </c:pt>
                <c:pt idx="65">
                  <c:v>23.36</c:v>
                </c:pt>
                <c:pt idx="66">
                  <c:v>21.68</c:v>
                </c:pt>
                <c:pt idx="67">
                  <c:v>19.09</c:v>
                </c:pt>
                <c:pt idx="68">
                  <c:v>17.329999999999998</c:v>
                </c:pt>
                <c:pt idx="69">
                  <c:v>15.43</c:v>
                </c:pt>
                <c:pt idx="70">
                  <c:v>15.67</c:v>
                </c:pt>
                <c:pt idx="71">
                  <c:v>14.21</c:v>
                </c:pt>
                <c:pt idx="72">
                  <c:v>26.08</c:v>
                </c:pt>
                <c:pt idx="73">
                  <c:v>28.28</c:v>
                </c:pt>
                <c:pt idx="74">
                  <c:v>32.04</c:v>
                </c:pt>
                <c:pt idx="75">
                  <c:v>38.46</c:v>
                </c:pt>
                <c:pt idx="76">
                  <c:v>41.81</c:v>
                </c:pt>
                <c:pt idx="77">
                  <c:v>44.56</c:v>
                </c:pt>
                <c:pt idx="78">
                  <c:v>46.56</c:v>
                </c:pt>
                <c:pt idx="79">
                  <c:v>44.76</c:v>
                </c:pt>
                <c:pt idx="80">
                  <c:v>44.89</c:v>
                </c:pt>
                <c:pt idx="81">
                  <c:v>40.51</c:v>
                </c:pt>
                <c:pt idx="82">
                  <c:v>37.99</c:v>
                </c:pt>
                <c:pt idx="83">
                  <c:v>27.9</c:v>
                </c:pt>
                <c:pt idx="84">
                  <c:v>28.29</c:v>
                </c:pt>
                <c:pt idx="85">
                  <c:v>29.36</c:v>
                </c:pt>
                <c:pt idx="86">
                  <c:v>31.25</c:v>
                </c:pt>
                <c:pt idx="87">
                  <c:v>29.2</c:v>
                </c:pt>
                <c:pt idx="88">
                  <c:v>29</c:v>
                </c:pt>
                <c:pt idx="89">
                  <c:v>30.33</c:v>
                </c:pt>
                <c:pt idx="90">
                  <c:v>29.12</c:v>
                </c:pt>
                <c:pt idx="91">
                  <c:v>29.79</c:v>
                </c:pt>
                <c:pt idx="92">
                  <c:v>30.16</c:v>
                </c:pt>
                <c:pt idx="93">
                  <c:v>30.04</c:v>
                </c:pt>
                <c:pt idx="94">
                  <c:v>28.5</c:v>
                </c:pt>
                <c:pt idx="95">
                  <c:v>30.75</c:v>
                </c:pt>
                <c:pt idx="96">
                  <c:v>30.35</c:v>
                </c:pt>
                <c:pt idx="97">
                  <c:v>31.52</c:v>
                </c:pt>
                <c:pt idx="98">
                  <c:v>30.55</c:v>
                </c:pt>
                <c:pt idx="99">
                  <c:v>30.02</c:v>
                </c:pt>
                <c:pt idx="100">
                  <c:v>29.59</c:v>
                </c:pt>
                <c:pt idx="101">
                  <c:v>25.65</c:v>
                </c:pt>
                <c:pt idx="102">
                  <c:v>21.65</c:v>
                </c:pt>
                <c:pt idx="103">
                  <c:v>23.91</c:v>
                </c:pt>
                <c:pt idx="104">
                  <c:v>20.56</c:v>
                </c:pt>
                <c:pt idx="105">
                  <c:v>20.440000000000001</c:v>
                </c:pt>
                <c:pt idx="106">
                  <c:v>20.67</c:v>
                </c:pt>
                <c:pt idx="107">
                  <c:v>21.89</c:v>
                </c:pt>
                <c:pt idx="108">
                  <c:v>24.77</c:v>
                </c:pt>
                <c:pt idx="109">
                  <c:v>29.48</c:v>
                </c:pt>
                <c:pt idx="110">
                  <c:v>27.62</c:v>
                </c:pt>
                <c:pt idx="111">
                  <c:v>28.91</c:v>
                </c:pt>
                <c:pt idx="112">
                  <c:v>27.95</c:v>
                </c:pt>
                <c:pt idx="113">
                  <c:v>27.85</c:v>
                </c:pt>
                <c:pt idx="114">
                  <c:v>26.29</c:v>
                </c:pt>
                <c:pt idx="115">
                  <c:v>23.77</c:v>
                </c:pt>
                <c:pt idx="116">
                  <c:v>24.22</c:v>
                </c:pt>
                <c:pt idx="117">
                  <c:v>23.28</c:v>
                </c:pt>
                <c:pt idx="118">
                  <c:v>23.88</c:v>
                </c:pt>
                <c:pt idx="119">
                  <c:v>22.99</c:v>
                </c:pt>
                <c:pt idx="120">
                  <c:v>21.11</c:v>
                </c:pt>
                <c:pt idx="121">
                  <c:v>20.29</c:v>
                </c:pt>
                <c:pt idx="122">
                  <c:v>18.579999999999998</c:v>
                </c:pt>
                <c:pt idx="123">
                  <c:v>17.690000000000001</c:v>
                </c:pt>
                <c:pt idx="124">
                  <c:v>14.88</c:v>
                </c:pt>
                <c:pt idx="125">
                  <c:v>12.49</c:v>
                </c:pt>
                <c:pt idx="126">
                  <c:v>9.08</c:v>
                </c:pt>
                <c:pt idx="127">
                  <c:v>7.01</c:v>
                </c:pt>
                <c:pt idx="128">
                  <c:v>5.79</c:v>
                </c:pt>
                <c:pt idx="129">
                  <c:v>6.2</c:v>
                </c:pt>
                <c:pt idx="130">
                  <c:v>6.38</c:v>
                </c:pt>
                <c:pt idx="131">
                  <c:v>11.44</c:v>
                </c:pt>
                <c:pt idx="132">
                  <c:v>14.68</c:v>
                </c:pt>
                <c:pt idx="133">
                  <c:v>15.18</c:v>
                </c:pt>
                <c:pt idx="134">
                  <c:v>14.89</c:v>
                </c:pt>
                <c:pt idx="135">
                  <c:v>13.21</c:v>
                </c:pt>
                <c:pt idx="136">
                  <c:v>13.39</c:v>
                </c:pt>
                <c:pt idx="137">
                  <c:v>13.81</c:v>
                </c:pt>
                <c:pt idx="138">
                  <c:v>13.3</c:v>
                </c:pt>
                <c:pt idx="139">
                  <c:v>13.48</c:v>
                </c:pt>
                <c:pt idx="140">
                  <c:v>14.83</c:v>
                </c:pt>
                <c:pt idx="141">
                  <c:v>17.75</c:v>
                </c:pt>
                <c:pt idx="142">
                  <c:v>19.59</c:v>
                </c:pt>
                <c:pt idx="143" formatCode="0.00">
                  <c:v>19.8</c:v>
                </c:pt>
                <c:pt idx="144" formatCode="0.00">
                  <c:v>18.41</c:v>
                </c:pt>
                <c:pt idx="145">
                  <c:v>17.52</c:v>
                </c:pt>
                <c:pt idx="146">
                  <c:v>16.84</c:v>
                </c:pt>
                <c:pt idx="147">
                  <c:v>15.63</c:v>
                </c:pt>
                <c:pt idx="148">
                  <c:v>15.46</c:v>
                </c:pt>
                <c:pt idx="149">
                  <c:v>14.41</c:v>
                </c:pt>
                <c:pt idx="150">
                  <c:v>12.51</c:v>
                </c:pt>
                <c:pt idx="151">
                  <c:v>13.59</c:v>
                </c:pt>
                <c:pt idx="152">
                  <c:v>11.51</c:v>
                </c:pt>
                <c:pt idx="153">
                  <c:v>11.57</c:v>
                </c:pt>
                <c:pt idx="154">
                  <c:v>9.4499999999999993</c:v>
                </c:pt>
                <c:pt idx="155">
                  <c:v>9.2899999999999991</c:v>
                </c:pt>
                <c:pt idx="156">
                  <c:v>9.9</c:v>
                </c:pt>
                <c:pt idx="157">
                  <c:v>7.55</c:v>
                </c:pt>
                <c:pt idx="158">
                  <c:v>5.71</c:v>
                </c:pt>
                <c:pt idx="159">
                  <c:v>5.53</c:v>
                </c:pt>
                <c:pt idx="160">
                  <c:v>5.97</c:v>
                </c:pt>
                <c:pt idx="161">
                  <c:v>5.47</c:v>
                </c:pt>
                <c:pt idx="162">
                  <c:v>5.3</c:v>
                </c:pt>
                <c:pt idx="163">
                  <c:v>5.42</c:v>
                </c:pt>
                <c:pt idx="164">
                  <c:v>5.17</c:v>
                </c:pt>
                <c:pt idx="165">
                  <c:v>5.59</c:v>
                </c:pt>
                <c:pt idx="166">
                  <c:v>5.67</c:v>
                </c:pt>
                <c:pt idx="167">
                  <c:v>5.76</c:v>
                </c:pt>
                <c:pt idx="168">
                  <c:v>6.44</c:v>
                </c:pt>
                <c:pt idx="169">
                  <c:v>7.02</c:v>
                </c:pt>
                <c:pt idx="170">
                  <c:v>7.4</c:v>
                </c:pt>
                <c:pt idx="171">
                  <c:v>7.21</c:v>
                </c:pt>
                <c:pt idx="172">
                  <c:v>7.5</c:v>
                </c:pt>
                <c:pt idx="173">
                  <c:v>7.29</c:v>
                </c:pt>
                <c:pt idx="174">
                  <c:v>7.2</c:v>
                </c:pt>
                <c:pt idx="175">
                  <c:v>7.72</c:v>
                </c:pt>
                <c:pt idx="176">
                  <c:v>7.57</c:v>
                </c:pt>
                <c:pt idx="177">
                  <c:v>7.54</c:v>
                </c:pt>
                <c:pt idx="178">
                  <c:v>7.08</c:v>
                </c:pt>
                <c:pt idx="179">
                  <c:v>7.11</c:v>
                </c:pt>
                <c:pt idx="180">
                  <c:v>6.5</c:v>
                </c:pt>
                <c:pt idx="181">
                  <c:v>6.08</c:v>
                </c:pt>
                <c:pt idx="182">
                  <c:v>5.65</c:v>
                </c:pt>
                <c:pt idx="183">
                  <c:v>5.24</c:v>
                </c:pt>
                <c:pt idx="184">
                  <c:v>3.77</c:v>
                </c:pt>
                <c:pt idx="185">
                  <c:v>3.92</c:v>
                </c:pt>
                <c:pt idx="186">
                  <c:v>3.86</c:v>
                </c:pt>
                <c:pt idx="187">
                  <c:v>3.73</c:v>
                </c:pt>
                <c:pt idx="188">
                  <c:v>4.1399999999999997</c:v>
                </c:pt>
                <c:pt idx="189">
                  <c:v>3.5</c:v>
                </c:pt>
                <c:pt idx="190">
                  <c:v>3.09</c:v>
                </c:pt>
                <c:pt idx="191">
                  <c:v>3.43</c:v>
                </c:pt>
                <c:pt idx="192">
                  <c:v>3.4369999999999998</c:v>
                </c:pt>
                <c:pt idx="193">
                  <c:v>3.3330000000000002</c:v>
                </c:pt>
                <c:pt idx="194">
                  <c:v>3.54</c:v>
                </c:pt>
                <c:pt idx="195">
                  <c:v>3.5419999999999998</c:v>
                </c:pt>
                <c:pt idx="196">
                  <c:v>3.7010000000000001</c:v>
                </c:pt>
                <c:pt idx="197">
                  <c:v>3.7229999999999999</c:v>
                </c:pt>
                <c:pt idx="198">
                  <c:v>3.6240000000000001</c:v>
                </c:pt>
                <c:pt idx="199">
                  <c:v>3.5430000000000001</c:v>
                </c:pt>
                <c:pt idx="200">
                  <c:v>3.28</c:v>
                </c:pt>
                <c:pt idx="201">
                  <c:v>3.2320000000000002</c:v>
                </c:pt>
                <c:pt idx="202">
                  <c:v>3.238</c:v>
                </c:pt>
                <c:pt idx="203">
                  <c:v>3.218</c:v>
                </c:pt>
                <c:pt idx="204">
                  <c:v>3.0350000000000001</c:v>
                </c:pt>
                <c:pt idx="205">
                  <c:v>2.468</c:v>
                </c:pt>
                <c:pt idx="206">
                  <c:v>2.2320000000000002</c:v>
                </c:pt>
                <c:pt idx="207">
                  <c:v>2.069</c:v>
                </c:pt>
                <c:pt idx="208">
                  <c:v>1.9750000000000001</c:v>
                </c:pt>
                <c:pt idx="209">
                  <c:v>1.7809999999999999</c:v>
                </c:pt>
                <c:pt idx="210">
                  <c:v>1.59</c:v>
                </c:pt>
                <c:pt idx="211">
                  <c:v>1.65</c:v>
                </c:pt>
                <c:pt idx="212">
                  <c:v>1.556</c:v>
                </c:pt>
                <c:pt idx="213">
                  <c:v>1.5469999999999999</c:v>
                </c:pt>
                <c:pt idx="214">
                  <c:v>1.4379999999999999</c:v>
                </c:pt>
                <c:pt idx="215">
                  <c:v>1.375</c:v>
                </c:pt>
                <c:pt idx="216">
                  <c:v>1.3120000000000001</c:v>
                </c:pt>
                <c:pt idx="217">
                  <c:v>1.345</c:v>
                </c:pt>
                <c:pt idx="218">
                  <c:v>1.2729999999999999</c:v>
                </c:pt>
                <c:pt idx="219">
                  <c:v>1.353</c:v>
                </c:pt>
                <c:pt idx="220">
                  <c:v>1.3740000000000001</c:v>
                </c:pt>
                <c:pt idx="221">
                  <c:v>1.337</c:v>
                </c:pt>
                <c:pt idx="222">
                  <c:v>1.3380000000000001</c:v>
                </c:pt>
                <c:pt idx="223">
                  <c:v>1.421</c:v>
                </c:pt>
                <c:pt idx="224">
                  <c:v>1.4359999999999999</c:v>
                </c:pt>
                <c:pt idx="225">
                  <c:v>1.5289999999999999</c:v>
                </c:pt>
                <c:pt idx="226">
                  <c:v>1.552</c:v>
                </c:pt>
                <c:pt idx="227">
                  <c:v>1.486</c:v>
                </c:pt>
                <c:pt idx="228">
                  <c:v>1.9410000000000001</c:v>
                </c:pt>
                <c:pt idx="229">
                  <c:v>2.944</c:v>
                </c:pt>
                <c:pt idx="230">
                  <c:v>2.8450000000000002</c:v>
                </c:pt>
                <c:pt idx="231">
                  <c:v>3.0110000000000001</c:v>
                </c:pt>
                <c:pt idx="232">
                  <c:v>3.0049999999999999</c:v>
                </c:pt>
                <c:pt idx="233">
                  <c:v>2.4870000000000001</c:v>
                </c:pt>
                <c:pt idx="234">
                  <c:v>2.4180000000000001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0-48B2-82BE-B94D80F59CE5}"/>
            </c:ext>
          </c:extLst>
        </c:ser>
        <c:ser>
          <c:idx val="1"/>
          <c:order val="2"/>
          <c:tx>
            <c:strRef>
              <c:f>'F1 Historical'!$C$1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'F1 Historical'!$A$2:$A$240</c:f>
              <c:numCache>
                <c:formatCode>General</c:formatCode>
                <c:ptCount val="239"/>
                <c:pt idx="0">
                  <c:v>1790</c:v>
                </c:pt>
                <c:pt idx="1">
                  <c:v>1791</c:v>
                </c:pt>
                <c:pt idx="2">
                  <c:v>1792</c:v>
                </c:pt>
                <c:pt idx="3">
                  <c:v>1793</c:v>
                </c:pt>
                <c:pt idx="4">
                  <c:v>1794</c:v>
                </c:pt>
                <c:pt idx="5">
                  <c:v>1795</c:v>
                </c:pt>
                <c:pt idx="6">
                  <c:v>1796</c:v>
                </c:pt>
                <c:pt idx="7">
                  <c:v>1797</c:v>
                </c:pt>
                <c:pt idx="8">
                  <c:v>1798</c:v>
                </c:pt>
                <c:pt idx="9">
                  <c:v>1799</c:v>
                </c:pt>
                <c:pt idx="10">
                  <c:v>1800</c:v>
                </c:pt>
                <c:pt idx="11">
                  <c:v>1801</c:v>
                </c:pt>
                <c:pt idx="12">
                  <c:v>1802</c:v>
                </c:pt>
                <c:pt idx="13">
                  <c:v>1803</c:v>
                </c:pt>
                <c:pt idx="14">
                  <c:v>1804</c:v>
                </c:pt>
                <c:pt idx="15">
                  <c:v>1805</c:v>
                </c:pt>
                <c:pt idx="16">
                  <c:v>1806</c:v>
                </c:pt>
                <c:pt idx="17">
                  <c:v>1807</c:v>
                </c:pt>
                <c:pt idx="18">
                  <c:v>1808</c:v>
                </c:pt>
                <c:pt idx="19">
                  <c:v>1809</c:v>
                </c:pt>
                <c:pt idx="20">
                  <c:v>1810</c:v>
                </c:pt>
                <c:pt idx="21">
                  <c:v>1811</c:v>
                </c:pt>
                <c:pt idx="22">
                  <c:v>1812</c:v>
                </c:pt>
                <c:pt idx="23">
                  <c:v>1813</c:v>
                </c:pt>
                <c:pt idx="24">
                  <c:v>1814</c:v>
                </c:pt>
                <c:pt idx="25">
                  <c:v>1815</c:v>
                </c:pt>
                <c:pt idx="26">
                  <c:v>1816</c:v>
                </c:pt>
                <c:pt idx="27">
                  <c:v>1817</c:v>
                </c:pt>
                <c:pt idx="28">
                  <c:v>1818</c:v>
                </c:pt>
                <c:pt idx="29">
                  <c:v>1819</c:v>
                </c:pt>
                <c:pt idx="30">
                  <c:v>1820</c:v>
                </c:pt>
                <c:pt idx="31">
                  <c:v>1821</c:v>
                </c:pt>
                <c:pt idx="32">
                  <c:v>1822</c:v>
                </c:pt>
                <c:pt idx="33">
                  <c:v>1823</c:v>
                </c:pt>
                <c:pt idx="34">
                  <c:v>1824</c:v>
                </c:pt>
                <c:pt idx="35">
                  <c:v>1825</c:v>
                </c:pt>
                <c:pt idx="36">
                  <c:v>1826</c:v>
                </c:pt>
                <c:pt idx="37">
                  <c:v>1827</c:v>
                </c:pt>
                <c:pt idx="38">
                  <c:v>1828</c:v>
                </c:pt>
                <c:pt idx="39">
                  <c:v>1829</c:v>
                </c:pt>
                <c:pt idx="40">
                  <c:v>1830</c:v>
                </c:pt>
                <c:pt idx="41">
                  <c:v>1831</c:v>
                </c:pt>
                <c:pt idx="42">
                  <c:v>1832</c:v>
                </c:pt>
                <c:pt idx="43">
                  <c:v>1833</c:v>
                </c:pt>
                <c:pt idx="44">
                  <c:v>1834</c:v>
                </c:pt>
                <c:pt idx="45">
                  <c:v>1835</c:v>
                </c:pt>
                <c:pt idx="46">
                  <c:v>1836</c:v>
                </c:pt>
                <c:pt idx="47">
                  <c:v>1837</c:v>
                </c:pt>
                <c:pt idx="48">
                  <c:v>1838</c:v>
                </c:pt>
                <c:pt idx="49">
                  <c:v>1839</c:v>
                </c:pt>
                <c:pt idx="50">
                  <c:v>1840</c:v>
                </c:pt>
                <c:pt idx="51">
                  <c:v>1841</c:v>
                </c:pt>
                <c:pt idx="52">
                  <c:v>1842</c:v>
                </c:pt>
                <c:pt idx="53">
                  <c:v>1843</c:v>
                </c:pt>
                <c:pt idx="54">
                  <c:v>1844</c:v>
                </c:pt>
                <c:pt idx="55">
                  <c:v>1845</c:v>
                </c:pt>
                <c:pt idx="56">
                  <c:v>1846</c:v>
                </c:pt>
                <c:pt idx="57">
                  <c:v>1847</c:v>
                </c:pt>
                <c:pt idx="58">
                  <c:v>1848</c:v>
                </c:pt>
                <c:pt idx="59">
                  <c:v>1849</c:v>
                </c:pt>
                <c:pt idx="60">
                  <c:v>1850</c:v>
                </c:pt>
                <c:pt idx="61">
                  <c:v>1851</c:v>
                </c:pt>
                <c:pt idx="62">
                  <c:v>1852</c:v>
                </c:pt>
                <c:pt idx="63">
                  <c:v>1853</c:v>
                </c:pt>
                <c:pt idx="64">
                  <c:v>1854</c:v>
                </c:pt>
                <c:pt idx="65">
                  <c:v>1855</c:v>
                </c:pt>
                <c:pt idx="66">
                  <c:v>1856</c:v>
                </c:pt>
                <c:pt idx="67">
                  <c:v>1857</c:v>
                </c:pt>
                <c:pt idx="68">
                  <c:v>1858</c:v>
                </c:pt>
                <c:pt idx="69">
                  <c:v>1859</c:v>
                </c:pt>
                <c:pt idx="70">
                  <c:v>1860</c:v>
                </c:pt>
                <c:pt idx="71">
                  <c:v>1861</c:v>
                </c:pt>
                <c:pt idx="72">
                  <c:v>1862</c:v>
                </c:pt>
                <c:pt idx="73">
                  <c:v>1863</c:v>
                </c:pt>
                <c:pt idx="74">
                  <c:v>1864</c:v>
                </c:pt>
                <c:pt idx="75">
                  <c:v>1865</c:v>
                </c:pt>
                <c:pt idx="76">
                  <c:v>1866</c:v>
                </c:pt>
                <c:pt idx="77">
                  <c:v>1867</c:v>
                </c:pt>
                <c:pt idx="78">
                  <c:v>1868</c:v>
                </c:pt>
                <c:pt idx="79">
                  <c:v>1869</c:v>
                </c:pt>
                <c:pt idx="80">
                  <c:v>1870</c:v>
                </c:pt>
                <c:pt idx="81">
                  <c:v>1871</c:v>
                </c:pt>
                <c:pt idx="82">
                  <c:v>1872</c:v>
                </c:pt>
                <c:pt idx="83">
                  <c:v>1873</c:v>
                </c:pt>
                <c:pt idx="84">
                  <c:v>1874</c:v>
                </c:pt>
                <c:pt idx="85">
                  <c:v>1875</c:v>
                </c:pt>
                <c:pt idx="86">
                  <c:v>1876</c:v>
                </c:pt>
                <c:pt idx="87">
                  <c:v>1877</c:v>
                </c:pt>
                <c:pt idx="88">
                  <c:v>1878</c:v>
                </c:pt>
                <c:pt idx="89">
                  <c:v>1879</c:v>
                </c:pt>
                <c:pt idx="90">
                  <c:v>1880</c:v>
                </c:pt>
                <c:pt idx="91">
                  <c:v>1881</c:v>
                </c:pt>
                <c:pt idx="92">
                  <c:v>1882</c:v>
                </c:pt>
                <c:pt idx="93">
                  <c:v>1883</c:v>
                </c:pt>
                <c:pt idx="94">
                  <c:v>1884</c:v>
                </c:pt>
                <c:pt idx="95">
                  <c:v>1885</c:v>
                </c:pt>
                <c:pt idx="96">
                  <c:v>1886</c:v>
                </c:pt>
                <c:pt idx="97">
                  <c:v>1887</c:v>
                </c:pt>
                <c:pt idx="98">
                  <c:v>1888</c:v>
                </c:pt>
                <c:pt idx="99">
                  <c:v>1889</c:v>
                </c:pt>
                <c:pt idx="100">
                  <c:v>1890</c:v>
                </c:pt>
                <c:pt idx="101">
                  <c:v>1891</c:v>
                </c:pt>
                <c:pt idx="102">
                  <c:v>1892</c:v>
                </c:pt>
                <c:pt idx="103">
                  <c:v>1893</c:v>
                </c:pt>
                <c:pt idx="104">
                  <c:v>1894</c:v>
                </c:pt>
                <c:pt idx="105">
                  <c:v>1895</c:v>
                </c:pt>
                <c:pt idx="106">
                  <c:v>1896</c:v>
                </c:pt>
                <c:pt idx="107">
                  <c:v>1897</c:v>
                </c:pt>
                <c:pt idx="108">
                  <c:v>1898</c:v>
                </c:pt>
                <c:pt idx="109">
                  <c:v>1899</c:v>
                </c:pt>
                <c:pt idx="110">
                  <c:v>1900</c:v>
                </c:pt>
                <c:pt idx="111">
                  <c:v>1901</c:v>
                </c:pt>
                <c:pt idx="112">
                  <c:v>1902</c:v>
                </c:pt>
                <c:pt idx="113">
                  <c:v>1903</c:v>
                </c:pt>
                <c:pt idx="114">
                  <c:v>1904</c:v>
                </c:pt>
                <c:pt idx="115">
                  <c:v>1905</c:v>
                </c:pt>
                <c:pt idx="116">
                  <c:v>1906</c:v>
                </c:pt>
                <c:pt idx="117">
                  <c:v>1907</c:v>
                </c:pt>
                <c:pt idx="118">
                  <c:v>1908</c:v>
                </c:pt>
                <c:pt idx="119">
                  <c:v>1909</c:v>
                </c:pt>
                <c:pt idx="120">
                  <c:v>1910</c:v>
                </c:pt>
                <c:pt idx="121">
                  <c:v>1911</c:v>
                </c:pt>
                <c:pt idx="122">
                  <c:v>1912</c:v>
                </c:pt>
                <c:pt idx="123">
                  <c:v>1913</c:v>
                </c:pt>
                <c:pt idx="124">
                  <c:v>1914</c:v>
                </c:pt>
                <c:pt idx="125">
                  <c:v>1915</c:v>
                </c:pt>
                <c:pt idx="126">
                  <c:v>1916</c:v>
                </c:pt>
                <c:pt idx="127">
                  <c:v>1917</c:v>
                </c:pt>
                <c:pt idx="128">
                  <c:v>1918</c:v>
                </c:pt>
                <c:pt idx="129">
                  <c:v>1919</c:v>
                </c:pt>
                <c:pt idx="130">
                  <c:v>1920</c:v>
                </c:pt>
                <c:pt idx="131">
                  <c:v>1921</c:v>
                </c:pt>
                <c:pt idx="132">
                  <c:v>1922</c:v>
                </c:pt>
                <c:pt idx="133">
                  <c:v>1923</c:v>
                </c:pt>
                <c:pt idx="134">
                  <c:v>1924</c:v>
                </c:pt>
                <c:pt idx="135">
                  <c:v>1925</c:v>
                </c:pt>
                <c:pt idx="136">
                  <c:v>1926</c:v>
                </c:pt>
                <c:pt idx="137">
                  <c:v>1927</c:v>
                </c:pt>
                <c:pt idx="138">
                  <c:v>1928</c:v>
                </c:pt>
                <c:pt idx="139">
                  <c:v>1929</c:v>
                </c:pt>
                <c:pt idx="140">
                  <c:v>1930</c:v>
                </c:pt>
                <c:pt idx="141">
                  <c:v>1931</c:v>
                </c:pt>
                <c:pt idx="142">
                  <c:v>1932</c:v>
                </c:pt>
                <c:pt idx="143">
                  <c:v>1933</c:v>
                </c:pt>
                <c:pt idx="144">
                  <c:v>1934</c:v>
                </c:pt>
                <c:pt idx="145">
                  <c:v>1935</c:v>
                </c:pt>
                <c:pt idx="146">
                  <c:v>1936</c:v>
                </c:pt>
                <c:pt idx="147">
                  <c:v>1937</c:v>
                </c:pt>
                <c:pt idx="148">
                  <c:v>1938</c:v>
                </c:pt>
                <c:pt idx="149">
                  <c:v>1939</c:v>
                </c:pt>
                <c:pt idx="150">
                  <c:v>1940</c:v>
                </c:pt>
                <c:pt idx="151">
                  <c:v>1941</c:v>
                </c:pt>
                <c:pt idx="152">
                  <c:v>1942</c:v>
                </c:pt>
                <c:pt idx="153">
                  <c:v>1943</c:v>
                </c:pt>
                <c:pt idx="154">
                  <c:v>1944</c:v>
                </c:pt>
                <c:pt idx="155">
                  <c:v>1945</c:v>
                </c:pt>
                <c:pt idx="156">
                  <c:v>1946</c:v>
                </c:pt>
                <c:pt idx="157">
                  <c:v>1947</c:v>
                </c:pt>
                <c:pt idx="158">
                  <c:v>1948</c:v>
                </c:pt>
                <c:pt idx="159">
                  <c:v>1949</c:v>
                </c:pt>
                <c:pt idx="160">
                  <c:v>1950</c:v>
                </c:pt>
                <c:pt idx="161">
                  <c:v>1951</c:v>
                </c:pt>
                <c:pt idx="162">
                  <c:v>1952</c:v>
                </c:pt>
                <c:pt idx="163">
                  <c:v>1953</c:v>
                </c:pt>
                <c:pt idx="164">
                  <c:v>1954</c:v>
                </c:pt>
                <c:pt idx="165">
                  <c:v>1955</c:v>
                </c:pt>
                <c:pt idx="166">
                  <c:v>1956</c:v>
                </c:pt>
                <c:pt idx="167">
                  <c:v>1957</c:v>
                </c:pt>
                <c:pt idx="168">
                  <c:v>1958</c:v>
                </c:pt>
                <c:pt idx="169">
                  <c:v>1959</c:v>
                </c:pt>
                <c:pt idx="170">
                  <c:v>1960</c:v>
                </c:pt>
                <c:pt idx="171">
                  <c:v>1961</c:v>
                </c:pt>
                <c:pt idx="172">
                  <c:v>1962</c:v>
                </c:pt>
                <c:pt idx="173">
                  <c:v>1963</c:v>
                </c:pt>
                <c:pt idx="174">
                  <c:v>1964</c:v>
                </c:pt>
                <c:pt idx="175">
                  <c:v>1965</c:v>
                </c:pt>
                <c:pt idx="176">
                  <c:v>1966</c:v>
                </c:pt>
                <c:pt idx="177">
                  <c:v>1967</c:v>
                </c:pt>
                <c:pt idx="178">
                  <c:v>1968</c:v>
                </c:pt>
                <c:pt idx="179">
                  <c:v>1969</c:v>
                </c:pt>
                <c:pt idx="180">
                  <c:v>1970</c:v>
                </c:pt>
                <c:pt idx="181">
                  <c:v>1971</c:v>
                </c:pt>
                <c:pt idx="182">
                  <c:v>1972</c:v>
                </c:pt>
                <c:pt idx="183">
                  <c:v>1973</c:v>
                </c:pt>
                <c:pt idx="184">
                  <c:v>1974</c:v>
                </c:pt>
                <c:pt idx="185">
                  <c:v>1975</c:v>
                </c:pt>
                <c:pt idx="186">
                  <c:v>1976</c:v>
                </c:pt>
                <c:pt idx="187">
                  <c:v>1977</c:v>
                </c:pt>
                <c:pt idx="188">
                  <c:v>1978</c:v>
                </c:pt>
                <c:pt idx="189">
                  <c:v>1979</c:v>
                </c:pt>
                <c:pt idx="190">
                  <c:v>1980</c:v>
                </c:pt>
                <c:pt idx="191">
                  <c:v>1981</c:v>
                </c:pt>
                <c:pt idx="192">
                  <c:v>1982</c:v>
                </c:pt>
                <c:pt idx="193">
                  <c:v>1983</c:v>
                </c:pt>
                <c:pt idx="194">
                  <c:v>1984</c:v>
                </c:pt>
                <c:pt idx="195">
                  <c:v>1985</c:v>
                </c:pt>
                <c:pt idx="196">
                  <c:v>1986</c:v>
                </c:pt>
                <c:pt idx="197">
                  <c:v>1987</c:v>
                </c:pt>
                <c:pt idx="198">
                  <c:v>1988</c:v>
                </c:pt>
                <c:pt idx="199">
                  <c:v>1989</c:v>
                </c:pt>
                <c:pt idx="200">
                  <c:v>1990</c:v>
                </c:pt>
                <c:pt idx="201">
                  <c:v>1991</c:v>
                </c:pt>
                <c:pt idx="202">
                  <c:v>1992</c:v>
                </c:pt>
                <c:pt idx="203">
                  <c:v>1993</c:v>
                </c:pt>
                <c:pt idx="204">
                  <c:v>1994</c:v>
                </c:pt>
                <c:pt idx="205">
                  <c:v>1995</c:v>
                </c:pt>
                <c:pt idx="206">
                  <c:v>1996</c:v>
                </c:pt>
                <c:pt idx="207">
                  <c:v>1997</c:v>
                </c:pt>
                <c:pt idx="208">
                  <c:v>1998</c:v>
                </c:pt>
                <c:pt idx="209">
                  <c:v>1999</c:v>
                </c:pt>
                <c:pt idx="210">
                  <c:v>2000</c:v>
                </c:pt>
                <c:pt idx="211">
                  <c:v>2001</c:v>
                </c:pt>
                <c:pt idx="212">
                  <c:v>2002</c:v>
                </c:pt>
                <c:pt idx="213">
                  <c:v>2003</c:v>
                </c:pt>
                <c:pt idx="214">
                  <c:v>2004</c:v>
                </c:pt>
                <c:pt idx="215">
                  <c:v>2005</c:v>
                </c:pt>
                <c:pt idx="216">
                  <c:v>2006</c:v>
                </c:pt>
                <c:pt idx="217">
                  <c:v>2007</c:v>
                </c:pt>
                <c:pt idx="218">
                  <c:v>2008</c:v>
                </c:pt>
                <c:pt idx="219">
                  <c:v>2009</c:v>
                </c:pt>
                <c:pt idx="220">
                  <c:v>2010</c:v>
                </c:pt>
                <c:pt idx="221">
                  <c:v>2011</c:v>
                </c:pt>
                <c:pt idx="222">
                  <c:v>2012</c:v>
                </c:pt>
                <c:pt idx="223">
                  <c:v>2013</c:v>
                </c:pt>
                <c:pt idx="224">
                  <c:v>2014</c:v>
                </c:pt>
                <c:pt idx="225">
                  <c:v>2015</c:v>
                </c:pt>
                <c:pt idx="226">
                  <c:v>2016</c:v>
                </c:pt>
                <c:pt idx="227">
                  <c:v>2017</c:v>
                </c:pt>
                <c:pt idx="228">
                  <c:v>2018</c:v>
                </c:pt>
                <c:pt idx="229">
                  <c:v>2019</c:v>
                </c:pt>
                <c:pt idx="230">
                  <c:v>2020</c:v>
                </c:pt>
                <c:pt idx="231">
                  <c:v>2021</c:v>
                </c:pt>
                <c:pt idx="232">
                  <c:v>2022</c:v>
                </c:pt>
                <c:pt idx="233">
                  <c:v>2023</c:v>
                </c:pt>
                <c:pt idx="234">
                  <c:v>2024</c:v>
                </c:pt>
                <c:pt idx="235">
                  <c:v>2025</c:v>
                </c:pt>
              </c:numCache>
            </c:numRef>
          </c:cat>
          <c:val>
            <c:numRef>
              <c:f>'F1 Historical'!$C$2:$C$240</c:f>
              <c:numCache>
                <c:formatCode>General</c:formatCode>
                <c:ptCount val="239"/>
                <c:pt idx="234">
                  <c:v>2.4180000000000001</c:v>
                </c:pt>
                <c:pt idx="235">
                  <c:v>14.355874079073295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0-48B2-82BE-B94D80F59CE5}"/>
            </c:ext>
          </c:extLst>
        </c:ser>
        <c:ser>
          <c:idx val="2"/>
          <c:order val="3"/>
          <c:tx>
            <c:strRef>
              <c:f>'F1 Historical'!$D$1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'F1 Historical'!$A$2:$A$240</c:f>
              <c:numCache>
                <c:formatCode>General</c:formatCode>
                <c:ptCount val="239"/>
                <c:pt idx="0">
                  <c:v>1790</c:v>
                </c:pt>
                <c:pt idx="1">
                  <c:v>1791</c:v>
                </c:pt>
                <c:pt idx="2">
                  <c:v>1792</c:v>
                </c:pt>
                <c:pt idx="3">
                  <c:v>1793</c:v>
                </c:pt>
                <c:pt idx="4">
                  <c:v>1794</c:v>
                </c:pt>
                <c:pt idx="5">
                  <c:v>1795</c:v>
                </c:pt>
                <c:pt idx="6">
                  <c:v>1796</c:v>
                </c:pt>
                <c:pt idx="7">
                  <c:v>1797</c:v>
                </c:pt>
                <c:pt idx="8">
                  <c:v>1798</c:v>
                </c:pt>
                <c:pt idx="9">
                  <c:v>1799</c:v>
                </c:pt>
                <c:pt idx="10">
                  <c:v>1800</c:v>
                </c:pt>
                <c:pt idx="11">
                  <c:v>1801</c:v>
                </c:pt>
                <c:pt idx="12">
                  <c:v>1802</c:v>
                </c:pt>
                <c:pt idx="13">
                  <c:v>1803</c:v>
                </c:pt>
                <c:pt idx="14">
                  <c:v>1804</c:v>
                </c:pt>
                <c:pt idx="15">
                  <c:v>1805</c:v>
                </c:pt>
                <c:pt idx="16">
                  <c:v>1806</c:v>
                </c:pt>
                <c:pt idx="17">
                  <c:v>1807</c:v>
                </c:pt>
                <c:pt idx="18">
                  <c:v>1808</c:v>
                </c:pt>
                <c:pt idx="19">
                  <c:v>1809</c:v>
                </c:pt>
                <c:pt idx="20">
                  <c:v>1810</c:v>
                </c:pt>
                <c:pt idx="21">
                  <c:v>1811</c:v>
                </c:pt>
                <c:pt idx="22">
                  <c:v>1812</c:v>
                </c:pt>
                <c:pt idx="23">
                  <c:v>1813</c:v>
                </c:pt>
                <c:pt idx="24">
                  <c:v>1814</c:v>
                </c:pt>
                <c:pt idx="25">
                  <c:v>1815</c:v>
                </c:pt>
                <c:pt idx="26">
                  <c:v>1816</c:v>
                </c:pt>
                <c:pt idx="27">
                  <c:v>1817</c:v>
                </c:pt>
                <c:pt idx="28">
                  <c:v>1818</c:v>
                </c:pt>
                <c:pt idx="29">
                  <c:v>1819</c:v>
                </c:pt>
                <c:pt idx="30">
                  <c:v>1820</c:v>
                </c:pt>
                <c:pt idx="31">
                  <c:v>1821</c:v>
                </c:pt>
                <c:pt idx="32">
                  <c:v>1822</c:v>
                </c:pt>
                <c:pt idx="33">
                  <c:v>1823</c:v>
                </c:pt>
                <c:pt idx="34">
                  <c:v>1824</c:v>
                </c:pt>
                <c:pt idx="35">
                  <c:v>1825</c:v>
                </c:pt>
                <c:pt idx="36">
                  <c:v>1826</c:v>
                </c:pt>
                <c:pt idx="37">
                  <c:v>1827</c:v>
                </c:pt>
                <c:pt idx="38">
                  <c:v>1828</c:v>
                </c:pt>
                <c:pt idx="39">
                  <c:v>1829</c:v>
                </c:pt>
                <c:pt idx="40">
                  <c:v>1830</c:v>
                </c:pt>
                <c:pt idx="41">
                  <c:v>1831</c:v>
                </c:pt>
                <c:pt idx="42">
                  <c:v>1832</c:v>
                </c:pt>
                <c:pt idx="43">
                  <c:v>1833</c:v>
                </c:pt>
                <c:pt idx="44">
                  <c:v>1834</c:v>
                </c:pt>
                <c:pt idx="45">
                  <c:v>1835</c:v>
                </c:pt>
                <c:pt idx="46">
                  <c:v>1836</c:v>
                </c:pt>
                <c:pt idx="47">
                  <c:v>1837</c:v>
                </c:pt>
                <c:pt idx="48">
                  <c:v>1838</c:v>
                </c:pt>
                <c:pt idx="49">
                  <c:v>1839</c:v>
                </c:pt>
                <c:pt idx="50">
                  <c:v>1840</c:v>
                </c:pt>
                <c:pt idx="51">
                  <c:v>1841</c:v>
                </c:pt>
                <c:pt idx="52">
                  <c:v>1842</c:v>
                </c:pt>
                <c:pt idx="53">
                  <c:v>1843</c:v>
                </c:pt>
                <c:pt idx="54">
                  <c:v>1844</c:v>
                </c:pt>
                <c:pt idx="55">
                  <c:v>1845</c:v>
                </c:pt>
                <c:pt idx="56">
                  <c:v>1846</c:v>
                </c:pt>
                <c:pt idx="57">
                  <c:v>1847</c:v>
                </c:pt>
                <c:pt idx="58">
                  <c:v>1848</c:v>
                </c:pt>
                <c:pt idx="59">
                  <c:v>1849</c:v>
                </c:pt>
                <c:pt idx="60">
                  <c:v>1850</c:v>
                </c:pt>
                <c:pt idx="61">
                  <c:v>1851</c:v>
                </c:pt>
                <c:pt idx="62">
                  <c:v>1852</c:v>
                </c:pt>
                <c:pt idx="63">
                  <c:v>1853</c:v>
                </c:pt>
                <c:pt idx="64">
                  <c:v>1854</c:v>
                </c:pt>
                <c:pt idx="65">
                  <c:v>1855</c:v>
                </c:pt>
                <c:pt idx="66">
                  <c:v>1856</c:v>
                </c:pt>
                <c:pt idx="67">
                  <c:v>1857</c:v>
                </c:pt>
                <c:pt idx="68">
                  <c:v>1858</c:v>
                </c:pt>
                <c:pt idx="69">
                  <c:v>1859</c:v>
                </c:pt>
                <c:pt idx="70">
                  <c:v>1860</c:v>
                </c:pt>
                <c:pt idx="71">
                  <c:v>1861</c:v>
                </c:pt>
                <c:pt idx="72">
                  <c:v>1862</c:v>
                </c:pt>
                <c:pt idx="73">
                  <c:v>1863</c:v>
                </c:pt>
                <c:pt idx="74">
                  <c:v>1864</c:v>
                </c:pt>
                <c:pt idx="75">
                  <c:v>1865</c:v>
                </c:pt>
                <c:pt idx="76">
                  <c:v>1866</c:v>
                </c:pt>
                <c:pt idx="77">
                  <c:v>1867</c:v>
                </c:pt>
                <c:pt idx="78">
                  <c:v>1868</c:v>
                </c:pt>
                <c:pt idx="79">
                  <c:v>1869</c:v>
                </c:pt>
                <c:pt idx="80">
                  <c:v>1870</c:v>
                </c:pt>
                <c:pt idx="81">
                  <c:v>1871</c:v>
                </c:pt>
                <c:pt idx="82">
                  <c:v>1872</c:v>
                </c:pt>
                <c:pt idx="83">
                  <c:v>1873</c:v>
                </c:pt>
                <c:pt idx="84">
                  <c:v>1874</c:v>
                </c:pt>
                <c:pt idx="85">
                  <c:v>1875</c:v>
                </c:pt>
                <c:pt idx="86">
                  <c:v>1876</c:v>
                </c:pt>
                <c:pt idx="87">
                  <c:v>1877</c:v>
                </c:pt>
                <c:pt idx="88">
                  <c:v>1878</c:v>
                </c:pt>
                <c:pt idx="89">
                  <c:v>1879</c:v>
                </c:pt>
                <c:pt idx="90">
                  <c:v>1880</c:v>
                </c:pt>
                <c:pt idx="91">
                  <c:v>1881</c:v>
                </c:pt>
                <c:pt idx="92">
                  <c:v>1882</c:v>
                </c:pt>
                <c:pt idx="93">
                  <c:v>1883</c:v>
                </c:pt>
                <c:pt idx="94">
                  <c:v>1884</c:v>
                </c:pt>
                <c:pt idx="95">
                  <c:v>1885</c:v>
                </c:pt>
                <c:pt idx="96">
                  <c:v>1886</c:v>
                </c:pt>
                <c:pt idx="97">
                  <c:v>1887</c:v>
                </c:pt>
                <c:pt idx="98">
                  <c:v>1888</c:v>
                </c:pt>
                <c:pt idx="99">
                  <c:v>1889</c:v>
                </c:pt>
                <c:pt idx="100">
                  <c:v>1890</c:v>
                </c:pt>
                <c:pt idx="101">
                  <c:v>1891</c:v>
                </c:pt>
                <c:pt idx="102">
                  <c:v>1892</c:v>
                </c:pt>
                <c:pt idx="103">
                  <c:v>1893</c:v>
                </c:pt>
                <c:pt idx="104">
                  <c:v>1894</c:v>
                </c:pt>
                <c:pt idx="105">
                  <c:v>1895</c:v>
                </c:pt>
                <c:pt idx="106">
                  <c:v>1896</c:v>
                </c:pt>
                <c:pt idx="107">
                  <c:v>1897</c:v>
                </c:pt>
                <c:pt idx="108">
                  <c:v>1898</c:v>
                </c:pt>
                <c:pt idx="109">
                  <c:v>1899</c:v>
                </c:pt>
                <c:pt idx="110">
                  <c:v>1900</c:v>
                </c:pt>
                <c:pt idx="111">
                  <c:v>1901</c:v>
                </c:pt>
                <c:pt idx="112">
                  <c:v>1902</c:v>
                </c:pt>
                <c:pt idx="113">
                  <c:v>1903</c:v>
                </c:pt>
                <c:pt idx="114">
                  <c:v>1904</c:v>
                </c:pt>
                <c:pt idx="115">
                  <c:v>1905</c:v>
                </c:pt>
                <c:pt idx="116">
                  <c:v>1906</c:v>
                </c:pt>
                <c:pt idx="117">
                  <c:v>1907</c:v>
                </c:pt>
                <c:pt idx="118">
                  <c:v>1908</c:v>
                </c:pt>
                <c:pt idx="119">
                  <c:v>1909</c:v>
                </c:pt>
                <c:pt idx="120">
                  <c:v>1910</c:v>
                </c:pt>
                <c:pt idx="121">
                  <c:v>1911</c:v>
                </c:pt>
                <c:pt idx="122">
                  <c:v>1912</c:v>
                </c:pt>
                <c:pt idx="123">
                  <c:v>1913</c:v>
                </c:pt>
                <c:pt idx="124">
                  <c:v>1914</c:v>
                </c:pt>
                <c:pt idx="125">
                  <c:v>1915</c:v>
                </c:pt>
                <c:pt idx="126">
                  <c:v>1916</c:v>
                </c:pt>
                <c:pt idx="127">
                  <c:v>1917</c:v>
                </c:pt>
                <c:pt idx="128">
                  <c:v>1918</c:v>
                </c:pt>
                <c:pt idx="129">
                  <c:v>1919</c:v>
                </c:pt>
                <c:pt idx="130">
                  <c:v>1920</c:v>
                </c:pt>
                <c:pt idx="131">
                  <c:v>1921</c:v>
                </c:pt>
                <c:pt idx="132">
                  <c:v>1922</c:v>
                </c:pt>
                <c:pt idx="133">
                  <c:v>1923</c:v>
                </c:pt>
                <c:pt idx="134">
                  <c:v>1924</c:v>
                </c:pt>
                <c:pt idx="135">
                  <c:v>1925</c:v>
                </c:pt>
                <c:pt idx="136">
                  <c:v>1926</c:v>
                </c:pt>
                <c:pt idx="137">
                  <c:v>1927</c:v>
                </c:pt>
                <c:pt idx="138">
                  <c:v>1928</c:v>
                </c:pt>
                <c:pt idx="139">
                  <c:v>1929</c:v>
                </c:pt>
                <c:pt idx="140">
                  <c:v>1930</c:v>
                </c:pt>
                <c:pt idx="141">
                  <c:v>1931</c:v>
                </c:pt>
                <c:pt idx="142">
                  <c:v>1932</c:v>
                </c:pt>
                <c:pt idx="143">
                  <c:v>1933</c:v>
                </c:pt>
                <c:pt idx="144">
                  <c:v>1934</c:v>
                </c:pt>
                <c:pt idx="145">
                  <c:v>1935</c:v>
                </c:pt>
                <c:pt idx="146">
                  <c:v>1936</c:v>
                </c:pt>
                <c:pt idx="147">
                  <c:v>1937</c:v>
                </c:pt>
                <c:pt idx="148">
                  <c:v>1938</c:v>
                </c:pt>
                <c:pt idx="149">
                  <c:v>1939</c:v>
                </c:pt>
                <c:pt idx="150">
                  <c:v>1940</c:v>
                </c:pt>
                <c:pt idx="151">
                  <c:v>1941</c:v>
                </c:pt>
                <c:pt idx="152">
                  <c:v>1942</c:v>
                </c:pt>
                <c:pt idx="153">
                  <c:v>1943</c:v>
                </c:pt>
                <c:pt idx="154">
                  <c:v>1944</c:v>
                </c:pt>
                <c:pt idx="155">
                  <c:v>1945</c:v>
                </c:pt>
                <c:pt idx="156">
                  <c:v>1946</c:v>
                </c:pt>
                <c:pt idx="157">
                  <c:v>1947</c:v>
                </c:pt>
                <c:pt idx="158">
                  <c:v>1948</c:v>
                </c:pt>
                <c:pt idx="159">
                  <c:v>1949</c:v>
                </c:pt>
                <c:pt idx="160">
                  <c:v>1950</c:v>
                </c:pt>
                <c:pt idx="161">
                  <c:v>1951</c:v>
                </c:pt>
                <c:pt idx="162">
                  <c:v>1952</c:v>
                </c:pt>
                <c:pt idx="163">
                  <c:v>1953</c:v>
                </c:pt>
                <c:pt idx="164">
                  <c:v>1954</c:v>
                </c:pt>
                <c:pt idx="165">
                  <c:v>1955</c:v>
                </c:pt>
                <c:pt idx="166">
                  <c:v>1956</c:v>
                </c:pt>
                <c:pt idx="167">
                  <c:v>1957</c:v>
                </c:pt>
                <c:pt idx="168">
                  <c:v>1958</c:v>
                </c:pt>
                <c:pt idx="169">
                  <c:v>1959</c:v>
                </c:pt>
                <c:pt idx="170">
                  <c:v>1960</c:v>
                </c:pt>
                <c:pt idx="171">
                  <c:v>1961</c:v>
                </c:pt>
                <c:pt idx="172">
                  <c:v>1962</c:v>
                </c:pt>
                <c:pt idx="173">
                  <c:v>1963</c:v>
                </c:pt>
                <c:pt idx="174">
                  <c:v>1964</c:v>
                </c:pt>
                <c:pt idx="175">
                  <c:v>1965</c:v>
                </c:pt>
                <c:pt idx="176">
                  <c:v>1966</c:v>
                </c:pt>
                <c:pt idx="177">
                  <c:v>1967</c:v>
                </c:pt>
                <c:pt idx="178">
                  <c:v>1968</c:v>
                </c:pt>
                <c:pt idx="179">
                  <c:v>1969</c:v>
                </c:pt>
                <c:pt idx="180">
                  <c:v>1970</c:v>
                </c:pt>
                <c:pt idx="181">
                  <c:v>1971</c:v>
                </c:pt>
                <c:pt idx="182">
                  <c:v>1972</c:v>
                </c:pt>
                <c:pt idx="183">
                  <c:v>1973</c:v>
                </c:pt>
                <c:pt idx="184">
                  <c:v>1974</c:v>
                </c:pt>
                <c:pt idx="185">
                  <c:v>1975</c:v>
                </c:pt>
                <c:pt idx="186">
                  <c:v>1976</c:v>
                </c:pt>
                <c:pt idx="187">
                  <c:v>1977</c:v>
                </c:pt>
                <c:pt idx="188">
                  <c:v>1978</c:v>
                </c:pt>
                <c:pt idx="189">
                  <c:v>1979</c:v>
                </c:pt>
                <c:pt idx="190">
                  <c:v>1980</c:v>
                </c:pt>
                <c:pt idx="191">
                  <c:v>1981</c:v>
                </c:pt>
                <c:pt idx="192">
                  <c:v>1982</c:v>
                </c:pt>
                <c:pt idx="193">
                  <c:v>1983</c:v>
                </c:pt>
                <c:pt idx="194">
                  <c:v>1984</c:v>
                </c:pt>
                <c:pt idx="195">
                  <c:v>1985</c:v>
                </c:pt>
                <c:pt idx="196">
                  <c:v>1986</c:v>
                </c:pt>
                <c:pt idx="197">
                  <c:v>1987</c:v>
                </c:pt>
                <c:pt idx="198">
                  <c:v>1988</c:v>
                </c:pt>
                <c:pt idx="199">
                  <c:v>1989</c:v>
                </c:pt>
                <c:pt idx="200">
                  <c:v>1990</c:v>
                </c:pt>
                <c:pt idx="201">
                  <c:v>1991</c:v>
                </c:pt>
                <c:pt idx="202">
                  <c:v>1992</c:v>
                </c:pt>
                <c:pt idx="203">
                  <c:v>1993</c:v>
                </c:pt>
                <c:pt idx="204">
                  <c:v>1994</c:v>
                </c:pt>
                <c:pt idx="205">
                  <c:v>1995</c:v>
                </c:pt>
                <c:pt idx="206">
                  <c:v>1996</c:v>
                </c:pt>
                <c:pt idx="207">
                  <c:v>1997</c:v>
                </c:pt>
                <c:pt idx="208">
                  <c:v>1998</c:v>
                </c:pt>
                <c:pt idx="209">
                  <c:v>1999</c:v>
                </c:pt>
                <c:pt idx="210">
                  <c:v>2000</c:v>
                </c:pt>
                <c:pt idx="211">
                  <c:v>2001</c:v>
                </c:pt>
                <c:pt idx="212">
                  <c:v>2002</c:v>
                </c:pt>
                <c:pt idx="213">
                  <c:v>2003</c:v>
                </c:pt>
                <c:pt idx="214">
                  <c:v>2004</c:v>
                </c:pt>
                <c:pt idx="215">
                  <c:v>2005</c:v>
                </c:pt>
                <c:pt idx="216">
                  <c:v>2006</c:v>
                </c:pt>
                <c:pt idx="217">
                  <c:v>2007</c:v>
                </c:pt>
                <c:pt idx="218">
                  <c:v>2008</c:v>
                </c:pt>
                <c:pt idx="219">
                  <c:v>2009</c:v>
                </c:pt>
                <c:pt idx="220">
                  <c:v>2010</c:v>
                </c:pt>
                <c:pt idx="221">
                  <c:v>2011</c:v>
                </c:pt>
                <c:pt idx="222">
                  <c:v>2012</c:v>
                </c:pt>
                <c:pt idx="223">
                  <c:v>2013</c:v>
                </c:pt>
                <c:pt idx="224">
                  <c:v>2014</c:v>
                </c:pt>
                <c:pt idx="225">
                  <c:v>2015</c:v>
                </c:pt>
                <c:pt idx="226">
                  <c:v>2016</c:v>
                </c:pt>
                <c:pt idx="227">
                  <c:v>2017</c:v>
                </c:pt>
                <c:pt idx="228">
                  <c:v>2018</c:v>
                </c:pt>
                <c:pt idx="229">
                  <c:v>2019</c:v>
                </c:pt>
                <c:pt idx="230">
                  <c:v>2020</c:v>
                </c:pt>
                <c:pt idx="231">
                  <c:v>2021</c:v>
                </c:pt>
                <c:pt idx="232">
                  <c:v>2022</c:v>
                </c:pt>
                <c:pt idx="233">
                  <c:v>2023</c:v>
                </c:pt>
                <c:pt idx="234">
                  <c:v>2024</c:v>
                </c:pt>
                <c:pt idx="235">
                  <c:v>2025</c:v>
                </c:pt>
              </c:numCache>
            </c:numRef>
          </c:cat>
          <c:val>
            <c:numRef>
              <c:f>'F1 Historical'!$D$2:$D$240</c:f>
              <c:numCache>
                <c:formatCode>General</c:formatCode>
                <c:ptCount val="239"/>
                <c:pt idx="0">
                  <c:v>14.355874079073295</c:v>
                </c:pt>
                <c:pt idx="1">
                  <c:v>14.355874079073295</c:v>
                </c:pt>
                <c:pt idx="2">
                  <c:v>14.355874079073295</c:v>
                </c:pt>
                <c:pt idx="3">
                  <c:v>14.355874079073295</c:v>
                </c:pt>
                <c:pt idx="4">
                  <c:v>14.355874079073295</c:v>
                </c:pt>
                <c:pt idx="5">
                  <c:v>14.355874079073295</c:v>
                </c:pt>
                <c:pt idx="6">
                  <c:v>14.355874079073295</c:v>
                </c:pt>
                <c:pt idx="7">
                  <c:v>14.355874079073295</c:v>
                </c:pt>
                <c:pt idx="8">
                  <c:v>14.355874079073295</c:v>
                </c:pt>
                <c:pt idx="9">
                  <c:v>14.355874079073295</c:v>
                </c:pt>
                <c:pt idx="10">
                  <c:v>14.355874079073295</c:v>
                </c:pt>
                <c:pt idx="11">
                  <c:v>14.355874079073295</c:v>
                </c:pt>
                <c:pt idx="12">
                  <c:v>14.355874079073295</c:v>
                </c:pt>
                <c:pt idx="13">
                  <c:v>14.355874079073295</c:v>
                </c:pt>
                <c:pt idx="14">
                  <c:v>14.355874079073295</c:v>
                </c:pt>
                <c:pt idx="15">
                  <c:v>14.355874079073295</c:v>
                </c:pt>
                <c:pt idx="16">
                  <c:v>14.355874079073295</c:v>
                </c:pt>
                <c:pt idx="17">
                  <c:v>14.355874079073295</c:v>
                </c:pt>
                <c:pt idx="18">
                  <c:v>14.355874079073295</c:v>
                </c:pt>
                <c:pt idx="19">
                  <c:v>14.355874079073295</c:v>
                </c:pt>
                <c:pt idx="20">
                  <c:v>14.355874079073295</c:v>
                </c:pt>
                <c:pt idx="21">
                  <c:v>14.355874079073295</c:v>
                </c:pt>
                <c:pt idx="22">
                  <c:v>14.355874079073295</c:v>
                </c:pt>
                <c:pt idx="23">
                  <c:v>14.355874079073295</c:v>
                </c:pt>
                <c:pt idx="24">
                  <c:v>14.355874079073295</c:v>
                </c:pt>
                <c:pt idx="25">
                  <c:v>14.355874079073295</c:v>
                </c:pt>
                <c:pt idx="26">
                  <c:v>14.355874079073295</c:v>
                </c:pt>
                <c:pt idx="27">
                  <c:v>14.355874079073295</c:v>
                </c:pt>
                <c:pt idx="28">
                  <c:v>14.355874079073295</c:v>
                </c:pt>
                <c:pt idx="29">
                  <c:v>14.355874079073295</c:v>
                </c:pt>
                <c:pt idx="30">
                  <c:v>14.355874079073295</c:v>
                </c:pt>
                <c:pt idx="31">
                  <c:v>14.355874079073295</c:v>
                </c:pt>
                <c:pt idx="32">
                  <c:v>14.355874079073295</c:v>
                </c:pt>
                <c:pt idx="33">
                  <c:v>14.355874079073295</c:v>
                </c:pt>
                <c:pt idx="34">
                  <c:v>14.355874079073295</c:v>
                </c:pt>
                <c:pt idx="35">
                  <c:v>14.355874079073295</c:v>
                </c:pt>
                <c:pt idx="36">
                  <c:v>14.355874079073295</c:v>
                </c:pt>
                <c:pt idx="37">
                  <c:v>14.355874079073295</c:v>
                </c:pt>
                <c:pt idx="38">
                  <c:v>14.355874079073295</c:v>
                </c:pt>
                <c:pt idx="39">
                  <c:v>14.355874079073295</c:v>
                </c:pt>
                <c:pt idx="40">
                  <c:v>14.355874079073295</c:v>
                </c:pt>
                <c:pt idx="41">
                  <c:v>14.355874079073295</c:v>
                </c:pt>
                <c:pt idx="42">
                  <c:v>14.355874079073295</c:v>
                </c:pt>
                <c:pt idx="43">
                  <c:v>14.355874079073295</c:v>
                </c:pt>
                <c:pt idx="44">
                  <c:v>14.355874079073295</c:v>
                </c:pt>
                <c:pt idx="45">
                  <c:v>14.355874079073295</c:v>
                </c:pt>
                <c:pt idx="46">
                  <c:v>14.355874079073295</c:v>
                </c:pt>
                <c:pt idx="47">
                  <c:v>14.355874079073295</c:v>
                </c:pt>
                <c:pt idx="48">
                  <c:v>14.355874079073295</c:v>
                </c:pt>
                <c:pt idx="49">
                  <c:v>14.355874079073295</c:v>
                </c:pt>
                <c:pt idx="50">
                  <c:v>14.355874079073295</c:v>
                </c:pt>
                <c:pt idx="51">
                  <c:v>14.355874079073295</c:v>
                </c:pt>
                <c:pt idx="52">
                  <c:v>14.355874079073295</c:v>
                </c:pt>
                <c:pt idx="53">
                  <c:v>14.355874079073295</c:v>
                </c:pt>
                <c:pt idx="54">
                  <c:v>14.355874079073295</c:v>
                </c:pt>
                <c:pt idx="55">
                  <c:v>14.355874079073295</c:v>
                </c:pt>
                <c:pt idx="56">
                  <c:v>14.355874079073295</c:v>
                </c:pt>
                <c:pt idx="57">
                  <c:v>14.355874079073295</c:v>
                </c:pt>
                <c:pt idx="58">
                  <c:v>14.355874079073295</c:v>
                </c:pt>
                <c:pt idx="59">
                  <c:v>14.355874079073295</c:v>
                </c:pt>
                <c:pt idx="60">
                  <c:v>14.355874079073295</c:v>
                </c:pt>
                <c:pt idx="61">
                  <c:v>14.355874079073295</c:v>
                </c:pt>
                <c:pt idx="62">
                  <c:v>14.355874079073295</c:v>
                </c:pt>
                <c:pt idx="63">
                  <c:v>14.355874079073295</c:v>
                </c:pt>
                <c:pt idx="64">
                  <c:v>14.355874079073295</c:v>
                </c:pt>
                <c:pt idx="65">
                  <c:v>14.355874079073295</c:v>
                </c:pt>
                <c:pt idx="66">
                  <c:v>14.355874079073295</c:v>
                </c:pt>
                <c:pt idx="67">
                  <c:v>14.355874079073295</c:v>
                </c:pt>
                <c:pt idx="68">
                  <c:v>14.355874079073295</c:v>
                </c:pt>
                <c:pt idx="69">
                  <c:v>14.355874079073295</c:v>
                </c:pt>
                <c:pt idx="70">
                  <c:v>14.355874079073295</c:v>
                </c:pt>
                <c:pt idx="71">
                  <c:v>14.355874079073295</c:v>
                </c:pt>
                <c:pt idx="72">
                  <c:v>14.355874079073295</c:v>
                </c:pt>
                <c:pt idx="73">
                  <c:v>14.355874079073295</c:v>
                </c:pt>
                <c:pt idx="74">
                  <c:v>14.355874079073295</c:v>
                </c:pt>
                <c:pt idx="75">
                  <c:v>14.355874079073295</c:v>
                </c:pt>
                <c:pt idx="76">
                  <c:v>14.355874079073295</c:v>
                </c:pt>
                <c:pt idx="77">
                  <c:v>14.355874079073295</c:v>
                </c:pt>
                <c:pt idx="78">
                  <c:v>14.355874079073295</c:v>
                </c:pt>
                <c:pt idx="79">
                  <c:v>14.355874079073295</c:v>
                </c:pt>
                <c:pt idx="80">
                  <c:v>14.355874079073295</c:v>
                </c:pt>
                <c:pt idx="81">
                  <c:v>14.355874079073295</c:v>
                </c:pt>
                <c:pt idx="82">
                  <c:v>14.355874079073295</c:v>
                </c:pt>
                <c:pt idx="83">
                  <c:v>14.355874079073295</c:v>
                </c:pt>
                <c:pt idx="84">
                  <c:v>14.355874079073295</c:v>
                </c:pt>
                <c:pt idx="85">
                  <c:v>14.355874079073295</c:v>
                </c:pt>
                <c:pt idx="86">
                  <c:v>14.355874079073295</c:v>
                </c:pt>
                <c:pt idx="87">
                  <c:v>14.355874079073295</c:v>
                </c:pt>
                <c:pt idx="88">
                  <c:v>14.355874079073295</c:v>
                </c:pt>
                <c:pt idx="89">
                  <c:v>14.355874079073295</c:v>
                </c:pt>
                <c:pt idx="90">
                  <c:v>14.355874079073295</c:v>
                </c:pt>
                <c:pt idx="91">
                  <c:v>14.355874079073295</c:v>
                </c:pt>
                <c:pt idx="92">
                  <c:v>14.355874079073295</c:v>
                </c:pt>
                <c:pt idx="93">
                  <c:v>14.355874079073295</c:v>
                </c:pt>
                <c:pt idx="94">
                  <c:v>14.355874079073295</c:v>
                </c:pt>
                <c:pt idx="95">
                  <c:v>14.355874079073295</c:v>
                </c:pt>
                <c:pt idx="96">
                  <c:v>14.355874079073295</c:v>
                </c:pt>
                <c:pt idx="97">
                  <c:v>14.355874079073295</c:v>
                </c:pt>
                <c:pt idx="98">
                  <c:v>14.355874079073295</c:v>
                </c:pt>
                <c:pt idx="99">
                  <c:v>14.355874079073295</c:v>
                </c:pt>
                <c:pt idx="100">
                  <c:v>14.355874079073295</c:v>
                </c:pt>
                <c:pt idx="101">
                  <c:v>14.355874079073295</c:v>
                </c:pt>
                <c:pt idx="102">
                  <c:v>14.355874079073295</c:v>
                </c:pt>
                <c:pt idx="103">
                  <c:v>14.355874079073295</c:v>
                </c:pt>
                <c:pt idx="104">
                  <c:v>14.355874079073295</c:v>
                </c:pt>
                <c:pt idx="105">
                  <c:v>14.355874079073295</c:v>
                </c:pt>
                <c:pt idx="106">
                  <c:v>14.355874079073295</c:v>
                </c:pt>
                <c:pt idx="107">
                  <c:v>14.355874079073295</c:v>
                </c:pt>
                <c:pt idx="108">
                  <c:v>14.355874079073295</c:v>
                </c:pt>
                <c:pt idx="109">
                  <c:v>14.355874079073295</c:v>
                </c:pt>
                <c:pt idx="110">
                  <c:v>14.355874079073295</c:v>
                </c:pt>
                <c:pt idx="111">
                  <c:v>14.355874079073295</c:v>
                </c:pt>
                <c:pt idx="112">
                  <c:v>14.355874079073295</c:v>
                </c:pt>
                <c:pt idx="113">
                  <c:v>14.355874079073295</c:v>
                </c:pt>
                <c:pt idx="114">
                  <c:v>14.355874079073295</c:v>
                </c:pt>
                <c:pt idx="115">
                  <c:v>14.355874079073295</c:v>
                </c:pt>
                <c:pt idx="116">
                  <c:v>14.355874079073295</c:v>
                </c:pt>
                <c:pt idx="117">
                  <c:v>14.355874079073295</c:v>
                </c:pt>
                <c:pt idx="118">
                  <c:v>14.355874079073295</c:v>
                </c:pt>
                <c:pt idx="119">
                  <c:v>14.355874079073295</c:v>
                </c:pt>
                <c:pt idx="120">
                  <c:v>14.355874079073295</c:v>
                </c:pt>
                <c:pt idx="121">
                  <c:v>14.355874079073295</c:v>
                </c:pt>
                <c:pt idx="122">
                  <c:v>14.355874079073295</c:v>
                </c:pt>
                <c:pt idx="123">
                  <c:v>14.355874079073295</c:v>
                </c:pt>
                <c:pt idx="124">
                  <c:v>14.355874079073295</c:v>
                </c:pt>
                <c:pt idx="125">
                  <c:v>14.355874079073295</c:v>
                </c:pt>
                <c:pt idx="126">
                  <c:v>14.355874079073295</c:v>
                </c:pt>
                <c:pt idx="127">
                  <c:v>14.355874079073295</c:v>
                </c:pt>
                <c:pt idx="128">
                  <c:v>14.355874079073295</c:v>
                </c:pt>
                <c:pt idx="129">
                  <c:v>14.355874079073295</c:v>
                </c:pt>
                <c:pt idx="130">
                  <c:v>14.355874079073295</c:v>
                </c:pt>
                <c:pt idx="131">
                  <c:v>14.355874079073295</c:v>
                </c:pt>
                <c:pt idx="132">
                  <c:v>14.355874079073295</c:v>
                </c:pt>
                <c:pt idx="133">
                  <c:v>14.355874079073295</c:v>
                </c:pt>
                <c:pt idx="134">
                  <c:v>14.355874079073295</c:v>
                </c:pt>
                <c:pt idx="135">
                  <c:v>14.355874079073295</c:v>
                </c:pt>
                <c:pt idx="136">
                  <c:v>14.355874079073295</c:v>
                </c:pt>
                <c:pt idx="137">
                  <c:v>14.355874079073295</c:v>
                </c:pt>
                <c:pt idx="138">
                  <c:v>14.355874079073295</c:v>
                </c:pt>
                <c:pt idx="139">
                  <c:v>14.355874079073295</c:v>
                </c:pt>
                <c:pt idx="140">
                  <c:v>14.355874079073295</c:v>
                </c:pt>
                <c:pt idx="141">
                  <c:v>14.355874079073295</c:v>
                </c:pt>
                <c:pt idx="142">
                  <c:v>14.355874079073295</c:v>
                </c:pt>
                <c:pt idx="143">
                  <c:v>14.355874079073295</c:v>
                </c:pt>
                <c:pt idx="144">
                  <c:v>14.355874079073295</c:v>
                </c:pt>
                <c:pt idx="145">
                  <c:v>14.355874079073295</c:v>
                </c:pt>
                <c:pt idx="146">
                  <c:v>14.355874079073295</c:v>
                </c:pt>
                <c:pt idx="147">
                  <c:v>14.355874079073295</c:v>
                </c:pt>
                <c:pt idx="148">
                  <c:v>14.355874079073295</c:v>
                </c:pt>
                <c:pt idx="149">
                  <c:v>14.355874079073295</c:v>
                </c:pt>
                <c:pt idx="150">
                  <c:v>14.355874079073295</c:v>
                </c:pt>
                <c:pt idx="151">
                  <c:v>14.355874079073295</c:v>
                </c:pt>
                <c:pt idx="152">
                  <c:v>14.355874079073295</c:v>
                </c:pt>
                <c:pt idx="153">
                  <c:v>14.355874079073295</c:v>
                </c:pt>
                <c:pt idx="154">
                  <c:v>14.355874079073295</c:v>
                </c:pt>
                <c:pt idx="155">
                  <c:v>14.355874079073295</c:v>
                </c:pt>
                <c:pt idx="156">
                  <c:v>14.355874079073295</c:v>
                </c:pt>
                <c:pt idx="157">
                  <c:v>14.355874079073295</c:v>
                </c:pt>
                <c:pt idx="158">
                  <c:v>14.355874079073295</c:v>
                </c:pt>
                <c:pt idx="159">
                  <c:v>14.355874079073295</c:v>
                </c:pt>
                <c:pt idx="160">
                  <c:v>14.355874079073295</c:v>
                </c:pt>
                <c:pt idx="161">
                  <c:v>14.355874079073295</c:v>
                </c:pt>
                <c:pt idx="162">
                  <c:v>14.355874079073295</c:v>
                </c:pt>
                <c:pt idx="163">
                  <c:v>14.355874079073295</c:v>
                </c:pt>
                <c:pt idx="164">
                  <c:v>14.355874079073295</c:v>
                </c:pt>
                <c:pt idx="165">
                  <c:v>14.355874079073295</c:v>
                </c:pt>
                <c:pt idx="166">
                  <c:v>14.355874079073295</c:v>
                </c:pt>
                <c:pt idx="167">
                  <c:v>14.355874079073295</c:v>
                </c:pt>
                <c:pt idx="168">
                  <c:v>14.355874079073295</c:v>
                </c:pt>
                <c:pt idx="169">
                  <c:v>14.355874079073295</c:v>
                </c:pt>
                <c:pt idx="170">
                  <c:v>14.355874079073295</c:v>
                </c:pt>
                <c:pt idx="171">
                  <c:v>14.355874079073295</c:v>
                </c:pt>
                <c:pt idx="172">
                  <c:v>14.355874079073295</c:v>
                </c:pt>
                <c:pt idx="173">
                  <c:v>14.355874079073295</c:v>
                </c:pt>
                <c:pt idx="174">
                  <c:v>14.355874079073295</c:v>
                </c:pt>
                <c:pt idx="175">
                  <c:v>14.355874079073295</c:v>
                </c:pt>
                <c:pt idx="176">
                  <c:v>14.355874079073295</c:v>
                </c:pt>
                <c:pt idx="177">
                  <c:v>14.355874079073295</c:v>
                </c:pt>
                <c:pt idx="178">
                  <c:v>14.355874079073295</c:v>
                </c:pt>
                <c:pt idx="179">
                  <c:v>14.355874079073295</c:v>
                </c:pt>
                <c:pt idx="180">
                  <c:v>14.355874079073295</c:v>
                </c:pt>
                <c:pt idx="181">
                  <c:v>14.355874079073295</c:v>
                </c:pt>
                <c:pt idx="182">
                  <c:v>14.355874079073295</c:v>
                </c:pt>
                <c:pt idx="183">
                  <c:v>14.355874079073295</c:v>
                </c:pt>
                <c:pt idx="184">
                  <c:v>14.355874079073295</c:v>
                </c:pt>
                <c:pt idx="185">
                  <c:v>14.355874079073295</c:v>
                </c:pt>
                <c:pt idx="186">
                  <c:v>14.355874079073295</c:v>
                </c:pt>
                <c:pt idx="187">
                  <c:v>14.355874079073295</c:v>
                </c:pt>
                <c:pt idx="188">
                  <c:v>14.355874079073295</c:v>
                </c:pt>
                <c:pt idx="189">
                  <c:v>14.355874079073295</c:v>
                </c:pt>
                <c:pt idx="190">
                  <c:v>14.355874079073295</c:v>
                </c:pt>
                <c:pt idx="191">
                  <c:v>14.355874079073295</c:v>
                </c:pt>
                <c:pt idx="192">
                  <c:v>14.355874079073295</c:v>
                </c:pt>
                <c:pt idx="193">
                  <c:v>14.355874079073295</c:v>
                </c:pt>
                <c:pt idx="194">
                  <c:v>14.355874079073295</c:v>
                </c:pt>
                <c:pt idx="195">
                  <c:v>14.355874079073295</c:v>
                </c:pt>
                <c:pt idx="196">
                  <c:v>14.355874079073295</c:v>
                </c:pt>
                <c:pt idx="197">
                  <c:v>14.355874079073295</c:v>
                </c:pt>
                <c:pt idx="198">
                  <c:v>14.355874079073295</c:v>
                </c:pt>
                <c:pt idx="199">
                  <c:v>14.355874079073295</c:v>
                </c:pt>
                <c:pt idx="200">
                  <c:v>14.355874079073295</c:v>
                </c:pt>
                <c:pt idx="201">
                  <c:v>14.355874079073295</c:v>
                </c:pt>
                <c:pt idx="202">
                  <c:v>14.355874079073295</c:v>
                </c:pt>
                <c:pt idx="203">
                  <c:v>14.355874079073295</c:v>
                </c:pt>
                <c:pt idx="204">
                  <c:v>14.355874079073295</c:v>
                </c:pt>
                <c:pt idx="205">
                  <c:v>14.355874079073295</c:v>
                </c:pt>
                <c:pt idx="206">
                  <c:v>14.355874079073295</c:v>
                </c:pt>
                <c:pt idx="207">
                  <c:v>14.355874079073295</c:v>
                </c:pt>
                <c:pt idx="208">
                  <c:v>14.355874079073295</c:v>
                </c:pt>
                <c:pt idx="209">
                  <c:v>14.355874079073295</c:v>
                </c:pt>
                <c:pt idx="210">
                  <c:v>14.355874079073295</c:v>
                </c:pt>
                <c:pt idx="211">
                  <c:v>14.355874079073295</c:v>
                </c:pt>
                <c:pt idx="212">
                  <c:v>14.355874079073295</c:v>
                </c:pt>
                <c:pt idx="213">
                  <c:v>14.355874079073295</c:v>
                </c:pt>
                <c:pt idx="214">
                  <c:v>14.355874079073295</c:v>
                </c:pt>
                <c:pt idx="215">
                  <c:v>14.355874079073295</c:v>
                </c:pt>
                <c:pt idx="216">
                  <c:v>14.355874079073295</c:v>
                </c:pt>
                <c:pt idx="217">
                  <c:v>14.355874079073295</c:v>
                </c:pt>
                <c:pt idx="218">
                  <c:v>14.355874079073295</c:v>
                </c:pt>
                <c:pt idx="219">
                  <c:v>14.355874079073295</c:v>
                </c:pt>
                <c:pt idx="220">
                  <c:v>14.355874079073295</c:v>
                </c:pt>
                <c:pt idx="221">
                  <c:v>14.355874079073295</c:v>
                </c:pt>
                <c:pt idx="222">
                  <c:v>14.355874079073295</c:v>
                </c:pt>
                <c:pt idx="223">
                  <c:v>14.355874079073295</c:v>
                </c:pt>
                <c:pt idx="224">
                  <c:v>14.355874079073295</c:v>
                </c:pt>
                <c:pt idx="225">
                  <c:v>14.355874079073295</c:v>
                </c:pt>
                <c:pt idx="226">
                  <c:v>14.355874079073295</c:v>
                </c:pt>
                <c:pt idx="227">
                  <c:v>14.355874079073295</c:v>
                </c:pt>
                <c:pt idx="228">
                  <c:v>14.355874079073295</c:v>
                </c:pt>
                <c:pt idx="229">
                  <c:v>14.355874079073295</c:v>
                </c:pt>
                <c:pt idx="230">
                  <c:v>14.355874079073295</c:v>
                </c:pt>
                <c:pt idx="231">
                  <c:v>14.355874079073295</c:v>
                </c:pt>
                <c:pt idx="232">
                  <c:v>14.355874079073295</c:v>
                </c:pt>
                <c:pt idx="233">
                  <c:v>14.355874079073295</c:v>
                </c:pt>
                <c:pt idx="234">
                  <c:v>14.355874079073295</c:v>
                </c:pt>
                <c:pt idx="235">
                  <c:v>14.355874079073295</c:v>
                </c:pt>
                <c:pt idx="237">
                  <c:v>11.937874079073296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6-42DB-A2E4-3072BE80FD63}"/>
            </c:ext>
          </c:extLst>
        </c:ser>
        <c:ser>
          <c:idx val="4"/>
          <c:order val="4"/>
          <c:tx>
            <c:strRef>
              <c:f>'F1 Historical'!$F$1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'F1 Historical'!$A$2:$A$240</c:f>
              <c:numCache>
                <c:formatCode>General</c:formatCode>
                <c:ptCount val="239"/>
                <c:pt idx="0">
                  <c:v>1790</c:v>
                </c:pt>
                <c:pt idx="1">
                  <c:v>1791</c:v>
                </c:pt>
                <c:pt idx="2">
                  <c:v>1792</c:v>
                </c:pt>
                <c:pt idx="3">
                  <c:v>1793</c:v>
                </c:pt>
                <c:pt idx="4">
                  <c:v>1794</c:v>
                </c:pt>
                <c:pt idx="5">
                  <c:v>1795</c:v>
                </c:pt>
                <c:pt idx="6">
                  <c:v>1796</c:v>
                </c:pt>
                <c:pt idx="7">
                  <c:v>1797</c:v>
                </c:pt>
                <c:pt idx="8">
                  <c:v>1798</c:v>
                </c:pt>
                <c:pt idx="9">
                  <c:v>1799</c:v>
                </c:pt>
                <c:pt idx="10">
                  <c:v>1800</c:v>
                </c:pt>
                <c:pt idx="11">
                  <c:v>1801</c:v>
                </c:pt>
                <c:pt idx="12">
                  <c:v>1802</c:v>
                </c:pt>
                <c:pt idx="13">
                  <c:v>1803</c:v>
                </c:pt>
                <c:pt idx="14">
                  <c:v>1804</c:v>
                </c:pt>
                <c:pt idx="15">
                  <c:v>1805</c:v>
                </c:pt>
                <c:pt idx="16">
                  <c:v>1806</c:v>
                </c:pt>
                <c:pt idx="17">
                  <c:v>1807</c:v>
                </c:pt>
                <c:pt idx="18">
                  <c:v>1808</c:v>
                </c:pt>
                <c:pt idx="19">
                  <c:v>1809</c:v>
                </c:pt>
                <c:pt idx="20">
                  <c:v>1810</c:v>
                </c:pt>
                <c:pt idx="21">
                  <c:v>1811</c:v>
                </c:pt>
                <c:pt idx="22">
                  <c:v>1812</c:v>
                </c:pt>
                <c:pt idx="23">
                  <c:v>1813</c:v>
                </c:pt>
                <c:pt idx="24">
                  <c:v>1814</c:v>
                </c:pt>
                <c:pt idx="25">
                  <c:v>1815</c:v>
                </c:pt>
                <c:pt idx="26">
                  <c:v>1816</c:v>
                </c:pt>
                <c:pt idx="27">
                  <c:v>1817</c:v>
                </c:pt>
                <c:pt idx="28">
                  <c:v>1818</c:v>
                </c:pt>
                <c:pt idx="29">
                  <c:v>1819</c:v>
                </c:pt>
                <c:pt idx="30">
                  <c:v>1820</c:v>
                </c:pt>
                <c:pt idx="31">
                  <c:v>1821</c:v>
                </c:pt>
                <c:pt idx="32">
                  <c:v>1822</c:v>
                </c:pt>
                <c:pt idx="33">
                  <c:v>1823</c:v>
                </c:pt>
                <c:pt idx="34">
                  <c:v>1824</c:v>
                </c:pt>
                <c:pt idx="35">
                  <c:v>1825</c:v>
                </c:pt>
                <c:pt idx="36">
                  <c:v>1826</c:v>
                </c:pt>
                <c:pt idx="37">
                  <c:v>1827</c:v>
                </c:pt>
                <c:pt idx="38">
                  <c:v>1828</c:v>
                </c:pt>
                <c:pt idx="39">
                  <c:v>1829</c:v>
                </c:pt>
                <c:pt idx="40">
                  <c:v>1830</c:v>
                </c:pt>
                <c:pt idx="41">
                  <c:v>1831</c:v>
                </c:pt>
                <c:pt idx="42">
                  <c:v>1832</c:v>
                </c:pt>
                <c:pt idx="43">
                  <c:v>1833</c:v>
                </c:pt>
                <c:pt idx="44">
                  <c:v>1834</c:v>
                </c:pt>
                <c:pt idx="45">
                  <c:v>1835</c:v>
                </c:pt>
                <c:pt idx="46">
                  <c:v>1836</c:v>
                </c:pt>
                <c:pt idx="47">
                  <c:v>1837</c:v>
                </c:pt>
                <c:pt idx="48">
                  <c:v>1838</c:v>
                </c:pt>
                <c:pt idx="49">
                  <c:v>1839</c:v>
                </c:pt>
                <c:pt idx="50">
                  <c:v>1840</c:v>
                </c:pt>
                <c:pt idx="51">
                  <c:v>1841</c:v>
                </c:pt>
                <c:pt idx="52">
                  <c:v>1842</c:v>
                </c:pt>
                <c:pt idx="53">
                  <c:v>1843</c:v>
                </c:pt>
                <c:pt idx="54">
                  <c:v>1844</c:v>
                </c:pt>
                <c:pt idx="55">
                  <c:v>1845</c:v>
                </c:pt>
                <c:pt idx="56">
                  <c:v>1846</c:v>
                </c:pt>
                <c:pt idx="57">
                  <c:v>1847</c:v>
                </c:pt>
                <c:pt idx="58">
                  <c:v>1848</c:v>
                </c:pt>
                <c:pt idx="59">
                  <c:v>1849</c:v>
                </c:pt>
                <c:pt idx="60">
                  <c:v>1850</c:v>
                </c:pt>
                <c:pt idx="61">
                  <c:v>1851</c:v>
                </c:pt>
                <c:pt idx="62">
                  <c:v>1852</c:v>
                </c:pt>
                <c:pt idx="63">
                  <c:v>1853</c:v>
                </c:pt>
                <c:pt idx="64">
                  <c:v>1854</c:v>
                </c:pt>
                <c:pt idx="65">
                  <c:v>1855</c:v>
                </c:pt>
                <c:pt idx="66">
                  <c:v>1856</c:v>
                </c:pt>
                <c:pt idx="67">
                  <c:v>1857</c:v>
                </c:pt>
                <c:pt idx="68">
                  <c:v>1858</c:v>
                </c:pt>
                <c:pt idx="69">
                  <c:v>1859</c:v>
                </c:pt>
                <c:pt idx="70">
                  <c:v>1860</c:v>
                </c:pt>
                <c:pt idx="71">
                  <c:v>1861</c:v>
                </c:pt>
                <c:pt idx="72">
                  <c:v>1862</c:v>
                </c:pt>
                <c:pt idx="73">
                  <c:v>1863</c:v>
                </c:pt>
                <c:pt idx="74">
                  <c:v>1864</c:v>
                </c:pt>
                <c:pt idx="75">
                  <c:v>1865</c:v>
                </c:pt>
                <c:pt idx="76">
                  <c:v>1866</c:v>
                </c:pt>
                <c:pt idx="77">
                  <c:v>1867</c:v>
                </c:pt>
                <c:pt idx="78">
                  <c:v>1868</c:v>
                </c:pt>
                <c:pt idx="79">
                  <c:v>1869</c:v>
                </c:pt>
                <c:pt idx="80">
                  <c:v>1870</c:v>
                </c:pt>
                <c:pt idx="81">
                  <c:v>1871</c:v>
                </c:pt>
                <c:pt idx="82">
                  <c:v>1872</c:v>
                </c:pt>
                <c:pt idx="83">
                  <c:v>1873</c:v>
                </c:pt>
                <c:pt idx="84">
                  <c:v>1874</c:v>
                </c:pt>
                <c:pt idx="85">
                  <c:v>1875</c:v>
                </c:pt>
                <c:pt idx="86">
                  <c:v>1876</c:v>
                </c:pt>
                <c:pt idx="87">
                  <c:v>1877</c:v>
                </c:pt>
                <c:pt idx="88">
                  <c:v>1878</c:v>
                </c:pt>
                <c:pt idx="89">
                  <c:v>1879</c:v>
                </c:pt>
                <c:pt idx="90">
                  <c:v>1880</c:v>
                </c:pt>
                <c:pt idx="91">
                  <c:v>1881</c:v>
                </c:pt>
                <c:pt idx="92">
                  <c:v>1882</c:v>
                </c:pt>
                <c:pt idx="93">
                  <c:v>1883</c:v>
                </c:pt>
                <c:pt idx="94">
                  <c:v>1884</c:v>
                </c:pt>
                <c:pt idx="95">
                  <c:v>1885</c:v>
                </c:pt>
                <c:pt idx="96">
                  <c:v>1886</c:v>
                </c:pt>
                <c:pt idx="97">
                  <c:v>1887</c:v>
                </c:pt>
                <c:pt idx="98">
                  <c:v>1888</c:v>
                </c:pt>
                <c:pt idx="99">
                  <c:v>1889</c:v>
                </c:pt>
                <c:pt idx="100">
                  <c:v>1890</c:v>
                </c:pt>
                <c:pt idx="101">
                  <c:v>1891</c:v>
                </c:pt>
                <c:pt idx="102">
                  <c:v>1892</c:v>
                </c:pt>
                <c:pt idx="103">
                  <c:v>1893</c:v>
                </c:pt>
                <c:pt idx="104">
                  <c:v>1894</c:v>
                </c:pt>
                <c:pt idx="105">
                  <c:v>1895</c:v>
                </c:pt>
                <c:pt idx="106">
                  <c:v>1896</c:v>
                </c:pt>
                <c:pt idx="107">
                  <c:v>1897</c:v>
                </c:pt>
                <c:pt idx="108">
                  <c:v>1898</c:v>
                </c:pt>
                <c:pt idx="109">
                  <c:v>1899</c:v>
                </c:pt>
                <c:pt idx="110">
                  <c:v>1900</c:v>
                </c:pt>
                <c:pt idx="111">
                  <c:v>1901</c:v>
                </c:pt>
                <c:pt idx="112">
                  <c:v>1902</c:v>
                </c:pt>
                <c:pt idx="113">
                  <c:v>1903</c:v>
                </c:pt>
                <c:pt idx="114">
                  <c:v>1904</c:v>
                </c:pt>
                <c:pt idx="115">
                  <c:v>1905</c:v>
                </c:pt>
                <c:pt idx="116">
                  <c:v>1906</c:v>
                </c:pt>
                <c:pt idx="117">
                  <c:v>1907</c:v>
                </c:pt>
                <c:pt idx="118">
                  <c:v>1908</c:v>
                </c:pt>
                <c:pt idx="119">
                  <c:v>1909</c:v>
                </c:pt>
                <c:pt idx="120">
                  <c:v>1910</c:v>
                </c:pt>
                <c:pt idx="121">
                  <c:v>1911</c:v>
                </c:pt>
                <c:pt idx="122">
                  <c:v>1912</c:v>
                </c:pt>
                <c:pt idx="123">
                  <c:v>1913</c:v>
                </c:pt>
                <c:pt idx="124">
                  <c:v>1914</c:v>
                </c:pt>
                <c:pt idx="125">
                  <c:v>1915</c:v>
                </c:pt>
                <c:pt idx="126">
                  <c:v>1916</c:v>
                </c:pt>
                <c:pt idx="127">
                  <c:v>1917</c:v>
                </c:pt>
                <c:pt idx="128">
                  <c:v>1918</c:v>
                </c:pt>
                <c:pt idx="129">
                  <c:v>1919</c:v>
                </c:pt>
                <c:pt idx="130">
                  <c:v>1920</c:v>
                </c:pt>
                <c:pt idx="131">
                  <c:v>1921</c:v>
                </c:pt>
                <c:pt idx="132">
                  <c:v>1922</c:v>
                </c:pt>
                <c:pt idx="133">
                  <c:v>1923</c:v>
                </c:pt>
                <c:pt idx="134">
                  <c:v>1924</c:v>
                </c:pt>
                <c:pt idx="135">
                  <c:v>1925</c:v>
                </c:pt>
                <c:pt idx="136">
                  <c:v>1926</c:v>
                </c:pt>
                <c:pt idx="137">
                  <c:v>1927</c:v>
                </c:pt>
                <c:pt idx="138">
                  <c:v>1928</c:v>
                </c:pt>
                <c:pt idx="139">
                  <c:v>1929</c:v>
                </c:pt>
                <c:pt idx="140">
                  <c:v>1930</c:v>
                </c:pt>
                <c:pt idx="141">
                  <c:v>1931</c:v>
                </c:pt>
                <c:pt idx="142">
                  <c:v>1932</c:v>
                </c:pt>
                <c:pt idx="143">
                  <c:v>1933</c:v>
                </c:pt>
                <c:pt idx="144">
                  <c:v>1934</c:v>
                </c:pt>
                <c:pt idx="145">
                  <c:v>1935</c:v>
                </c:pt>
                <c:pt idx="146">
                  <c:v>1936</c:v>
                </c:pt>
                <c:pt idx="147">
                  <c:v>1937</c:v>
                </c:pt>
                <c:pt idx="148">
                  <c:v>1938</c:v>
                </c:pt>
                <c:pt idx="149">
                  <c:v>1939</c:v>
                </c:pt>
                <c:pt idx="150">
                  <c:v>1940</c:v>
                </c:pt>
                <c:pt idx="151">
                  <c:v>1941</c:v>
                </c:pt>
                <c:pt idx="152">
                  <c:v>1942</c:v>
                </c:pt>
                <c:pt idx="153">
                  <c:v>1943</c:v>
                </c:pt>
                <c:pt idx="154">
                  <c:v>1944</c:v>
                </c:pt>
                <c:pt idx="155">
                  <c:v>1945</c:v>
                </c:pt>
                <c:pt idx="156">
                  <c:v>1946</c:v>
                </c:pt>
                <c:pt idx="157">
                  <c:v>1947</c:v>
                </c:pt>
                <c:pt idx="158">
                  <c:v>1948</c:v>
                </c:pt>
                <c:pt idx="159">
                  <c:v>1949</c:v>
                </c:pt>
                <c:pt idx="160">
                  <c:v>1950</c:v>
                </c:pt>
                <c:pt idx="161">
                  <c:v>1951</c:v>
                </c:pt>
                <c:pt idx="162">
                  <c:v>1952</c:v>
                </c:pt>
                <c:pt idx="163">
                  <c:v>1953</c:v>
                </c:pt>
                <c:pt idx="164">
                  <c:v>1954</c:v>
                </c:pt>
                <c:pt idx="165">
                  <c:v>1955</c:v>
                </c:pt>
                <c:pt idx="166">
                  <c:v>1956</c:v>
                </c:pt>
                <c:pt idx="167">
                  <c:v>1957</c:v>
                </c:pt>
                <c:pt idx="168">
                  <c:v>1958</c:v>
                </c:pt>
                <c:pt idx="169">
                  <c:v>1959</c:v>
                </c:pt>
                <c:pt idx="170">
                  <c:v>1960</c:v>
                </c:pt>
                <c:pt idx="171">
                  <c:v>1961</c:v>
                </c:pt>
                <c:pt idx="172">
                  <c:v>1962</c:v>
                </c:pt>
                <c:pt idx="173">
                  <c:v>1963</c:v>
                </c:pt>
                <c:pt idx="174">
                  <c:v>1964</c:v>
                </c:pt>
                <c:pt idx="175">
                  <c:v>1965</c:v>
                </c:pt>
                <c:pt idx="176">
                  <c:v>1966</c:v>
                </c:pt>
                <c:pt idx="177">
                  <c:v>1967</c:v>
                </c:pt>
                <c:pt idx="178">
                  <c:v>1968</c:v>
                </c:pt>
                <c:pt idx="179">
                  <c:v>1969</c:v>
                </c:pt>
                <c:pt idx="180">
                  <c:v>1970</c:v>
                </c:pt>
                <c:pt idx="181">
                  <c:v>1971</c:v>
                </c:pt>
                <c:pt idx="182">
                  <c:v>1972</c:v>
                </c:pt>
                <c:pt idx="183">
                  <c:v>1973</c:v>
                </c:pt>
                <c:pt idx="184">
                  <c:v>1974</c:v>
                </c:pt>
                <c:pt idx="185">
                  <c:v>1975</c:v>
                </c:pt>
                <c:pt idx="186">
                  <c:v>1976</c:v>
                </c:pt>
                <c:pt idx="187">
                  <c:v>1977</c:v>
                </c:pt>
                <c:pt idx="188">
                  <c:v>1978</c:v>
                </c:pt>
                <c:pt idx="189">
                  <c:v>1979</c:v>
                </c:pt>
                <c:pt idx="190">
                  <c:v>1980</c:v>
                </c:pt>
                <c:pt idx="191">
                  <c:v>1981</c:v>
                </c:pt>
                <c:pt idx="192">
                  <c:v>1982</c:v>
                </c:pt>
                <c:pt idx="193">
                  <c:v>1983</c:v>
                </c:pt>
                <c:pt idx="194">
                  <c:v>1984</c:v>
                </c:pt>
                <c:pt idx="195">
                  <c:v>1985</c:v>
                </c:pt>
                <c:pt idx="196">
                  <c:v>1986</c:v>
                </c:pt>
                <c:pt idx="197">
                  <c:v>1987</c:v>
                </c:pt>
                <c:pt idx="198">
                  <c:v>1988</c:v>
                </c:pt>
                <c:pt idx="199">
                  <c:v>1989</c:v>
                </c:pt>
                <c:pt idx="200">
                  <c:v>1990</c:v>
                </c:pt>
                <c:pt idx="201">
                  <c:v>1991</c:v>
                </c:pt>
                <c:pt idx="202">
                  <c:v>1992</c:v>
                </c:pt>
                <c:pt idx="203">
                  <c:v>1993</c:v>
                </c:pt>
                <c:pt idx="204">
                  <c:v>1994</c:v>
                </c:pt>
                <c:pt idx="205">
                  <c:v>1995</c:v>
                </c:pt>
                <c:pt idx="206">
                  <c:v>1996</c:v>
                </c:pt>
                <c:pt idx="207">
                  <c:v>1997</c:v>
                </c:pt>
                <c:pt idx="208">
                  <c:v>1998</c:v>
                </c:pt>
                <c:pt idx="209">
                  <c:v>1999</c:v>
                </c:pt>
                <c:pt idx="210">
                  <c:v>2000</c:v>
                </c:pt>
                <c:pt idx="211">
                  <c:v>2001</c:v>
                </c:pt>
                <c:pt idx="212">
                  <c:v>2002</c:v>
                </c:pt>
                <c:pt idx="213">
                  <c:v>2003</c:v>
                </c:pt>
                <c:pt idx="214">
                  <c:v>2004</c:v>
                </c:pt>
                <c:pt idx="215">
                  <c:v>2005</c:v>
                </c:pt>
                <c:pt idx="216">
                  <c:v>2006</c:v>
                </c:pt>
                <c:pt idx="217">
                  <c:v>2007</c:v>
                </c:pt>
                <c:pt idx="218">
                  <c:v>2008</c:v>
                </c:pt>
                <c:pt idx="219">
                  <c:v>2009</c:v>
                </c:pt>
                <c:pt idx="220">
                  <c:v>2010</c:v>
                </c:pt>
                <c:pt idx="221">
                  <c:v>2011</c:v>
                </c:pt>
                <c:pt idx="222">
                  <c:v>2012</c:v>
                </c:pt>
                <c:pt idx="223">
                  <c:v>2013</c:v>
                </c:pt>
                <c:pt idx="224">
                  <c:v>2014</c:v>
                </c:pt>
                <c:pt idx="225">
                  <c:v>2015</c:v>
                </c:pt>
                <c:pt idx="226">
                  <c:v>2016</c:v>
                </c:pt>
                <c:pt idx="227">
                  <c:v>2017</c:v>
                </c:pt>
                <c:pt idx="228">
                  <c:v>2018</c:v>
                </c:pt>
                <c:pt idx="229">
                  <c:v>2019</c:v>
                </c:pt>
                <c:pt idx="230">
                  <c:v>2020</c:v>
                </c:pt>
                <c:pt idx="231">
                  <c:v>2021</c:v>
                </c:pt>
                <c:pt idx="232">
                  <c:v>2022</c:v>
                </c:pt>
                <c:pt idx="233">
                  <c:v>2023</c:v>
                </c:pt>
                <c:pt idx="234">
                  <c:v>2024</c:v>
                </c:pt>
                <c:pt idx="235">
                  <c:v>2025</c:v>
                </c:pt>
              </c:numCache>
            </c:numRef>
          </c:cat>
          <c:val>
            <c:numRef>
              <c:f>'F1 Historical'!$F$2:$F$240</c:f>
              <c:numCache>
                <c:formatCode>General</c:formatCode>
                <c:ptCount val="239"/>
                <c:pt idx="0">
                  <c:v>16.804955336938377</c:v>
                </c:pt>
                <c:pt idx="1">
                  <c:v>16.804955336938377</c:v>
                </c:pt>
                <c:pt idx="2">
                  <c:v>16.804955336938377</c:v>
                </c:pt>
                <c:pt idx="3">
                  <c:v>16.804955336938377</c:v>
                </c:pt>
                <c:pt idx="4">
                  <c:v>16.804955336938377</c:v>
                </c:pt>
                <c:pt idx="5">
                  <c:v>16.804955336938377</c:v>
                </c:pt>
                <c:pt idx="6">
                  <c:v>16.804955336938377</c:v>
                </c:pt>
                <c:pt idx="7">
                  <c:v>16.804955336938377</c:v>
                </c:pt>
                <c:pt idx="8">
                  <c:v>16.804955336938377</c:v>
                </c:pt>
                <c:pt idx="9">
                  <c:v>16.804955336938377</c:v>
                </c:pt>
                <c:pt idx="10">
                  <c:v>16.804955336938377</c:v>
                </c:pt>
                <c:pt idx="11">
                  <c:v>16.804955336938377</c:v>
                </c:pt>
                <c:pt idx="12">
                  <c:v>16.804955336938377</c:v>
                </c:pt>
                <c:pt idx="13">
                  <c:v>16.804955336938377</c:v>
                </c:pt>
                <c:pt idx="14">
                  <c:v>16.804955336938377</c:v>
                </c:pt>
                <c:pt idx="15">
                  <c:v>16.804955336938377</c:v>
                </c:pt>
                <c:pt idx="16">
                  <c:v>16.804955336938377</c:v>
                </c:pt>
                <c:pt idx="17">
                  <c:v>16.804955336938377</c:v>
                </c:pt>
                <c:pt idx="18">
                  <c:v>16.804955336938377</c:v>
                </c:pt>
                <c:pt idx="19">
                  <c:v>16.804955336938377</c:v>
                </c:pt>
                <c:pt idx="20">
                  <c:v>16.804955336938377</c:v>
                </c:pt>
                <c:pt idx="21">
                  <c:v>16.804955336938377</c:v>
                </c:pt>
                <c:pt idx="22">
                  <c:v>16.804955336938377</c:v>
                </c:pt>
                <c:pt idx="23">
                  <c:v>16.804955336938377</c:v>
                </c:pt>
                <c:pt idx="24">
                  <c:v>16.804955336938377</c:v>
                </c:pt>
                <c:pt idx="25">
                  <c:v>16.804955336938377</c:v>
                </c:pt>
                <c:pt idx="26">
                  <c:v>16.804955336938377</c:v>
                </c:pt>
                <c:pt idx="27">
                  <c:v>16.804955336938377</c:v>
                </c:pt>
                <c:pt idx="28">
                  <c:v>16.804955336938377</c:v>
                </c:pt>
                <c:pt idx="29">
                  <c:v>16.804955336938377</c:v>
                </c:pt>
                <c:pt idx="30">
                  <c:v>16.804955336938377</c:v>
                </c:pt>
                <c:pt idx="31">
                  <c:v>16.804955336938377</c:v>
                </c:pt>
                <c:pt idx="32">
                  <c:v>16.804955336938377</c:v>
                </c:pt>
                <c:pt idx="33">
                  <c:v>16.804955336938377</c:v>
                </c:pt>
                <c:pt idx="34">
                  <c:v>16.804955336938377</c:v>
                </c:pt>
                <c:pt idx="35">
                  <c:v>16.804955336938377</c:v>
                </c:pt>
                <c:pt idx="36">
                  <c:v>16.804955336938377</c:v>
                </c:pt>
                <c:pt idx="37">
                  <c:v>16.804955336938377</c:v>
                </c:pt>
                <c:pt idx="38">
                  <c:v>16.804955336938377</c:v>
                </c:pt>
                <c:pt idx="39">
                  <c:v>16.804955336938377</c:v>
                </c:pt>
                <c:pt idx="40">
                  <c:v>16.804955336938377</c:v>
                </c:pt>
                <c:pt idx="41">
                  <c:v>16.804955336938377</c:v>
                </c:pt>
                <c:pt idx="42">
                  <c:v>16.804955336938377</c:v>
                </c:pt>
                <c:pt idx="43">
                  <c:v>16.804955336938377</c:v>
                </c:pt>
                <c:pt idx="44">
                  <c:v>16.804955336938377</c:v>
                </c:pt>
                <c:pt idx="45">
                  <c:v>16.804955336938377</c:v>
                </c:pt>
                <c:pt idx="46">
                  <c:v>16.804955336938377</c:v>
                </c:pt>
                <c:pt idx="47">
                  <c:v>16.804955336938377</c:v>
                </c:pt>
                <c:pt idx="48">
                  <c:v>16.804955336938377</c:v>
                </c:pt>
                <c:pt idx="49">
                  <c:v>16.804955336938377</c:v>
                </c:pt>
                <c:pt idx="50">
                  <c:v>16.804955336938377</c:v>
                </c:pt>
                <c:pt idx="51">
                  <c:v>16.804955336938377</c:v>
                </c:pt>
                <c:pt idx="52">
                  <c:v>16.804955336938377</c:v>
                </c:pt>
                <c:pt idx="53">
                  <c:v>16.804955336938377</c:v>
                </c:pt>
                <c:pt idx="54">
                  <c:v>16.804955336938377</c:v>
                </c:pt>
                <c:pt idx="55">
                  <c:v>16.804955336938377</c:v>
                </c:pt>
                <c:pt idx="56">
                  <c:v>16.804955336938377</c:v>
                </c:pt>
                <c:pt idx="57">
                  <c:v>16.804955336938377</c:v>
                </c:pt>
                <c:pt idx="58">
                  <c:v>16.804955336938377</c:v>
                </c:pt>
                <c:pt idx="59">
                  <c:v>16.804955336938377</c:v>
                </c:pt>
                <c:pt idx="60">
                  <c:v>16.804955336938377</c:v>
                </c:pt>
                <c:pt idx="61">
                  <c:v>16.804955336938377</c:v>
                </c:pt>
                <c:pt idx="62">
                  <c:v>16.804955336938377</c:v>
                </c:pt>
                <c:pt idx="63">
                  <c:v>16.804955336938377</c:v>
                </c:pt>
                <c:pt idx="64">
                  <c:v>16.804955336938377</c:v>
                </c:pt>
                <c:pt idx="65">
                  <c:v>16.804955336938377</c:v>
                </c:pt>
                <c:pt idx="66">
                  <c:v>16.804955336938377</c:v>
                </c:pt>
                <c:pt idx="67">
                  <c:v>16.804955336938377</c:v>
                </c:pt>
                <c:pt idx="68">
                  <c:v>16.804955336938377</c:v>
                </c:pt>
                <c:pt idx="69">
                  <c:v>16.804955336938377</c:v>
                </c:pt>
                <c:pt idx="70">
                  <c:v>16.804955336938377</c:v>
                </c:pt>
                <c:pt idx="71">
                  <c:v>16.804955336938377</c:v>
                </c:pt>
                <c:pt idx="72">
                  <c:v>16.804955336938377</c:v>
                </c:pt>
                <c:pt idx="73">
                  <c:v>16.804955336938377</c:v>
                </c:pt>
                <c:pt idx="74">
                  <c:v>16.804955336938377</c:v>
                </c:pt>
                <c:pt idx="75">
                  <c:v>16.804955336938377</c:v>
                </c:pt>
                <c:pt idx="76">
                  <c:v>16.804955336938377</c:v>
                </c:pt>
                <c:pt idx="77">
                  <c:v>16.804955336938377</c:v>
                </c:pt>
                <c:pt idx="78">
                  <c:v>16.804955336938377</c:v>
                </c:pt>
                <c:pt idx="79">
                  <c:v>16.804955336938377</c:v>
                </c:pt>
                <c:pt idx="80">
                  <c:v>16.804955336938377</c:v>
                </c:pt>
                <c:pt idx="81">
                  <c:v>16.804955336938377</c:v>
                </c:pt>
                <c:pt idx="82">
                  <c:v>16.804955336938377</c:v>
                </c:pt>
                <c:pt idx="83">
                  <c:v>16.804955336938377</c:v>
                </c:pt>
                <c:pt idx="84">
                  <c:v>16.804955336938377</c:v>
                </c:pt>
                <c:pt idx="85">
                  <c:v>16.804955336938377</c:v>
                </c:pt>
                <c:pt idx="86">
                  <c:v>16.804955336938377</c:v>
                </c:pt>
                <c:pt idx="87">
                  <c:v>16.804955336938377</c:v>
                </c:pt>
                <c:pt idx="88">
                  <c:v>16.804955336938377</c:v>
                </c:pt>
                <c:pt idx="89">
                  <c:v>16.804955336938377</c:v>
                </c:pt>
                <c:pt idx="90">
                  <c:v>16.804955336938377</c:v>
                </c:pt>
                <c:pt idx="91">
                  <c:v>16.804955336938377</c:v>
                </c:pt>
                <c:pt idx="92">
                  <c:v>16.804955336938377</c:v>
                </c:pt>
                <c:pt idx="93">
                  <c:v>16.804955336938377</c:v>
                </c:pt>
                <c:pt idx="94">
                  <c:v>16.804955336938377</c:v>
                </c:pt>
                <c:pt idx="95">
                  <c:v>16.804955336938377</c:v>
                </c:pt>
                <c:pt idx="96">
                  <c:v>16.804955336938377</c:v>
                </c:pt>
                <c:pt idx="97">
                  <c:v>16.804955336938377</c:v>
                </c:pt>
                <c:pt idx="98">
                  <c:v>16.804955336938377</c:v>
                </c:pt>
                <c:pt idx="99">
                  <c:v>16.804955336938377</c:v>
                </c:pt>
                <c:pt idx="100">
                  <c:v>16.804955336938377</c:v>
                </c:pt>
                <c:pt idx="101">
                  <c:v>16.804955336938377</c:v>
                </c:pt>
                <c:pt idx="102">
                  <c:v>16.804955336938377</c:v>
                </c:pt>
                <c:pt idx="103">
                  <c:v>16.804955336938377</c:v>
                </c:pt>
                <c:pt idx="104">
                  <c:v>16.804955336938377</c:v>
                </c:pt>
                <c:pt idx="105">
                  <c:v>16.804955336938377</c:v>
                </c:pt>
                <c:pt idx="106">
                  <c:v>16.804955336938377</c:v>
                </c:pt>
                <c:pt idx="107">
                  <c:v>16.804955336938377</c:v>
                </c:pt>
                <c:pt idx="108">
                  <c:v>16.804955336938377</c:v>
                </c:pt>
                <c:pt idx="109">
                  <c:v>16.804955336938377</c:v>
                </c:pt>
                <c:pt idx="110">
                  <c:v>16.804955336938377</c:v>
                </c:pt>
                <c:pt idx="111">
                  <c:v>16.804955336938377</c:v>
                </c:pt>
                <c:pt idx="112">
                  <c:v>16.804955336938377</c:v>
                </c:pt>
                <c:pt idx="113">
                  <c:v>16.804955336938377</c:v>
                </c:pt>
                <c:pt idx="114">
                  <c:v>16.804955336938377</c:v>
                </c:pt>
                <c:pt idx="115">
                  <c:v>16.804955336938377</c:v>
                </c:pt>
                <c:pt idx="116">
                  <c:v>16.804955336938377</c:v>
                </c:pt>
                <c:pt idx="117">
                  <c:v>16.804955336938377</c:v>
                </c:pt>
                <c:pt idx="118">
                  <c:v>16.804955336938377</c:v>
                </c:pt>
                <c:pt idx="119">
                  <c:v>16.804955336938377</c:v>
                </c:pt>
                <c:pt idx="120">
                  <c:v>16.804955336938377</c:v>
                </c:pt>
                <c:pt idx="121">
                  <c:v>16.804955336938377</c:v>
                </c:pt>
                <c:pt idx="122">
                  <c:v>16.804955336938377</c:v>
                </c:pt>
                <c:pt idx="123">
                  <c:v>16.804955336938377</c:v>
                </c:pt>
                <c:pt idx="124">
                  <c:v>16.804955336938377</c:v>
                </c:pt>
                <c:pt idx="125">
                  <c:v>16.804955336938377</c:v>
                </c:pt>
                <c:pt idx="126">
                  <c:v>16.804955336938377</c:v>
                </c:pt>
                <c:pt idx="127">
                  <c:v>16.804955336938377</c:v>
                </c:pt>
                <c:pt idx="128">
                  <c:v>16.804955336938377</c:v>
                </c:pt>
                <c:pt idx="129">
                  <c:v>16.804955336938377</c:v>
                </c:pt>
                <c:pt idx="130">
                  <c:v>16.804955336938377</c:v>
                </c:pt>
                <c:pt idx="131">
                  <c:v>16.804955336938377</c:v>
                </c:pt>
                <c:pt idx="132">
                  <c:v>16.804955336938377</c:v>
                </c:pt>
                <c:pt idx="133">
                  <c:v>16.804955336938377</c:v>
                </c:pt>
                <c:pt idx="134">
                  <c:v>16.804955336938377</c:v>
                </c:pt>
                <c:pt idx="135">
                  <c:v>16.804955336938377</c:v>
                </c:pt>
                <c:pt idx="136">
                  <c:v>16.804955336938377</c:v>
                </c:pt>
                <c:pt idx="137">
                  <c:v>16.804955336938377</c:v>
                </c:pt>
                <c:pt idx="138">
                  <c:v>16.804955336938377</c:v>
                </c:pt>
                <c:pt idx="139">
                  <c:v>16.804955336938377</c:v>
                </c:pt>
                <c:pt idx="140">
                  <c:v>16.804955336938377</c:v>
                </c:pt>
                <c:pt idx="141">
                  <c:v>16.804955336938377</c:v>
                </c:pt>
                <c:pt idx="142">
                  <c:v>16.804955336938377</c:v>
                </c:pt>
                <c:pt idx="143">
                  <c:v>16.804955336938377</c:v>
                </c:pt>
                <c:pt idx="144">
                  <c:v>16.804955336938377</c:v>
                </c:pt>
                <c:pt idx="145">
                  <c:v>16.804955336938377</c:v>
                </c:pt>
                <c:pt idx="146">
                  <c:v>16.804955336938377</c:v>
                </c:pt>
                <c:pt idx="147">
                  <c:v>16.804955336938377</c:v>
                </c:pt>
                <c:pt idx="148">
                  <c:v>16.804955336938377</c:v>
                </c:pt>
                <c:pt idx="149">
                  <c:v>16.804955336938377</c:v>
                </c:pt>
                <c:pt idx="150">
                  <c:v>16.804955336938377</c:v>
                </c:pt>
                <c:pt idx="151">
                  <c:v>16.804955336938377</c:v>
                </c:pt>
                <c:pt idx="152">
                  <c:v>16.804955336938377</c:v>
                </c:pt>
                <c:pt idx="153">
                  <c:v>16.804955336938377</c:v>
                </c:pt>
                <c:pt idx="154">
                  <c:v>16.804955336938377</c:v>
                </c:pt>
                <c:pt idx="155">
                  <c:v>16.804955336938377</c:v>
                </c:pt>
                <c:pt idx="156">
                  <c:v>16.804955336938377</c:v>
                </c:pt>
                <c:pt idx="157">
                  <c:v>16.804955336938377</c:v>
                </c:pt>
                <c:pt idx="158">
                  <c:v>16.804955336938377</c:v>
                </c:pt>
                <c:pt idx="159">
                  <c:v>16.804955336938377</c:v>
                </c:pt>
                <c:pt idx="160">
                  <c:v>16.804955336938377</c:v>
                </c:pt>
                <c:pt idx="161">
                  <c:v>16.804955336938377</c:v>
                </c:pt>
                <c:pt idx="162">
                  <c:v>16.804955336938377</c:v>
                </c:pt>
                <c:pt idx="163">
                  <c:v>16.804955336938377</c:v>
                </c:pt>
                <c:pt idx="164">
                  <c:v>16.804955336938377</c:v>
                </c:pt>
                <c:pt idx="165">
                  <c:v>16.804955336938377</c:v>
                </c:pt>
                <c:pt idx="166">
                  <c:v>16.804955336938377</c:v>
                </c:pt>
                <c:pt idx="167">
                  <c:v>16.804955336938377</c:v>
                </c:pt>
                <c:pt idx="168">
                  <c:v>16.804955336938377</c:v>
                </c:pt>
                <c:pt idx="169">
                  <c:v>16.804955336938377</c:v>
                </c:pt>
                <c:pt idx="170">
                  <c:v>16.804955336938377</c:v>
                </c:pt>
                <c:pt idx="171">
                  <c:v>16.804955336938377</c:v>
                </c:pt>
                <c:pt idx="172">
                  <c:v>16.804955336938377</c:v>
                </c:pt>
                <c:pt idx="173">
                  <c:v>16.804955336938377</c:v>
                </c:pt>
                <c:pt idx="174">
                  <c:v>16.804955336938377</c:v>
                </c:pt>
                <c:pt idx="175">
                  <c:v>16.804955336938377</c:v>
                </c:pt>
                <c:pt idx="176">
                  <c:v>16.804955336938377</c:v>
                </c:pt>
                <c:pt idx="177">
                  <c:v>16.804955336938377</c:v>
                </c:pt>
                <c:pt idx="178">
                  <c:v>16.804955336938377</c:v>
                </c:pt>
                <c:pt idx="179">
                  <c:v>16.804955336938377</c:v>
                </c:pt>
                <c:pt idx="180">
                  <c:v>16.804955336938377</c:v>
                </c:pt>
                <c:pt idx="181">
                  <c:v>16.804955336938377</c:v>
                </c:pt>
                <c:pt idx="182">
                  <c:v>16.804955336938377</c:v>
                </c:pt>
                <c:pt idx="183">
                  <c:v>16.804955336938377</c:v>
                </c:pt>
                <c:pt idx="184">
                  <c:v>16.804955336938377</c:v>
                </c:pt>
                <c:pt idx="185">
                  <c:v>16.804955336938377</c:v>
                </c:pt>
                <c:pt idx="186">
                  <c:v>16.804955336938377</c:v>
                </c:pt>
                <c:pt idx="187">
                  <c:v>16.804955336938377</c:v>
                </c:pt>
                <c:pt idx="188">
                  <c:v>16.804955336938377</c:v>
                </c:pt>
                <c:pt idx="189">
                  <c:v>16.804955336938377</c:v>
                </c:pt>
                <c:pt idx="190">
                  <c:v>16.804955336938377</c:v>
                </c:pt>
                <c:pt idx="191">
                  <c:v>16.804955336938377</c:v>
                </c:pt>
                <c:pt idx="192">
                  <c:v>16.804955336938377</c:v>
                </c:pt>
                <c:pt idx="193">
                  <c:v>16.804955336938377</c:v>
                </c:pt>
                <c:pt idx="194">
                  <c:v>16.804955336938377</c:v>
                </c:pt>
                <c:pt idx="195">
                  <c:v>16.804955336938377</c:v>
                </c:pt>
                <c:pt idx="196">
                  <c:v>16.804955336938377</c:v>
                </c:pt>
                <c:pt idx="197">
                  <c:v>16.804955336938377</c:v>
                </c:pt>
                <c:pt idx="198">
                  <c:v>16.804955336938377</c:v>
                </c:pt>
                <c:pt idx="199">
                  <c:v>16.804955336938377</c:v>
                </c:pt>
                <c:pt idx="200">
                  <c:v>16.804955336938377</c:v>
                </c:pt>
                <c:pt idx="201">
                  <c:v>16.804955336938377</c:v>
                </c:pt>
                <c:pt idx="202">
                  <c:v>16.804955336938377</c:v>
                </c:pt>
                <c:pt idx="203">
                  <c:v>16.804955336938377</c:v>
                </c:pt>
                <c:pt idx="204">
                  <c:v>16.804955336938377</c:v>
                </c:pt>
                <c:pt idx="205">
                  <c:v>16.804955336938377</c:v>
                </c:pt>
                <c:pt idx="206">
                  <c:v>16.804955336938377</c:v>
                </c:pt>
                <c:pt idx="207">
                  <c:v>16.804955336938377</c:v>
                </c:pt>
                <c:pt idx="208">
                  <c:v>16.804955336938377</c:v>
                </c:pt>
                <c:pt idx="209">
                  <c:v>16.804955336938377</c:v>
                </c:pt>
                <c:pt idx="210">
                  <c:v>16.804955336938377</c:v>
                </c:pt>
                <c:pt idx="211">
                  <c:v>16.804955336938377</c:v>
                </c:pt>
                <c:pt idx="212">
                  <c:v>16.804955336938377</c:v>
                </c:pt>
                <c:pt idx="213">
                  <c:v>16.804955336938377</c:v>
                </c:pt>
                <c:pt idx="214">
                  <c:v>16.804955336938377</c:v>
                </c:pt>
                <c:pt idx="215">
                  <c:v>16.804955336938377</c:v>
                </c:pt>
                <c:pt idx="216">
                  <c:v>16.804955336938377</c:v>
                </c:pt>
                <c:pt idx="217">
                  <c:v>16.804955336938377</c:v>
                </c:pt>
                <c:pt idx="218">
                  <c:v>16.804955336938377</c:v>
                </c:pt>
                <c:pt idx="219">
                  <c:v>16.804955336938377</c:v>
                </c:pt>
                <c:pt idx="220">
                  <c:v>16.804955336938377</c:v>
                </c:pt>
                <c:pt idx="221">
                  <c:v>16.804955336938377</c:v>
                </c:pt>
                <c:pt idx="222">
                  <c:v>16.804955336938377</c:v>
                </c:pt>
                <c:pt idx="223">
                  <c:v>16.804955336938377</c:v>
                </c:pt>
                <c:pt idx="224">
                  <c:v>16.804955336938377</c:v>
                </c:pt>
                <c:pt idx="225">
                  <c:v>16.804955336938377</c:v>
                </c:pt>
                <c:pt idx="226">
                  <c:v>16.804955336938377</c:v>
                </c:pt>
                <c:pt idx="227">
                  <c:v>16.804955336938377</c:v>
                </c:pt>
                <c:pt idx="228">
                  <c:v>16.804955336938377</c:v>
                </c:pt>
                <c:pt idx="229">
                  <c:v>16.804955336938377</c:v>
                </c:pt>
                <c:pt idx="230">
                  <c:v>16.804955336938377</c:v>
                </c:pt>
                <c:pt idx="231">
                  <c:v>16.804955336938377</c:v>
                </c:pt>
                <c:pt idx="232">
                  <c:v>16.804955336938377</c:v>
                </c:pt>
                <c:pt idx="233">
                  <c:v>16.804955336938377</c:v>
                </c:pt>
                <c:pt idx="234">
                  <c:v>16.804955336938377</c:v>
                </c:pt>
                <c:pt idx="235">
                  <c:v>16.804955336938377</c:v>
                </c:pt>
                <c:pt idx="237">
                  <c:v>14.386955336938378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A1-4566-87D2-0C9C6AE42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792111"/>
        <c:axId val="194790191"/>
      </c:lineChart>
      <c:catAx>
        <c:axId val="194792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4790191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9479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4792111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 b="1"/>
              <a:t>Average Effective Tariff Rate Since January 1,</a:t>
            </a:r>
            <a:r>
              <a:rPr lang="en-US" b="1" baseline="0"/>
              <a:t> 2025</a:t>
            </a:r>
          </a:p>
          <a:p>
            <a:pPr algn="l">
              <a:defRPr b="1"/>
            </a:pPr>
            <a:r>
              <a:rPr lang="en-US" sz="1200" b="0" baseline="0">
                <a:solidFill>
                  <a:schemeClr val="bg1">
                    <a:lumMod val="50000"/>
                  </a:schemeClr>
                </a:solidFill>
              </a:rPr>
              <a:t>Policy as of November 17</a:t>
            </a:r>
          </a:p>
          <a:p>
            <a:pPr algn="l">
              <a:defRPr b="1"/>
            </a:pPr>
            <a:r>
              <a:rPr lang="en-US" sz="1200" b="0" baseline="0">
                <a:solidFill>
                  <a:schemeClr val="bg1">
                    <a:lumMod val="50000"/>
                  </a:schemeClr>
                </a:solidFill>
              </a:rPr>
              <a:t>Pre-substitution</a:t>
            </a:r>
          </a:p>
          <a:p>
            <a:pPr algn="l">
              <a:defRPr b="1"/>
            </a:pPr>
            <a:r>
              <a:rPr lang="en-US" sz="1200" b="0" baseline="0">
                <a:solidFill>
                  <a:schemeClr val="bg1">
                    <a:lumMod val="50000"/>
                  </a:schemeClr>
                </a:solidFill>
              </a:rPr>
              <a:t>Percent of goods imports</a:t>
            </a:r>
            <a:endParaRPr lang="en-US" sz="1200" b="0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5.8213877111512602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tx1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1794871794872E-2"/>
          <c:y val="0.21246067318508263"/>
          <c:w val="0.85900632613231043"/>
          <c:h val="0.59633360740403618"/>
        </c:manualLayout>
      </c:layout>
      <c:lineChart>
        <c:grouping val="standard"/>
        <c:varyColors val="0"/>
        <c:ser>
          <c:idx val="0"/>
          <c:order val="0"/>
          <c:tx>
            <c:strRef>
              <c:f>'F2 Daily'!$C$1</c:f>
              <c:strCache>
                <c:ptCount val="1"/>
                <c:pt idx="0">
                  <c:v>Average Effective Tariff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'F2 Daily'!$B$2:$B$334</c:f>
              <c:numCache>
                <c:formatCode>m/d/yyyy</c:formatCode>
                <c:ptCount val="333"/>
                <c:pt idx="0">
                  <c:v>45659</c:v>
                </c:pt>
                <c:pt idx="1">
                  <c:v>45660</c:v>
                </c:pt>
                <c:pt idx="2">
                  <c:v>45661</c:v>
                </c:pt>
                <c:pt idx="3">
                  <c:v>45662</c:v>
                </c:pt>
                <c:pt idx="4">
                  <c:v>45663</c:v>
                </c:pt>
                <c:pt idx="5">
                  <c:v>45664</c:v>
                </c:pt>
                <c:pt idx="6">
                  <c:v>45665</c:v>
                </c:pt>
                <c:pt idx="7">
                  <c:v>45666</c:v>
                </c:pt>
                <c:pt idx="8">
                  <c:v>45667</c:v>
                </c:pt>
                <c:pt idx="9">
                  <c:v>45668</c:v>
                </c:pt>
                <c:pt idx="10">
                  <c:v>45669</c:v>
                </c:pt>
                <c:pt idx="11">
                  <c:v>45670</c:v>
                </c:pt>
                <c:pt idx="12">
                  <c:v>45671</c:v>
                </c:pt>
                <c:pt idx="13">
                  <c:v>45672</c:v>
                </c:pt>
                <c:pt idx="14">
                  <c:v>45673</c:v>
                </c:pt>
                <c:pt idx="15">
                  <c:v>45674</c:v>
                </c:pt>
                <c:pt idx="16">
                  <c:v>45675</c:v>
                </c:pt>
                <c:pt idx="17">
                  <c:v>45676</c:v>
                </c:pt>
                <c:pt idx="18">
                  <c:v>45677</c:v>
                </c:pt>
                <c:pt idx="19">
                  <c:v>45678</c:v>
                </c:pt>
                <c:pt idx="20">
                  <c:v>45679</c:v>
                </c:pt>
                <c:pt idx="21">
                  <c:v>45680</c:v>
                </c:pt>
                <c:pt idx="22">
                  <c:v>45681</c:v>
                </c:pt>
                <c:pt idx="23">
                  <c:v>45682</c:v>
                </c:pt>
                <c:pt idx="24">
                  <c:v>45683</c:v>
                </c:pt>
                <c:pt idx="25">
                  <c:v>45684</c:v>
                </c:pt>
                <c:pt idx="26">
                  <c:v>45685</c:v>
                </c:pt>
                <c:pt idx="27">
                  <c:v>45686</c:v>
                </c:pt>
                <c:pt idx="28">
                  <c:v>45687</c:v>
                </c:pt>
                <c:pt idx="29">
                  <c:v>45688</c:v>
                </c:pt>
                <c:pt idx="30">
                  <c:v>45689</c:v>
                </c:pt>
                <c:pt idx="31">
                  <c:v>45690</c:v>
                </c:pt>
                <c:pt idx="32">
                  <c:v>45691</c:v>
                </c:pt>
                <c:pt idx="33">
                  <c:v>45692</c:v>
                </c:pt>
                <c:pt idx="34">
                  <c:v>45693</c:v>
                </c:pt>
                <c:pt idx="35">
                  <c:v>45694</c:v>
                </c:pt>
                <c:pt idx="36">
                  <c:v>45695</c:v>
                </c:pt>
                <c:pt idx="37">
                  <c:v>45696</c:v>
                </c:pt>
                <c:pt idx="38">
                  <c:v>45697</c:v>
                </c:pt>
                <c:pt idx="39">
                  <c:v>45698</c:v>
                </c:pt>
                <c:pt idx="40">
                  <c:v>45699</c:v>
                </c:pt>
                <c:pt idx="41">
                  <c:v>45700</c:v>
                </c:pt>
                <c:pt idx="42">
                  <c:v>45701</c:v>
                </c:pt>
                <c:pt idx="43">
                  <c:v>45702</c:v>
                </c:pt>
                <c:pt idx="44">
                  <c:v>45703</c:v>
                </c:pt>
                <c:pt idx="45">
                  <c:v>45704</c:v>
                </c:pt>
                <c:pt idx="46">
                  <c:v>45705</c:v>
                </c:pt>
                <c:pt idx="47">
                  <c:v>45706</c:v>
                </c:pt>
                <c:pt idx="48">
                  <c:v>45707</c:v>
                </c:pt>
                <c:pt idx="49">
                  <c:v>45708</c:v>
                </c:pt>
                <c:pt idx="50">
                  <c:v>45709</c:v>
                </c:pt>
                <c:pt idx="51">
                  <c:v>45710</c:v>
                </c:pt>
                <c:pt idx="52">
                  <c:v>45711</c:v>
                </c:pt>
                <c:pt idx="53">
                  <c:v>45712</c:v>
                </c:pt>
                <c:pt idx="54">
                  <c:v>45713</c:v>
                </c:pt>
                <c:pt idx="55">
                  <c:v>45714</c:v>
                </c:pt>
                <c:pt idx="56">
                  <c:v>45715</c:v>
                </c:pt>
                <c:pt idx="57">
                  <c:v>45716</c:v>
                </c:pt>
                <c:pt idx="58">
                  <c:v>45717</c:v>
                </c:pt>
                <c:pt idx="59">
                  <c:v>45718</c:v>
                </c:pt>
                <c:pt idx="60">
                  <c:v>45719</c:v>
                </c:pt>
                <c:pt idx="61">
                  <c:v>45720</c:v>
                </c:pt>
                <c:pt idx="62">
                  <c:v>45721</c:v>
                </c:pt>
                <c:pt idx="63">
                  <c:v>45722</c:v>
                </c:pt>
                <c:pt idx="64">
                  <c:v>45723</c:v>
                </c:pt>
                <c:pt idx="65">
                  <c:v>45724</c:v>
                </c:pt>
                <c:pt idx="66">
                  <c:v>45725</c:v>
                </c:pt>
                <c:pt idx="67">
                  <c:v>45726</c:v>
                </c:pt>
                <c:pt idx="68">
                  <c:v>45727</c:v>
                </c:pt>
                <c:pt idx="69">
                  <c:v>45728</c:v>
                </c:pt>
                <c:pt idx="70">
                  <c:v>45729</c:v>
                </c:pt>
                <c:pt idx="71">
                  <c:v>45730</c:v>
                </c:pt>
                <c:pt idx="72">
                  <c:v>45731</c:v>
                </c:pt>
                <c:pt idx="73">
                  <c:v>45732</c:v>
                </c:pt>
                <c:pt idx="74">
                  <c:v>45733</c:v>
                </c:pt>
                <c:pt idx="75">
                  <c:v>45734</c:v>
                </c:pt>
                <c:pt idx="76">
                  <c:v>45735</c:v>
                </c:pt>
                <c:pt idx="77">
                  <c:v>45736</c:v>
                </c:pt>
                <c:pt idx="78">
                  <c:v>45737</c:v>
                </c:pt>
                <c:pt idx="79">
                  <c:v>45738</c:v>
                </c:pt>
                <c:pt idx="80">
                  <c:v>45739</c:v>
                </c:pt>
                <c:pt idx="81">
                  <c:v>45740</c:v>
                </c:pt>
                <c:pt idx="82">
                  <c:v>45741</c:v>
                </c:pt>
                <c:pt idx="83">
                  <c:v>45742</c:v>
                </c:pt>
                <c:pt idx="84">
                  <c:v>45743</c:v>
                </c:pt>
                <c:pt idx="85">
                  <c:v>45744</c:v>
                </c:pt>
                <c:pt idx="86">
                  <c:v>45745</c:v>
                </c:pt>
                <c:pt idx="87">
                  <c:v>45746</c:v>
                </c:pt>
                <c:pt idx="88">
                  <c:v>45747</c:v>
                </c:pt>
                <c:pt idx="89">
                  <c:v>45748</c:v>
                </c:pt>
                <c:pt idx="90">
                  <c:v>45749</c:v>
                </c:pt>
                <c:pt idx="91">
                  <c:v>45750</c:v>
                </c:pt>
                <c:pt idx="92">
                  <c:v>45751</c:v>
                </c:pt>
                <c:pt idx="93">
                  <c:v>45752</c:v>
                </c:pt>
                <c:pt idx="94">
                  <c:v>45753</c:v>
                </c:pt>
                <c:pt idx="95">
                  <c:v>45754</c:v>
                </c:pt>
                <c:pt idx="96">
                  <c:v>45755</c:v>
                </c:pt>
                <c:pt idx="97">
                  <c:v>45756</c:v>
                </c:pt>
                <c:pt idx="98">
                  <c:v>45757</c:v>
                </c:pt>
                <c:pt idx="99">
                  <c:v>45758</c:v>
                </c:pt>
                <c:pt idx="100">
                  <c:v>45759</c:v>
                </c:pt>
                <c:pt idx="101">
                  <c:v>45760</c:v>
                </c:pt>
                <c:pt idx="102">
                  <c:v>45761</c:v>
                </c:pt>
                <c:pt idx="103">
                  <c:v>45762</c:v>
                </c:pt>
                <c:pt idx="104">
                  <c:v>45763</c:v>
                </c:pt>
                <c:pt idx="105">
                  <c:v>45764</c:v>
                </c:pt>
                <c:pt idx="106">
                  <c:v>45765</c:v>
                </c:pt>
                <c:pt idx="107">
                  <c:v>45766</c:v>
                </c:pt>
                <c:pt idx="108">
                  <c:v>45767</c:v>
                </c:pt>
                <c:pt idx="109">
                  <c:v>45768</c:v>
                </c:pt>
                <c:pt idx="110">
                  <c:v>45769</c:v>
                </c:pt>
                <c:pt idx="111">
                  <c:v>45770</c:v>
                </c:pt>
                <c:pt idx="112">
                  <c:v>45771</c:v>
                </c:pt>
                <c:pt idx="113">
                  <c:v>45772</c:v>
                </c:pt>
                <c:pt idx="114">
                  <c:v>45773</c:v>
                </c:pt>
                <c:pt idx="115">
                  <c:v>45774</c:v>
                </c:pt>
                <c:pt idx="116">
                  <c:v>45775</c:v>
                </c:pt>
                <c:pt idx="117">
                  <c:v>45776</c:v>
                </c:pt>
                <c:pt idx="118">
                  <c:v>45777</c:v>
                </c:pt>
                <c:pt idx="119">
                  <c:v>45778</c:v>
                </c:pt>
                <c:pt idx="120">
                  <c:v>45779</c:v>
                </c:pt>
                <c:pt idx="121">
                  <c:v>45780</c:v>
                </c:pt>
                <c:pt idx="122">
                  <c:v>45781</c:v>
                </c:pt>
                <c:pt idx="123">
                  <c:v>45782</c:v>
                </c:pt>
                <c:pt idx="124">
                  <c:v>45783</c:v>
                </c:pt>
                <c:pt idx="125">
                  <c:v>45784</c:v>
                </c:pt>
                <c:pt idx="126">
                  <c:v>45785</c:v>
                </c:pt>
                <c:pt idx="127">
                  <c:v>45786</c:v>
                </c:pt>
                <c:pt idx="128">
                  <c:v>45787</c:v>
                </c:pt>
                <c:pt idx="129">
                  <c:v>45788</c:v>
                </c:pt>
                <c:pt idx="130">
                  <c:v>45789</c:v>
                </c:pt>
                <c:pt idx="131">
                  <c:v>45790</c:v>
                </c:pt>
                <c:pt idx="132">
                  <c:v>45791</c:v>
                </c:pt>
                <c:pt idx="133">
                  <c:v>45792</c:v>
                </c:pt>
                <c:pt idx="134">
                  <c:v>45793</c:v>
                </c:pt>
                <c:pt idx="135">
                  <c:v>45794</c:v>
                </c:pt>
                <c:pt idx="136">
                  <c:v>45795</c:v>
                </c:pt>
                <c:pt idx="137">
                  <c:v>45796</c:v>
                </c:pt>
                <c:pt idx="138">
                  <c:v>45797</c:v>
                </c:pt>
                <c:pt idx="139">
                  <c:v>45798</c:v>
                </c:pt>
                <c:pt idx="140">
                  <c:v>45799</c:v>
                </c:pt>
                <c:pt idx="141">
                  <c:v>45800</c:v>
                </c:pt>
                <c:pt idx="142">
                  <c:v>45801</c:v>
                </c:pt>
                <c:pt idx="143">
                  <c:v>45802</c:v>
                </c:pt>
                <c:pt idx="144">
                  <c:v>45803</c:v>
                </c:pt>
                <c:pt idx="145">
                  <c:v>45804</c:v>
                </c:pt>
                <c:pt idx="146">
                  <c:v>45805</c:v>
                </c:pt>
                <c:pt idx="147">
                  <c:v>45806</c:v>
                </c:pt>
                <c:pt idx="148">
                  <c:v>45807</c:v>
                </c:pt>
                <c:pt idx="149">
                  <c:v>45808</c:v>
                </c:pt>
                <c:pt idx="150">
                  <c:v>45809</c:v>
                </c:pt>
                <c:pt idx="151">
                  <c:v>45810</c:v>
                </c:pt>
                <c:pt idx="152">
                  <c:v>45811</c:v>
                </c:pt>
                <c:pt idx="153">
                  <c:v>45812</c:v>
                </c:pt>
                <c:pt idx="154">
                  <c:v>45813</c:v>
                </c:pt>
                <c:pt idx="155">
                  <c:v>45814</c:v>
                </c:pt>
                <c:pt idx="156">
                  <c:v>45815</c:v>
                </c:pt>
                <c:pt idx="157">
                  <c:v>45816</c:v>
                </c:pt>
                <c:pt idx="158">
                  <c:v>45817</c:v>
                </c:pt>
                <c:pt idx="159">
                  <c:v>45818</c:v>
                </c:pt>
                <c:pt idx="160">
                  <c:v>45819</c:v>
                </c:pt>
                <c:pt idx="161">
                  <c:v>45820</c:v>
                </c:pt>
                <c:pt idx="162">
                  <c:v>45821</c:v>
                </c:pt>
                <c:pt idx="163">
                  <c:v>45822</c:v>
                </c:pt>
                <c:pt idx="164">
                  <c:v>45823</c:v>
                </c:pt>
                <c:pt idx="165">
                  <c:v>45824</c:v>
                </c:pt>
                <c:pt idx="166">
                  <c:v>45825</c:v>
                </c:pt>
                <c:pt idx="167">
                  <c:v>45826</c:v>
                </c:pt>
                <c:pt idx="168">
                  <c:v>45827</c:v>
                </c:pt>
                <c:pt idx="169">
                  <c:v>45828</c:v>
                </c:pt>
                <c:pt idx="170">
                  <c:v>45829</c:v>
                </c:pt>
                <c:pt idx="171">
                  <c:v>45830</c:v>
                </c:pt>
                <c:pt idx="172">
                  <c:v>45831</c:v>
                </c:pt>
                <c:pt idx="173">
                  <c:v>45832</c:v>
                </c:pt>
                <c:pt idx="174">
                  <c:v>45833</c:v>
                </c:pt>
                <c:pt idx="175">
                  <c:v>45834</c:v>
                </c:pt>
                <c:pt idx="176">
                  <c:v>45835</c:v>
                </c:pt>
                <c:pt idx="177">
                  <c:v>45836</c:v>
                </c:pt>
                <c:pt idx="178">
                  <c:v>45837</c:v>
                </c:pt>
                <c:pt idx="179">
                  <c:v>45838</c:v>
                </c:pt>
                <c:pt idx="180">
                  <c:v>45839</c:v>
                </c:pt>
                <c:pt idx="181">
                  <c:v>45840</c:v>
                </c:pt>
                <c:pt idx="182">
                  <c:v>45841</c:v>
                </c:pt>
                <c:pt idx="183">
                  <c:v>45842</c:v>
                </c:pt>
                <c:pt idx="184">
                  <c:v>45843</c:v>
                </c:pt>
                <c:pt idx="185">
                  <c:v>45844</c:v>
                </c:pt>
                <c:pt idx="186">
                  <c:v>45845</c:v>
                </c:pt>
                <c:pt idx="187">
                  <c:v>45846</c:v>
                </c:pt>
                <c:pt idx="188">
                  <c:v>45847</c:v>
                </c:pt>
                <c:pt idx="189">
                  <c:v>45848</c:v>
                </c:pt>
                <c:pt idx="190">
                  <c:v>45849</c:v>
                </c:pt>
                <c:pt idx="191">
                  <c:v>45850</c:v>
                </c:pt>
                <c:pt idx="192">
                  <c:v>45851</c:v>
                </c:pt>
                <c:pt idx="193">
                  <c:v>45852</c:v>
                </c:pt>
                <c:pt idx="194">
                  <c:v>45853</c:v>
                </c:pt>
                <c:pt idx="195">
                  <c:v>45854</c:v>
                </c:pt>
                <c:pt idx="196">
                  <c:v>45855</c:v>
                </c:pt>
                <c:pt idx="197">
                  <c:v>45856</c:v>
                </c:pt>
                <c:pt idx="198">
                  <c:v>45857</c:v>
                </c:pt>
                <c:pt idx="199">
                  <c:v>45858</c:v>
                </c:pt>
                <c:pt idx="200">
                  <c:v>45859</c:v>
                </c:pt>
                <c:pt idx="201">
                  <c:v>45860</c:v>
                </c:pt>
                <c:pt idx="202">
                  <c:v>45861</c:v>
                </c:pt>
                <c:pt idx="203">
                  <c:v>45862</c:v>
                </c:pt>
                <c:pt idx="204">
                  <c:v>45863</c:v>
                </c:pt>
                <c:pt idx="205">
                  <c:v>45864</c:v>
                </c:pt>
                <c:pt idx="206">
                  <c:v>45865</c:v>
                </c:pt>
                <c:pt idx="207">
                  <c:v>45866</c:v>
                </c:pt>
                <c:pt idx="208">
                  <c:v>45867</c:v>
                </c:pt>
                <c:pt idx="209">
                  <c:v>45868</c:v>
                </c:pt>
                <c:pt idx="210">
                  <c:v>45869</c:v>
                </c:pt>
                <c:pt idx="211">
                  <c:v>45870</c:v>
                </c:pt>
                <c:pt idx="212">
                  <c:v>45871</c:v>
                </c:pt>
                <c:pt idx="213">
                  <c:v>45872</c:v>
                </c:pt>
                <c:pt idx="214">
                  <c:v>45873</c:v>
                </c:pt>
                <c:pt idx="215">
                  <c:v>45874</c:v>
                </c:pt>
                <c:pt idx="216">
                  <c:v>45875</c:v>
                </c:pt>
                <c:pt idx="217">
                  <c:v>45876</c:v>
                </c:pt>
                <c:pt idx="218">
                  <c:v>45877</c:v>
                </c:pt>
                <c:pt idx="219">
                  <c:v>45878</c:v>
                </c:pt>
                <c:pt idx="220">
                  <c:v>45879</c:v>
                </c:pt>
                <c:pt idx="221">
                  <c:v>45880</c:v>
                </c:pt>
                <c:pt idx="222">
                  <c:v>45881</c:v>
                </c:pt>
                <c:pt idx="223">
                  <c:v>45882</c:v>
                </c:pt>
                <c:pt idx="224">
                  <c:v>45883</c:v>
                </c:pt>
                <c:pt idx="225">
                  <c:v>45884</c:v>
                </c:pt>
                <c:pt idx="226">
                  <c:v>45885</c:v>
                </c:pt>
                <c:pt idx="227">
                  <c:v>45886</c:v>
                </c:pt>
                <c:pt idx="228">
                  <c:v>45887</c:v>
                </c:pt>
                <c:pt idx="229">
                  <c:v>45888</c:v>
                </c:pt>
                <c:pt idx="230">
                  <c:v>45889</c:v>
                </c:pt>
                <c:pt idx="231">
                  <c:v>45890</c:v>
                </c:pt>
                <c:pt idx="232">
                  <c:v>45891</c:v>
                </c:pt>
                <c:pt idx="233">
                  <c:v>45892</c:v>
                </c:pt>
                <c:pt idx="234">
                  <c:v>45893</c:v>
                </c:pt>
                <c:pt idx="235">
                  <c:v>45894</c:v>
                </c:pt>
                <c:pt idx="236">
                  <c:v>45895</c:v>
                </c:pt>
                <c:pt idx="237">
                  <c:v>45896</c:v>
                </c:pt>
                <c:pt idx="238">
                  <c:v>45897</c:v>
                </c:pt>
                <c:pt idx="239">
                  <c:v>45898</c:v>
                </c:pt>
                <c:pt idx="240">
                  <c:v>45899</c:v>
                </c:pt>
                <c:pt idx="241">
                  <c:v>45900</c:v>
                </c:pt>
                <c:pt idx="242">
                  <c:v>45901</c:v>
                </c:pt>
                <c:pt idx="243">
                  <c:v>45902</c:v>
                </c:pt>
                <c:pt idx="244">
                  <c:v>45903</c:v>
                </c:pt>
                <c:pt idx="245">
                  <c:v>45904</c:v>
                </c:pt>
                <c:pt idx="246">
                  <c:v>45905</c:v>
                </c:pt>
                <c:pt idx="247">
                  <c:v>45906</c:v>
                </c:pt>
                <c:pt idx="248">
                  <c:v>45907</c:v>
                </c:pt>
                <c:pt idx="249">
                  <c:v>45908</c:v>
                </c:pt>
                <c:pt idx="250">
                  <c:v>45909</c:v>
                </c:pt>
                <c:pt idx="251">
                  <c:v>45910</c:v>
                </c:pt>
                <c:pt idx="252">
                  <c:v>45911</c:v>
                </c:pt>
                <c:pt idx="253">
                  <c:v>45912</c:v>
                </c:pt>
                <c:pt idx="254">
                  <c:v>45913</c:v>
                </c:pt>
                <c:pt idx="255">
                  <c:v>45914</c:v>
                </c:pt>
                <c:pt idx="256">
                  <c:v>45915</c:v>
                </c:pt>
                <c:pt idx="257">
                  <c:v>45916</c:v>
                </c:pt>
                <c:pt idx="258">
                  <c:v>45917</c:v>
                </c:pt>
                <c:pt idx="259">
                  <c:v>45918</c:v>
                </c:pt>
                <c:pt idx="260">
                  <c:v>45919</c:v>
                </c:pt>
                <c:pt idx="261">
                  <c:v>45920</c:v>
                </c:pt>
                <c:pt idx="262">
                  <c:v>45921</c:v>
                </c:pt>
                <c:pt idx="263">
                  <c:v>45922</c:v>
                </c:pt>
                <c:pt idx="264">
                  <c:v>45923</c:v>
                </c:pt>
                <c:pt idx="265">
                  <c:v>45924</c:v>
                </c:pt>
                <c:pt idx="266">
                  <c:v>45925</c:v>
                </c:pt>
                <c:pt idx="267">
                  <c:v>45926</c:v>
                </c:pt>
                <c:pt idx="268">
                  <c:v>45927</c:v>
                </c:pt>
                <c:pt idx="269">
                  <c:v>45928</c:v>
                </c:pt>
                <c:pt idx="270">
                  <c:v>45929</c:v>
                </c:pt>
                <c:pt idx="271">
                  <c:v>45930</c:v>
                </c:pt>
                <c:pt idx="272">
                  <c:v>45931</c:v>
                </c:pt>
                <c:pt idx="273">
                  <c:v>45932</c:v>
                </c:pt>
                <c:pt idx="274">
                  <c:v>45933</c:v>
                </c:pt>
                <c:pt idx="275">
                  <c:v>45934</c:v>
                </c:pt>
                <c:pt idx="276">
                  <c:v>45935</c:v>
                </c:pt>
                <c:pt idx="277">
                  <c:v>45936</c:v>
                </c:pt>
                <c:pt idx="278">
                  <c:v>45937</c:v>
                </c:pt>
                <c:pt idx="279">
                  <c:v>45938</c:v>
                </c:pt>
                <c:pt idx="280">
                  <c:v>45939</c:v>
                </c:pt>
                <c:pt idx="281">
                  <c:v>45940</c:v>
                </c:pt>
                <c:pt idx="282">
                  <c:v>45941</c:v>
                </c:pt>
                <c:pt idx="283">
                  <c:v>45942</c:v>
                </c:pt>
                <c:pt idx="284">
                  <c:v>45943</c:v>
                </c:pt>
                <c:pt idx="285">
                  <c:v>45944</c:v>
                </c:pt>
                <c:pt idx="286">
                  <c:v>45945</c:v>
                </c:pt>
                <c:pt idx="287">
                  <c:v>45946</c:v>
                </c:pt>
                <c:pt idx="288">
                  <c:v>45947</c:v>
                </c:pt>
                <c:pt idx="289">
                  <c:v>45948</c:v>
                </c:pt>
                <c:pt idx="290">
                  <c:v>45949</c:v>
                </c:pt>
                <c:pt idx="291">
                  <c:v>45950</c:v>
                </c:pt>
                <c:pt idx="292">
                  <c:v>45951</c:v>
                </c:pt>
                <c:pt idx="293">
                  <c:v>45952</c:v>
                </c:pt>
                <c:pt idx="294">
                  <c:v>45953</c:v>
                </c:pt>
                <c:pt idx="295">
                  <c:v>45954</c:v>
                </c:pt>
                <c:pt idx="296">
                  <c:v>45955</c:v>
                </c:pt>
                <c:pt idx="297">
                  <c:v>45956</c:v>
                </c:pt>
                <c:pt idx="298">
                  <c:v>45957</c:v>
                </c:pt>
                <c:pt idx="299">
                  <c:v>45958</c:v>
                </c:pt>
                <c:pt idx="300">
                  <c:v>45959</c:v>
                </c:pt>
                <c:pt idx="301">
                  <c:v>45960</c:v>
                </c:pt>
                <c:pt idx="302">
                  <c:v>45961</c:v>
                </c:pt>
                <c:pt idx="303">
                  <c:v>45962</c:v>
                </c:pt>
                <c:pt idx="304">
                  <c:v>45963</c:v>
                </c:pt>
                <c:pt idx="305">
                  <c:v>45964</c:v>
                </c:pt>
                <c:pt idx="306">
                  <c:v>45965</c:v>
                </c:pt>
                <c:pt idx="307">
                  <c:v>45966</c:v>
                </c:pt>
                <c:pt idx="308">
                  <c:v>45967</c:v>
                </c:pt>
                <c:pt idx="309">
                  <c:v>45968</c:v>
                </c:pt>
                <c:pt idx="310">
                  <c:v>45969</c:v>
                </c:pt>
                <c:pt idx="311">
                  <c:v>45970</c:v>
                </c:pt>
                <c:pt idx="312">
                  <c:v>45971</c:v>
                </c:pt>
                <c:pt idx="313">
                  <c:v>45972</c:v>
                </c:pt>
                <c:pt idx="314">
                  <c:v>45973</c:v>
                </c:pt>
                <c:pt idx="315">
                  <c:v>45974</c:v>
                </c:pt>
                <c:pt idx="316">
                  <c:v>45975</c:v>
                </c:pt>
                <c:pt idx="317">
                  <c:v>45976</c:v>
                </c:pt>
                <c:pt idx="318">
                  <c:v>45977</c:v>
                </c:pt>
                <c:pt idx="319">
                  <c:v>45978</c:v>
                </c:pt>
                <c:pt idx="320">
                  <c:v>45979</c:v>
                </c:pt>
                <c:pt idx="321">
                  <c:v>45980</c:v>
                </c:pt>
                <c:pt idx="322">
                  <c:v>45981</c:v>
                </c:pt>
                <c:pt idx="323">
                  <c:v>45982</c:v>
                </c:pt>
                <c:pt idx="324">
                  <c:v>45983</c:v>
                </c:pt>
                <c:pt idx="325">
                  <c:v>45984</c:v>
                </c:pt>
                <c:pt idx="326">
                  <c:v>45985</c:v>
                </c:pt>
                <c:pt idx="327">
                  <c:v>45986</c:v>
                </c:pt>
                <c:pt idx="328">
                  <c:v>45987</c:v>
                </c:pt>
                <c:pt idx="329">
                  <c:v>45988</c:v>
                </c:pt>
                <c:pt idx="330">
                  <c:v>45989</c:v>
                </c:pt>
                <c:pt idx="331">
                  <c:v>45990</c:v>
                </c:pt>
                <c:pt idx="332">
                  <c:v>45991</c:v>
                </c:pt>
              </c:numCache>
            </c:numRef>
          </c:cat>
          <c:val>
            <c:numRef>
              <c:f>'F2 Daily'!$C$2:$C$334</c:f>
              <c:numCache>
                <c:formatCode>General</c:formatCode>
                <c:ptCount val="333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2.4</c:v>
                </c:pt>
                <c:pt idx="17">
                  <c:v>2.4</c:v>
                </c:pt>
                <c:pt idx="18">
                  <c:v>2.4</c:v>
                </c:pt>
                <c:pt idx="19">
                  <c:v>2.4</c:v>
                </c:pt>
                <c:pt idx="20">
                  <c:v>2.4</c:v>
                </c:pt>
                <c:pt idx="21">
                  <c:v>2.4</c:v>
                </c:pt>
                <c:pt idx="22">
                  <c:v>2.4</c:v>
                </c:pt>
                <c:pt idx="23">
                  <c:v>2.4</c:v>
                </c:pt>
                <c:pt idx="24">
                  <c:v>2.4</c:v>
                </c:pt>
                <c:pt idx="25">
                  <c:v>2.4</c:v>
                </c:pt>
                <c:pt idx="26">
                  <c:v>2.4</c:v>
                </c:pt>
                <c:pt idx="27">
                  <c:v>2.4</c:v>
                </c:pt>
                <c:pt idx="28">
                  <c:v>2.4</c:v>
                </c:pt>
                <c:pt idx="29">
                  <c:v>2.4</c:v>
                </c:pt>
                <c:pt idx="30">
                  <c:v>2.4</c:v>
                </c:pt>
                <c:pt idx="31">
                  <c:v>2.4</c:v>
                </c:pt>
                <c:pt idx="32">
                  <c:v>2.4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3.8</c:v>
                </c:pt>
                <c:pt idx="44">
                  <c:v>3.8</c:v>
                </c:pt>
                <c:pt idx="45">
                  <c:v>3.8</c:v>
                </c:pt>
                <c:pt idx="46">
                  <c:v>3.8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3.8</c:v>
                </c:pt>
                <c:pt idx="51">
                  <c:v>3.8</c:v>
                </c:pt>
                <c:pt idx="52">
                  <c:v>3.8</c:v>
                </c:pt>
                <c:pt idx="53">
                  <c:v>3.8</c:v>
                </c:pt>
                <c:pt idx="54">
                  <c:v>3.8</c:v>
                </c:pt>
                <c:pt idx="55">
                  <c:v>3.8</c:v>
                </c:pt>
                <c:pt idx="56">
                  <c:v>3.8</c:v>
                </c:pt>
                <c:pt idx="57">
                  <c:v>3.8</c:v>
                </c:pt>
                <c:pt idx="58">
                  <c:v>3.8</c:v>
                </c:pt>
                <c:pt idx="59">
                  <c:v>3.8</c:v>
                </c:pt>
                <c:pt idx="60">
                  <c:v>3.8</c:v>
                </c:pt>
                <c:pt idx="61">
                  <c:v>8.6</c:v>
                </c:pt>
                <c:pt idx="62">
                  <c:v>8.6</c:v>
                </c:pt>
                <c:pt idx="63">
                  <c:v>8.6</c:v>
                </c:pt>
                <c:pt idx="64">
                  <c:v>8.6</c:v>
                </c:pt>
                <c:pt idx="65">
                  <c:v>8.6</c:v>
                </c:pt>
                <c:pt idx="66">
                  <c:v>8.6</c:v>
                </c:pt>
                <c:pt idx="67">
                  <c:v>8.6</c:v>
                </c:pt>
                <c:pt idx="68">
                  <c:v>8.6</c:v>
                </c:pt>
                <c:pt idx="69">
                  <c:v>9.8000000000000007</c:v>
                </c:pt>
                <c:pt idx="70">
                  <c:v>9.8000000000000007</c:v>
                </c:pt>
                <c:pt idx="71">
                  <c:v>9.8000000000000007</c:v>
                </c:pt>
                <c:pt idx="72">
                  <c:v>9.8000000000000007</c:v>
                </c:pt>
                <c:pt idx="73">
                  <c:v>9.8000000000000007</c:v>
                </c:pt>
                <c:pt idx="74">
                  <c:v>9.8000000000000007</c:v>
                </c:pt>
                <c:pt idx="75">
                  <c:v>9.8000000000000007</c:v>
                </c:pt>
                <c:pt idx="76">
                  <c:v>9.8000000000000007</c:v>
                </c:pt>
                <c:pt idx="77">
                  <c:v>9.8000000000000007</c:v>
                </c:pt>
                <c:pt idx="78">
                  <c:v>9.8000000000000007</c:v>
                </c:pt>
                <c:pt idx="79">
                  <c:v>9.8000000000000007</c:v>
                </c:pt>
                <c:pt idx="80">
                  <c:v>9.8000000000000007</c:v>
                </c:pt>
                <c:pt idx="81">
                  <c:v>9.8000000000000007</c:v>
                </c:pt>
                <c:pt idx="82">
                  <c:v>9.8000000000000007</c:v>
                </c:pt>
                <c:pt idx="83">
                  <c:v>9.8000000000000007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22.44</c:v>
                </c:pt>
                <c:pt idx="91">
                  <c:v>22.44</c:v>
                </c:pt>
                <c:pt idx="92">
                  <c:v>22.44</c:v>
                </c:pt>
                <c:pt idx="93">
                  <c:v>22.44</c:v>
                </c:pt>
                <c:pt idx="94">
                  <c:v>22.44</c:v>
                </c:pt>
                <c:pt idx="95">
                  <c:v>22.44</c:v>
                </c:pt>
                <c:pt idx="96">
                  <c:v>22.44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  <c:pt idx="101">
                  <c:v>27.99</c:v>
                </c:pt>
                <c:pt idx="102">
                  <c:v>27.99</c:v>
                </c:pt>
                <c:pt idx="103">
                  <c:v>27.99</c:v>
                </c:pt>
                <c:pt idx="104">
                  <c:v>27.99</c:v>
                </c:pt>
                <c:pt idx="105">
                  <c:v>27.99</c:v>
                </c:pt>
                <c:pt idx="106">
                  <c:v>27.99</c:v>
                </c:pt>
                <c:pt idx="107">
                  <c:v>27.99</c:v>
                </c:pt>
                <c:pt idx="108">
                  <c:v>27.99</c:v>
                </c:pt>
                <c:pt idx="109">
                  <c:v>27.99</c:v>
                </c:pt>
                <c:pt idx="110">
                  <c:v>27.99</c:v>
                </c:pt>
                <c:pt idx="111">
                  <c:v>27.99</c:v>
                </c:pt>
                <c:pt idx="112">
                  <c:v>27.99</c:v>
                </c:pt>
                <c:pt idx="113">
                  <c:v>27.99</c:v>
                </c:pt>
                <c:pt idx="114">
                  <c:v>27.99</c:v>
                </c:pt>
                <c:pt idx="115">
                  <c:v>27.99</c:v>
                </c:pt>
                <c:pt idx="116">
                  <c:v>27.99</c:v>
                </c:pt>
                <c:pt idx="117">
                  <c:v>27.99</c:v>
                </c:pt>
                <c:pt idx="118">
                  <c:v>27.99</c:v>
                </c:pt>
                <c:pt idx="119">
                  <c:v>27.99</c:v>
                </c:pt>
                <c:pt idx="120">
                  <c:v>27.99</c:v>
                </c:pt>
                <c:pt idx="121">
                  <c:v>27.99</c:v>
                </c:pt>
                <c:pt idx="122">
                  <c:v>27.99</c:v>
                </c:pt>
                <c:pt idx="123">
                  <c:v>27.99</c:v>
                </c:pt>
                <c:pt idx="124">
                  <c:v>27.99</c:v>
                </c:pt>
                <c:pt idx="125">
                  <c:v>27.99</c:v>
                </c:pt>
                <c:pt idx="126">
                  <c:v>27.62</c:v>
                </c:pt>
                <c:pt idx="127">
                  <c:v>27.62</c:v>
                </c:pt>
                <c:pt idx="128">
                  <c:v>27.62</c:v>
                </c:pt>
                <c:pt idx="129">
                  <c:v>27.62</c:v>
                </c:pt>
                <c:pt idx="130">
                  <c:v>17.829999999999998</c:v>
                </c:pt>
                <c:pt idx="131">
                  <c:v>17.829999999999998</c:v>
                </c:pt>
                <c:pt idx="132">
                  <c:v>17.829999999999998</c:v>
                </c:pt>
                <c:pt idx="133">
                  <c:v>17.829999999999998</c:v>
                </c:pt>
                <c:pt idx="134">
                  <c:v>17.829999999999998</c:v>
                </c:pt>
                <c:pt idx="135">
                  <c:v>17.829999999999998</c:v>
                </c:pt>
                <c:pt idx="136">
                  <c:v>17.829999999999998</c:v>
                </c:pt>
                <c:pt idx="137">
                  <c:v>17.829999999999998</c:v>
                </c:pt>
                <c:pt idx="138">
                  <c:v>17.829999999999998</c:v>
                </c:pt>
                <c:pt idx="139">
                  <c:v>17.829999999999998</c:v>
                </c:pt>
                <c:pt idx="140">
                  <c:v>17.829999999999998</c:v>
                </c:pt>
                <c:pt idx="141">
                  <c:v>21.87</c:v>
                </c:pt>
                <c:pt idx="142">
                  <c:v>21.87</c:v>
                </c:pt>
                <c:pt idx="143">
                  <c:v>17.829999999999998</c:v>
                </c:pt>
                <c:pt idx="144">
                  <c:v>17.829999999999998</c:v>
                </c:pt>
                <c:pt idx="145">
                  <c:v>17.829999999999998</c:v>
                </c:pt>
                <c:pt idx="146">
                  <c:v>17.829999999999998</c:v>
                </c:pt>
                <c:pt idx="147">
                  <c:v>6.94</c:v>
                </c:pt>
                <c:pt idx="148">
                  <c:v>14.4</c:v>
                </c:pt>
                <c:pt idx="149">
                  <c:v>15.6</c:v>
                </c:pt>
                <c:pt idx="150">
                  <c:v>15.6</c:v>
                </c:pt>
                <c:pt idx="151">
                  <c:v>15.6</c:v>
                </c:pt>
                <c:pt idx="152">
                  <c:v>15.6</c:v>
                </c:pt>
                <c:pt idx="153">
                  <c:v>15.6</c:v>
                </c:pt>
                <c:pt idx="154">
                  <c:v>15.6</c:v>
                </c:pt>
                <c:pt idx="155">
                  <c:v>15.6</c:v>
                </c:pt>
                <c:pt idx="156">
                  <c:v>15.6</c:v>
                </c:pt>
                <c:pt idx="157">
                  <c:v>15.6</c:v>
                </c:pt>
                <c:pt idx="158">
                  <c:v>15.6</c:v>
                </c:pt>
                <c:pt idx="159">
                  <c:v>15.6</c:v>
                </c:pt>
                <c:pt idx="160">
                  <c:v>15.6</c:v>
                </c:pt>
                <c:pt idx="161">
                  <c:v>15.6</c:v>
                </c:pt>
                <c:pt idx="162">
                  <c:v>15.6</c:v>
                </c:pt>
                <c:pt idx="163">
                  <c:v>15.6</c:v>
                </c:pt>
                <c:pt idx="164">
                  <c:v>15.6</c:v>
                </c:pt>
                <c:pt idx="165">
                  <c:v>15.6</c:v>
                </c:pt>
                <c:pt idx="166">
                  <c:v>15.6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15.8</c:v>
                </c:pt>
                <c:pt idx="173">
                  <c:v>15.8</c:v>
                </c:pt>
                <c:pt idx="174">
                  <c:v>15.8</c:v>
                </c:pt>
                <c:pt idx="175">
                  <c:v>15.8</c:v>
                </c:pt>
                <c:pt idx="176">
                  <c:v>15.8</c:v>
                </c:pt>
                <c:pt idx="177">
                  <c:v>15.8</c:v>
                </c:pt>
                <c:pt idx="178">
                  <c:v>15.8</c:v>
                </c:pt>
                <c:pt idx="179">
                  <c:v>15.8</c:v>
                </c:pt>
                <c:pt idx="180">
                  <c:v>15.8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16.600000000000001</c:v>
                </c:pt>
                <c:pt idx="184">
                  <c:v>16.600000000000001</c:v>
                </c:pt>
                <c:pt idx="185">
                  <c:v>16.600000000000001</c:v>
                </c:pt>
                <c:pt idx="186">
                  <c:v>16.600000000000001</c:v>
                </c:pt>
                <c:pt idx="187">
                  <c:v>16.600000000000001</c:v>
                </c:pt>
                <c:pt idx="188">
                  <c:v>16.600000000000001</c:v>
                </c:pt>
                <c:pt idx="189">
                  <c:v>16.600000000000001</c:v>
                </c:pt>
                <c:pt idx="190">
                  <c:v>16.600000000000001</c:v>
                </c:pt>
                <c:pt idx="191">
                  <c:v>16.600000000000001</c:v>
                </c:pt>
                <c:pt idx="192">
                  <c:v>16.600000000000001</c:v>
                </c:pt>
                <c:pt idx="193">
                  <c:v>16.600000000000001</c:v>
                </c:pt>
                <c:pt idx="194">
                  <c:v>16.600000000000001</c:v>
                </c:pt>
                <c:pt idx="195">
                  <c:v>16.600000000000001</c:v>
                </c:pt>
                <c:pt idx="196">
                  <c:v>16.600000000000001</c:v>
                </c:pt>
                <c:pt idx="197">
                  <c:v>16.600000000000001</c:v>
                </c:pt>
                <c:pt idx="198">
                  <c:v>16.600000000000001</c:v>
                </c:pt>
                <c:pt idx="199">
                  <c:v>16.600000000000001</c:v>
                </c:pt>
                <c:pt idx="200">
                  <c:v>16.600000000000001</c:v>
                </c:pt>
                <c:pt idx="201">
                  <c:v>16.600000000000001</c:v>
                </c:pt>
                <c:pt idx="202">
                  <c:v>16.600000000000001</c:v>
                </c:pt>
                <c:pt idx="203">
                  <c:v>16.600000000000001</c:v>
                </c:pt>
                <c:pt idx="204">
                  <c:v>16.600000000000001</c:v>
                </c:pt>
                <c:pt idx="205">
                  <c:v>16.600000000000001</c:v>
                </c:pt>
                <c:pt idx="206">
                  <c:v>16.600000000000001</c:v>
                </c:pt>
                <c:pt idx="207">
                  <c:v>16.600000000000001</c:v>
                </c:pt>
                <c:pt idx="208">
                  <c:v>16.600000000000001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16.600000000000001</c:v>
                </c:pt>
                <c:pt idx="212">
                  <c:v>16.600000000000001</c:v>
                </c:pt>
                <c:pt idx="213">
                  <c:v>16.600000000000001</c:v>
                </c:pt>
                <c:pt idx="214">
                  <c:v>16.600000000000001</c:v>
                </c:pt>
                <c:pt idx="215">
                  <c:v>16.600000000000001</c:v>
                </c:pt>
                <c:pt idx="216">
                  <c:v>16.600000000000001</c:v>
                </c:pt>
                <c:pt idx="217">
                  <c:v>18.600000000000001</c:v>
                </c:pt>
                <c:pt idx="218">
                  <c:v>18.600000000000001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18.600000000000001</c:v>
                </c:pt>
                <c:pt idx="222">
                  <c:v>18.600000000000001</c:v>
                </c:pt>
                <c:pt idx="223">
                  <c:v>18.600000000000001</c:v>
                </c:pt>
                <c:pt idx="224">
                  <c:v>18.600000000000001</c:v>
                </c:pt>
                <c:pt idx="225">
                  <c:v>18.600000000000001</c:v>
                </c:pt>
                <c:pt idx="226">
                  <c:v>18.600000000000001</c:v>
                </c:pt>
                <c:pt idx="227">
                  <c:v>18.600000000000001</c:v>
                </c:pt>
                <c:pt idx="228">
                  <c:v>18.600000000000001</c:v>
                </c:pt>
                <c:pt idx="229">
                  <c:v>18.600000000000001</c:v>
                </c:pt>
                <c:pt idx="230">
                  <c:v>18.600000000000001</c:v>
                </c:pt>
                <c:pt idx="231">
                  <c:v>18.600000000000001</c:v>
                </c:pt>
                <c:pt idx="232">
                  <c:v>18.600000000000001</c:v>
                </c:pt>
                <c:pt idx="233">
                  <c:v>18.600000000000001</c:v>
                </c:pt>
                <c:pt idx="234">
                  <c:v>18.600000000000001</c:v>
                </c:pt>
                <c:pt idx="235">
                  <c:v>18.600000000000001</c:v>
                </c:pt>
                <c:pt idx="236">
                  <c:v>18.600000000000001</c:v>
                </c:pt>
                <c:pt idx="237">
                  <c:v>18.600000000000001</c:v>
                </c:pt>
                <c:pt idx="238">
                  <c:v>18.600000000000001</c:v>
                </c:pt>
                <c:pt idx="239">
                  <c:v>18.600000000000001</c:v>
                </c:pt>
                <c:pt idx="240">
                  <c:v>18.600000000000001</c:v>
                </c:pt>
                <c:pt idx="241">
                  <c:v>18.600000000000001</c:v>
                </c:pt>
                <c:pt idx="242">
                  <c:v>18.600000000000001</c:v>
                </c:pt>
                <c:pt idx="243">
                  <c:v>18.600000000000001</c:v>
                </c:pt>
                <c:pt idx="244">
                  <c:v>17.399999999999999</c:v>
                </c:pt>
                <c:pt idx="245">
                  <c:v>17.399999999999999</c:v>
                </c:pt>
                <c:pt idx="246">
                  <c:v>17.399999999999999</c:v>
                </c:pt>
                <c:pt idx="247">
                  <c:v>17.399999999999999</c:v>
                </c:pt>
                <c:pt idx="248">
                  <c:v>17.399999999999999</c:v>
                </c:pt>
                <c:pt idx="249">
                  <c:v>17.399999999999999</c:v>
                </c:pt>
                <c:pt idx="250">
                  <c:v>17.399999999999999</c:v>
                </c:pt>
                <c:pt idx="251">
                  <c:v>17.399999999999999</c:v>
                </c:pt>
                <c:pt idx="252">
                  <c:v>17.399999999999999</c:v>
                </c:pt>
                <c:pt idx="253">
                  <c:v>17.399999999999999</c:v>
                </c:pt>
                <c:pt idx="254">
                  <c:v>17.399999999999999</c:v>
                </c:pt>
                <c:pt idx="255">
                  <c:v>17.399999999999999</c:v>
                </c:pt>
                <c:pt idx="256">
                  <c:v>17.399999999999999</c:v>
                </c:pt>
                <c:pt idx="257">
                  <c:v>17.399999999999999</c:v>
                </c:pt>
                <c:pt idx="258">
                  <c:v>17.399999999999999</c:v>
                </c:pt>
                <c:pt idx="259">
                  <c:v>17.399999999999999</c:v>
                </c:pt>
                <c:pt idx="260">
                  <c:v>17.399999999999999</c:v>
                </c:pt>
                <c:pt idx="261">
                  <c:v>17.399999999999999</c:v>
                </c:pt>
                <c:pt idx="262">
                  <c:v>17.399999999999999</c:v>
                </c:pt>
                <c:pt idx="263">
                  <c:v>17.399999999999999</c:v>
                </c:pt>
                <c:pt idx="264">
                  <c:v>17.399999999999999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17.399999999999999</c:v>
                </c:pt>
                <c:pt idx="277">
                  <c:v>17.399999999999999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 formatCode="0.0">
                  <c:v>19.084955336938378</c:v>
                </c:pt>
                <c:pt idx="289" formatCode="0.0">
                  <c:v>19.084955336938378</c:v>
                </c:pt>
                <c:pt idx="290" formatCode="0.0">
                  <c:v>19.084955336938378</c:v>
                </c:pt>
                <c:pt idx="291" formatCode="0.0">
                  <c:v>19.084955336938378</c:v>
                </c:pt>
                <c:pt idx="292" formatCode="0.0">
                  <c:v>19.084955336938378</c:v>
                </c:pt>
                <c:pt idx="293" formatCode="0.0">
                  <c:v>19.084955336938378</c:v>
                </c:pt>
                <c:pt idx="294" formatCode="0.0">
                  <c:v>19.084955336938378</c:v>
                </c:pt>
                <c:pt idx="295" formatCode="0.0">
                  <c:v>19.084955336938378</c:v>
                </c:pt>
                <c:pt idx="296" formatCode="0.0">
                  <c:v>19.084955336938378</c:v>
                </c:pt>
                <c:pt idx="297" formatCode="0.0">
                  <c:v>19.084955336938378</c:v>
                </c:pt>
                <c:pt idx="298" formatCode="0.0">
                  <c:v>19.084955336938378</c:v>
                </c:pt>
                <c:pt idx="299" formatCode="0.0">
                  <c:v>19.084955336938378</c:v>
                </c:pt>
                <c:pt idx="300" formatCode="0.0">
                  <c:v>19.084955336938378</c:v>
                </c:pt>
                <c:pt idx="301" formatCode="0.0">
                  <c:v>19.084955336938378</c:v>
                </c:pt>
                <c:pt idx="302" formatCode="0.0">
                  <c:v>17.084955336938378</c:v>
                </c:pt>
                <c:pt idx="303" formatCode="0.0">
                  <c:v>17.084955336938378</c:v>
                </c:pt>
                <c:pt idx="304" formatCode="0.0">
                  <c:v>17.084955336938378</c:v>
                </c:pt>
                <c:pt idx="305" formatCode="0.0">
                  <c:v>17.084955336938378</c:v>
                </c:pt>
                <c:pt idx="306" formatCode="0.0">
                  <c:v>17.084955336938378</c:v>
                </c:pt>
                <c:pt idx="307" formatCode="0.0">
                  <c:v>17.084955336938378</c:v>
                </c:pt>
                <c:pt idx="308" formatCode="0.0">
                  <c:v>17.084955336938378</c:v>
                </c:pt>
                <c:pt idx="309" formatCode="0.0">
                  <c:v>17.084955336938378</c:v>
                </c:pt>
                <c:pt idx="310" formatCode="0.0">
                  <c:v>17.084955336938378</c:v>
                </c:pt>
                <c:pt idx="311" formatCode="0.0">
                  <c:v>17.084955336938378</c:v>
                </c:pt>
                <c:pt idx="312" formatCode="0.0">
                  <c:v>17.084955336938378</c:v>
                </c:pt>
                <c:pt idx="313" formatCode="0.0">
                  <c:v>17.084955336938378</c:v>
                </c:pt>
                <c:pt idx="314" formatCode="0.0">
                  <c:v>17.084955336938378</c:v>
                </c:pt>
                <c:pt idx="315" formatCode="0.0">
                  <c:v>17.084955336938378</c:v>
                </c:pt>
                <c:pt idx="316" formatCode="0.0">
                  <c:v>16.804955336938377</c:v>
                </c:pt>
                <c:pt idx="317" formatCode="0.0">
                  <c:v>16.804955336938377</c:v>
                </c:pt>
                <c:pt idx="318" formatCode="0.0">
                  <c:v>16.804955336938377</c:v>
                </c:pt>
                <c:pt idx="319" formatCode="0.0">
                  <c:v>16.804955336938377</c:v>
                </c:pt>
                <c:pt idx="320" formatCode="0.0">
                  <c:v>16.804955336938377</c:v>
                </c:pt>
                <c:pt idx="321" formatCode="0.0">
                  <c:v>16.804955336938377</c:v>
                </c:pt>
                <c:pt idx="322" formatCode="0.0">
                  <c:v>16.804955336938377</c:v>
                </c:pt>
                <c:pt idx="323" formatCode="0.0">
                  <c:v>16.804955336938377</c:v>
                </c:pt>
                <c:pt idx="324" formatCode="0.0">
                  <c:v>16.804955336938377</c:v>
                </c:pt>
                <c:pt idx="325" formatCode="0.0">
                  <c:v>16.804955336938377</c:v>
                </c:pt>
                <c:pt idx="326" formatCode="0.0">
                  <c:v>16.804955336938377</c:v>
                </c:pt>
                <c:pt idx="327" formatCode="0.0">
                  <c:v>16.804955336938377</c:v>
                </c:pt>
                <c:pt idx="328" formatCode="0.0">
                  <c:v>16.804955336938377</c:v>
                </c:pt>
                <c:pt idx="329" formatCode="0.0">
                  <c:v>16.804955336938377</c:v>
                </c:pt>
                <c:pt idx="330" formatCode="0.0">
                  <c:v>16.804955336938377</c:v>
                </c:pt>
                <c:pt idx="331" formatCode="0.0">
                  <c:v>16.804955336938377</c:v>
                </c:pt>
                <c:pt idx="332" formatCode="0.0">
                  <c:v>16.804955336938377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7-4518-8A2B-B31FB97F0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6164576"/>
        <c:axId val="1006159776"/>
      </c:lineChart>
      <c:dateAx>
        <c:axId val="1006164576"/>
        <c:scaling>
          <c:orientation val="minMax"/>
          <c:min val="45658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 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006159776"/>
        <c:crosses val="autoZero"/>
        <c:auto val="1"/>
        <c:lblOffset val="100"/>
        <c:baseTimeUnit val="days"/>
        <c:majorUnit val="1"/>
        <c:majorTimeUnit val="months"/>
      </c:dateAx>
      <c:valAx>
        <c:axId val="100615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006164576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 b="1"/>
              <a:t>Average Effective Tariff Rate Since January 1,</a:t>
            </a:r>
            <a:r>
              <a:rPr lang="en-US" b="1" baseline="0"/>
              <a:t> 2025</a:t>
            </a:r>
          </a:p>
          <a:p>
            <a:pPr algn="l">
              <a:defRPr b="1"/>
            </a:pPr>
            <a:r>
              <a:rPr lang="en-US" sz="1200" b="0" baseline="0">
                <a:solidFill>
                  <a:schemeClr val="bg1">
                    <a:lumMod val="50000"/>
                  </a:schemeClr>
                </a:solidFill>
              </a:rPr>
              <a:t>Policy as of November 17</a:t>
            </a:r>
          </a:p>
          <a:p>
            <a:pPr algn="l">
              <a:defRPr b="1"/>
            </a:pPr>
            <a:r>
              <a:rPr lang="en-US" sz="1200" b="0" baseline="0">
                <a:solidFill>
                  <a:schemeClr val="bg1">
                    <a:lumMod val="50000"/>
                  </a:schemeClr>
                </a:solidFill>
              </a:rPr>
              <a:t>Pre-substitution</a:t>
            </a:r>
          </a:p>
          <a:p>
            <a:pPr algn="l">
              <a:defRPr b="1"/>
            </a:pPr>
            <a:r>
              <a:rPr lang="en-US" sz="1200" b="0" baseline="0">
                <a:solidFill>
                  <a:schemeClr val="bg1">
                    <a:lumMod val="50000"/>
                  </a:schemeClr>
                </a:solidFill>
              </a:rPr>
              <a:t>Percent of goods imports</a:t>
            </a:r>
            <a:endParaRPr lang="en-US" sz="1200" b="0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5.8213877111512602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tx1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1794871794872E-2"/>
          <c:y val="0.21246067318508263"/>
          <c:w val="0.85900632613231043"/>
          <c:h val="0.59633360740403618"/>
        </c:manualLayout>
      </c:layout>
      <c:lineChart>
        <c:grouping val="standard"/>
        <c:varyColors val="0"/>
        <c:ser>
          <c:idx val="0"/>
          <c:order val="0"/>
          <c:tx>
            <c:strRef>
              <c:f>'FOR AP'!$C$1</c:f>
              <c:strCache>
                <c:ptCount val="1"/>
                <c:pt idx="0">
                  <c:v>Reported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'FOR AP'!$B$2:$B$334</c:f>
              <c:strCache>
                <c:ptCount val="333"/>
                <c:pt idx="0">
                  <c:v>x`</c:v>
                </c:pt>
                <c:pt idx="1">
                  <c:v>1/3/2025</c:v>
                </c:pt>
                <c:pt idx="2">
                  <c:v>1/4/2025</c:v>
                </c:pt>
                <c:pt idx="3">
                  <c:v>1/5/2025</c:v>
                </c:pt>
                <c:pt idx="4">
                  <c:v>1/6/2025</c:v>
                </c:pt>
                <c:pt idx="5">
                  <c:v>1/7/2025</c:v>
                </c:pt>
                <c:pt idx="6">
                  <c:v>1/8/2025</c:v>
                </c:pt>
                <c:pt idx="7">
                  <c:v>1/9/2025</c:v>
                </c:pt>
                <c:pt idx="8">
                  <c:v>1/10/2025</c:v>
                </c:pt>
                <c:pt idx="9">
                  <c:v>1/11/2025</c:v>
                </c:pt>
                <c:pt idx="10">
                  <c:v>1/12/2025</c:v>
                </c:pt>
                <c:pt idx="11">
                  <c:v>1/13/2025</c:v>
                </c:pt>
                <c:pt idx="12">
                  <c:v>1/14/2025</c:v>
                </c:pt>
                <c:pt idx="13">
                  <c:v>1/15/2025</c:v>
                </c:pt>
                <c:pt idx="14">
                  <c:v>1/16/2025</c:v>
                </c:pt>
                <c:pt idx="15">
                  <c:v>1/17/2025</c:v>
                </c:pt>
                <c:pt idx="16">
                  <c:v>1/18/2025</c:v>
                </c:pt>
                <c:pt idx="17">
                  <c:v>1/19/2025</c:v>
                </c:pt>
                <c:pt idx="18">
                  <c:v>1/20/2025</c:v>
                </c:pt>
                <c:pt idx="19">
                  <c:v>1/21/2025</c:v>
                </c:pt>
                <c:pt idx="20">
                  <c:v>1/22/2025</c:v>
                </c:pt>
                <c:pt idx="21">
                  <c:v>1/23/2025</c:v>
                </c:pt>
                <c:pt idx="22">
                  <c:v>1/24/2025</c:v>
                </c:pt>
                <c:pt idx="23">
                  <c:v>1/25/2025</c:v>
                </c:pt>
                <c:pt idx="24">
                  <c:v>1/26/2025</c:v>
                </c:pt>
                <c:pt idx="25">
                  <c:v>1/27/2025</c:v>
                </c:pt>
                <c:pt idx="26">
                  <c:v>1/28/2025</c:v>
                </c:pt>
                <c:pt idx="27">
                  <c:v>1/29/2025</c:v>
                </c:pt>
                <c:pt idx="28">
                  <c:v>1/30/2025</c:v>
                </c:pt>
                <c:pt idx="29">
                  <c:v>1/31/2025</c:v>
                </c:pt>
                <c:pt idx="30">
                  <c:v>2/1/2025</c:v>
                </c:pt>
                <c:pt idx="31">
                  <c:v>2/2/2025</c:v>
                </c:pt>
                <c:pt idx="32">
                  <c:v>2/3/2025</c:v>
                </c:pt>
                <c:pt idx="33">
                  <c:v>2/4/2025</c:v>
                </c:pt>
                <c:pt idx="34">
                  <c:v>2/5/2025</c:v>
                </c:pt>
                <c:pt idx="35">
                  <c:v>2/6/2025</c:v>
                </c:pt>
                <c:pt idx="36">
                  <c:v>2/7/2025</c:v>
                </c:pt>
                <c:pt idx="37">
                  <c:v>2/8/2025</c:v>
                </c:pt>
                <c:pt idx="38">
                  <c:v>2/9/2025</c:v>
                </c:pt>
                <c:pt idx="39">
                  <c:v>2/10/2025</c:v>
                </c:pt>
                <c:pt idx="40">
                  <c:v>2/11/2025</c:v>
                </c:pt>
                <c:pt idx="41">
                  <c:v>2/12/2025</c:v>
                </c:pt>
                <c:pt idx="42">
                  <c:v>2/13/2025</c:v>
                </c:pt>
                <c:pt idx="43">
                  <c:v>2/14/2025</c:v>
                </c:pt>
                <c:pt idx="44">
                  <c:v>2/15/2025</c:v>
                </c:pt>
                <c:pt idx="45">
                  <c:v>2/16/2025</c:v>
                </c:pt>
                <c:pt idx="46">
                  <c:v>2/17/2025</c:v>
                </c:pt>
                <c:pt idx="47">
                  <c:v>2/18/2025</c:v>
                </c:pt>
                <c:pt idx="48">
                  <c:v>2/19/2025</c:v>
                </c:pt>
                <c:pt idx="49">
                  <c:v>2/20/2025</c:v>
                </c:pt>
                <c:pt idx="50">
                  <c:v>2/21/2025</c:v>
                </c:pt>
                <c:pt idx="51">
                  <c:v>2/22/2025</c:v>
                </c:pt>
                <c:pt idx="52">
                  <c:v>2/23/2025</c:v>
                </c:pt>
                <c:pt idx="53">
                  <c:v>2/24/2025</c:v>
                </c:pt>
                <c:pt idx="54">
                  <c:v>2/25/2025</c:v>
                </c:pt>
                <c:pt idx="55">
                  <c:v>2/26/2025</c:v>
                </c:pt>
                <c:pt idx="56">
                  <c:v>2/27/2025</c:v>
                </c:pt>
                <c:pt idx="57">
                  <c:v>2/28/2025</c:v>
                </c:pt>
                <c:pt idx="58">
                  <c:v>3/1/2025</c:v>
                </c:pt>
                <c:pt idx="59">
                  <c:v>3/2/2025</c:v>
                </c:pt>
                <c:pt idx="60">
                  <c:v>3/3/2025</c:v>
                </c:pt>
                <c:pt idx="61">
                  <c:v>3/4/2025</c:v>
                </c:pt>
                <c:pt idx="62">
                  <c:v>3/5/2025</c:v>
                </c:pt>
                <c:pt idx="63">
                  <c:v>3/6/2025</c:v>
                </c:pt>
                <c:pt idx="64">
                  <c:v>3/7/2025</c:v>
                </c:pt>
                <c:pt idx="65">
                  <c:v>3/8/2025</c:v>
                </c:pt>
                <c:pt idx="66">
                  <c:v>3/9/2025</c:v>
                </c:pt>
                <c:pt idx="67">
                  <c:v>3/10/2025</c:v>
                </c:pt>
                <c:pt idx="68">
                  <c:v>3/11/2025</c:v>
                </c:pt>
                <c:pt idx="69">
                  <c:v>3/12/2025</c:v>
                </c:pt>
                <c:pt idx="70">
                  <c:v>3/13/2025</c:v>
                </c:pt>
                <c:pt idx="71">
                  <c:v>3/14/2025</c:v>
                </c:pt>
                <c:pt idx="72">
                  <c:v>3/15/2025</c:v>
                </c:pt>
                <c:pt idx="73">
                  <c:v>3/16/2025</c:v>
                </c:pt>
                <c:pt idx="74">
                  <c:v>3/17/2025</c:v>
                </c:pt>
                <c:pt idx="75">
                  <c:v>3/18/2025</c:v>
                </c:pt>
                <c:pt idx="76">
                  <c:v>3/19/2025</c:v>
                </c:pt>
                <c:pt idx="77">
                  <c:v>3/20/2025</c:v>
                </c:pt>
                <c:pt idx="78">
                  <c:v>3/21/2025</c:v>
                </c:pt>
                <c:pt idx="79">
                  <c:v>3/22/2025</c:v>
                </c:pt>
                <c:pt idx="80">
                  <c:v>3/23/2025</c:v>
                </c:pt>
                <c:pt idx="81">
                  <c:v>3/24/2025</c:v>
                </c:pt>
                <c:pt idx="82">
                  <c:v>3/25/2025</c:v>
                </c:pt>
                <c:pt idx="83">
                  <c:v>3/26/2025</c:v>
                </c:pt>
                <c:pt idx="84">
                  <c:v>3/27/2025</c:v>
                </c:pt>
                <c:pt idx="85">
                  <c:v>3/28/2025</c:v>
                </c:pt>
                <c:pt idx="86">
                  <c:v>3/29/2025</c:v>
                </c:pt>
                <c:pt idx="87">
                  <c:v>3/30/2025</c:v>
                </c:pt>
                <c:pt idx="88">
                  <c:v>3/31/2025</c:v>
                </c:pt>
                <c:pt idx="89">
                  <c:v>4/1/2025</c:v>
                </c:pt>
                <c:pt idx="90">
                  <c:v>4/2/2025</c:v>
                </c:pt>
                <c:pt idx="91">
                  <c:v>4/3/2025</c:v>
                </c:pt>
                <c:pt idx="92">
                  <c:v>4/4/2025</c:v>
                </c:pt>
                <c:pt idx="93">
                  <c:v>4/5/2025</c:v>
                </c:pt>
                <c:pt idx="94">
                  <c:v>4/6/2025</c:v>
                </c:pt>
                <c:pt idx="95">
                  <c:v>4/7/2025</c:v>
                </c:pt>
                <c:pt idx="96">
                  <c:v>4/8/2025</c:v>
                </c:pt>
                <c:pt idx="97">
                  <c:v>4/9/2025</c:v>
                </c:pt>
                <c:pt idx="98">
                  <c:v>4/10/2025</c:v>
                </c:pt>
                <c:pt idx="99">
                  <c:v>4/11/2025</c:v>
                </c:pt>
                <c:pt idx="100">
                  <c:v>4/12/2025</c:v>
                </c:pt>
                <c:pt idx="101">
                  <c:v>4/13/2025</c:v>
                </c:pt>
                <c:pt idx="102">
                  <c:v>4/14/2025</c:v>
                </c:pt>
                <c:pt idx="103">
                  <c:v>4/15/2025</c:v>
                </c:pt>
                <c:pt idx="104">
                  <c:v>4/16/2025</c:v>
                </c:pt>
                <c:pt idx="105">
                  <c:v>4/17/2025</c:v>
                </c:pt>
                <c:pt idx="106">
                  <c:v>4/18/2025</c:v>
                </c:pt>
                <c:pt idx="107">
                  <c:v>4/19/2025</c:v>
                </c:pt>
                <c:pt idx="108">
                  <c:v>4/20/2025</c:v>
                </c:pt>
                <c:pt idx="109">
                  <c:v>4/21/2025</c:v>
                </c:pt>
                <c:pt idx="110">
                  <c:v>4/22/2025</c:v>
                </c:pt>
                <c:pt idx="111">
                  <c:v>4/23/2025</c:v>
                </c:pt>
                <c:pt idx="112">
                  <c:v>4/24/2025</c:v>
                </c:pt>
                <c:pt idx="113">
                  <c:v>4/25/2025</c:v>
                </c:pt>
                <c:pt idx="114">
                  <c:v>4/26/2025</c:v>
                </c:pt>
                <c:pt idx="115">
                  <c:v>4/27/2025</c:v>
                </c:pt>
                <c:pt idx="116">
                  <c:v>4/28/2025</c:v>
                </c:pt>
                <c:pt idx="117">
                  <c:v>4/29/2025</c:v>
                </c:pt>
                <c:pt idx="118">
                  <c:v>4/30/2025</c:v>
                </c:pt>
                <c:pt idx="119">
                  <c:v>5/1/2025</c:v>
                </c:pt>
                <c:pt idx="120">
                  <c:v>5/2/2025</c:v>
                </c:pt>
                <c:pt idx="121">
                  <c:v>5/3/2025</c:v>
                </c:pt>
                <c:pt idx="122">
                  <c:v>5/4/2025</c:v>
                </c:pt>
                <c:pt idx="123">
                  <c:v>5/5/2025</c:v>
                </c:pt>
                <c:pt idx="124">
                  <c:v>5/6/2025</c:v>
                </c:pt>
                <c:pt idx="125">
                  <c:v>5/7/2025</c:v>
                </c:pt>
                <c:pt idx="126">
                  <c:v>5/8/2025</c:v>
                </c:pt>
                <c:pt idx="127">
                  <c:v>5/9/2025</c:v>
                </c:pt>
                <c:pt idx="128">
                  <c:v>5/10/2025</c:v>
                </c:pt>
                <c:pt idx="129">
                  <c:v>5/11/2025</c:v>
                </c:pt>
                <c:pt idx="130">
                  <c:v>5/12/2025</c:v>
                </c:pt>
                <c:pt idx="131">
                  <c:v>5/13/2025</c:v>
                </c:pt>
                <c:pt idx="132">
                  <c:v>5/14/2025</c:v>
                </c:pt>
                <c:pt idx="133">
                  <c:v>5/15/2025</c:v>
                </c:pt>
                <c:pt idx="134">
                  <c:v>5/16/2025</c:v>
                </c:pt>
                <c:pt idx="135">
                  <c:v>5/17/2025</c:v>
                </c:pt>
                <c:pt idx="136">
                  <c:v>5/18/2025</c:v>
                </c:pt>
                <c:pt idx="137">
                  <c:v>5/19/2025</c:v>
                </c:pt>
                <c:pt idx="138">
                  <c:v>5/20/2025</c:v>
                </c:pt>
                <c:pt idx="139">
                  <c:v>5/21/2025</c:v>
                </c:pt>
                <c:pt idx="140">
                  <c:v>5/22/2025</c:v>
                </c:pt>
                <c:pt idx="141">
                  <c:v>5/23/2025</c:v>
                </c:pt>
                <c:pt idx="142">
                  <c:v>5/24/2025</c:v>
                </c:pt>
                <c:pt idx="143">
                  <c:v>5/25/2025</c:v>
                </c:pt>
                <c:pt idx="144">
                  <c:v>5/26/2025</c:v>
                </c:pt>
                <c:pt idx="145">
                  <c:v>5/27/2025</c:v>
                </c:pt>
                <c:pt idx="146">
                  <c:v>5/28/2025</c:v>
                </c:pt>
                <c:pt idx="147">
                  <c:v>5/29/2025</c:v>
                </c:pt>
                <c:pt idx="148">
                  <c:v>5/30/2025</c:v>
                </c:pt>
                <c:pt idx="149">
                  <c:v>5/31/2025</c:v>
                </c:pt>
                <c:pt idx="150">
                  <c:v>6/1/2025</c:v>
                </c:pt>
                <c:pt idx="151">
                  <c:v>6/2/2025</c:v>
                </c:pt>
                <c:pt idx="152">
                  <c:v>6/3/2025</c:v>
                </c:pt>
                <c:pt idx="153">
                  <c:v>6/4/2025</c:v>
                </c:pt>
                <c:pt idx="154">
                  <c:v>6/5/2025</c:v>
                </c:pt>
                <c:pt idx="155">
                  <c:v>6/6/2025</c:v>
                </c:pt>
                <c:pt idx="156">
                  <c:v>6/7/2025</c:v>
                </c:pt>
                <c:pt idx="157">
                  <c:v>6/8/2025</c:v>
                </c:pt>
                <c:pt idx="158">
                  <c:v>6/9/2025</c:v>
                </c:pt>
                <c:pt idx="159">
                  <c:v>6/10/2025</c:v>
                </c:pt>
                <c:pt idx="160">
                  <c:v>6/11/2025</c:v>
                </c:pt>
                <c:pt idx="161">
                  <c:v>6/12/2025</c:v>
                </c:pt>
                <c:pt idx="162">
                  <c:v>6/13/2025</c:v>
                </c:pt>
                <c:pt idx="163">
                  <c:v>6/14/2025</c:v>
                </c:pt>
                <c:pt idx="164">
                  <c:v>6/15/2025</c:v>
                </c:pt>
                <c:pt idx="165">
                  <c:v>6/16/2025</c:v>
                </c:pt>
                <c:pt idx="166">
                  <c:v>6/17/2025</c:v>
                </c:pt>
                <c:pt idx="167">
                  <c:v>6/18/2025</c:v>
                </c:pt>
                <c:pt idx="168">
                  <c:v>6/19/2025</c:v>
                </c:pt>
                <c:pt idx="169">
                  <c:v>6/20/2025</c:v>
                </c:pt>
                <c:pt idx="170">
                  <c:v>6/21/2025</c:v>
                </c:pt>
                <c:pt idx="171">
                  <c:v>6/22/2025</c:v>
                </c:pt>
                <c:pt idx="172">
                  <c:v>6/23/2025</c:v>
                </c:pt>
                <c:pt idx="173">
                  <c:v>6/24/2025</c:v>
                </c:pt>
                <c:pt idx="174">
                  <c:v>6/25/2025</c:v>
                </c:pt>
                <c:pt idx="175">
                  <c:v>6/26/2025</c:v>
                </c:pt>
                <c:pt idx="176">
                  <c:v>6/27/2025</c:v>
                </c:pt>
                <c:pt idx="177">
                  <c:v>6/28/2025</c:v>
                </c:pt>
                <c:pt idx="178">
                  <c:v>6/29/2025</c:v>
                </c:pt>
                <c:pt idx="179">
                  <c:v>6/30/2025</c:v>
                </c:pt>
                <c:pt idx="180">
                  <c:v>7/1/2025</c:v>
                </c:pt>
                <c:pt idx="181">
                  <c:v>7/2/2025</c:v>
                </c:pt>
                <c:pt idx="182">
                  <c:v>7/3/2025</c:v>
                </c:pt>
                <c:pt idx="183">
                  <c:v>7/4/2025</c:v>
                </c:pt>
                <c:pt idx="184">
                  <c:v>7/5/2025</c:v>
                </c:pt>
                <c:pt idx="185">
                  <c:v>7/6/2025</c:v>
                </c:pt>
                <c:pt idx="186">
                  <c:v>7/7/2025</c:v>
                </c:pt>
                <c:pt idx="187">
                  <c:v>7/8/2025</c:v>
                </c:pt>
                <c:pt idx="188">
                  <c:v>7/9/2025</c:v>
                </c:pt>
                <c:pt idx="189">
                  <c:v>7/10/2025</c:v>
                </c:pt>
                <c:pt idx="190">
                  <c:v>7/11/2025</c:v>
                </c:pt>
                <c:pt idx="191">
                  <c:v>7/12/2025</c:v>
                </c:pt>
                <c:pt idx="192">
                  <c:v>7/13/2025</c:v>
                </c:pt>
                <c:pt idx="193">
                  <c:v>7/14/2025</c:v>
                </c:pt>
                <c:pt idx="194">
                  <c:v>7/15/2025</c:v>
                </c:pt>
                <c:pt idx="195">
                  <c:v>7/16/2025</c:v>
                </c:pt>
                <c:pt idx="196">
                  <c:v>7/17/2025</c:v>
                </c:pt>
                <c:pt idx="197">
                  <c:v>7/18/2025</c:v>
                </c:pt>
                <c:pt idx="198">
                  <c:v>7/19/2025</c:v>
                </c:pt>
                <c:pt idx="199">
                  <c:v>7/20/2025</c:v>
                </c:pt>
                <c:pt idx="200">
                  <c:v>7/21/2025</c:v>
                </c:pt>
                <c:pt idx="201">
                  <c:v>7/22/2025</c:v>
                </c:pt>
                <c:pt idx="202">
                  <c:v>7/23/2025</c:v>
                </c:pt>
                <c:pt idx="203">
                  <c:v>7/24/2025</c:v>
                </c:pt>
                <c:pt idx="204">
                  <c:v>7/25/2025</c:v>
                </c:pt>
                <c:pt idx="205">
                  <c:v>7/26/2025</c:v>
                </c:pt>
                <c:pt idx="206">
                  <c:v>7/27/2025</c:v>
                </c:pt>
                <c:pt idx="207">
                  <c:v>7/28/2025</c:v>
                </c:pt>
                <c:pt idx="208">
                  <c:v>7/29/2025</c:v>
                </c:pt>
                <c:pt idx="209">
                  <c:v>7/30/2025</c:v>
                </c:pt>
                <c:pt idx="210">
                  <c:v>7/31/2025</c:v>
                </c:pt>
                <c:pt idx="211">
                  <c:v>8/1/2025</c:v>
                </c:pt>
                <c:pt idx="212">
                  <c:v>8/2/2025</c:v>
                </c:pt>
                <c:pt idx="213">
                  <c:v>8/3/2025</c:v>
                </c:pt>
                <c:pt idx="214">
                  <c:v>8/4/2025</c:v>
                </c:pt>
                <c:pt idx="215">
                  <c:v>8/5/2025</c:v>
                </c:pt>
                <c:pt idx="216">
                  <c:v>8/6/2025</c:v>
                </c:pt>
                <c:pt idx="217">
                  <c:v>8/7/2025</c:v>
                </c:pt>
                <c:pt idx="218">
                  <c:v>8/8/2025</c:v>
                </c:pt>
                <c:pt idx="219">
                  <c:v>8/9/2025</c:v>
                </c:pt>
                <c:pt idx="220">
                  <c:v>8/10/2025</c:v>
                </c:pt>
                <c:pt idx="221">
                  <c:v>8/11/2025</c:v>
                </c:pt>
                <c:pt idx="222">
                  <c:v>8/12/2025</c:v>
                </c:pt>
                <c:pt idx="223">
                  <c:v>8/13/2025</c:v>
                </c:pt>
                <c:pt idx="224">
                  <c:v>8/14/2025</c:v>
                </c:pt>
                <c:pt idx="225">
                  <c:v>8/15/2025</c:v>
                </c:pt>
                <c:pt idx="226">
                  <c:v>8/16/2025</c:v>
                </c:pt>
                <c:pt idx="227">
                  <c:v>8/17/2025</c:v>
                </c:pt>
                <c:pt idx="228">
                  <c:v>8/18/2025</c:v>
                </c:pt>
                <c:pt idx="229">
                  <c:v>8/19/2025</c:v>
                </c:pt>
                <c:pt idx="230">
                  <c:v>8/20/2025</c:v>
                </c:pt>
                <c:pt idx="231">
                  <c:v>8/21/2025</c:v>
                </c:pt>
                <c:pt idx="232">
                  <c:v>8/22/2025</c:v>
                </c:pt>
                <c:pt idx="233">
                  <c:v>8/23/2025</c:v>
                </c:pt>
                <c:pt idx="234">
                  <c:v>8/24/2025</c:v>
                </c:pt>
                <c:pt idx="235">
                  <c:v>8/25/2025</c:v>
                </c:pt>
                <c:pt idx="236">
                  <c:v>8/26/2025</c:v>
                </c:pt>
                <c:pt idx="237">
                  <c:v>8/27/2025</c:v>
                </c:pt>
                <c:pt idx="238">
                  <c:v>8/28/2025</c:v>
                </c:pt>
                <c:pt idx="239">
                  <c:v>8/29/2025</c:v>
                </c:pt>
                <c:pt idx="240">
                  <c:v>8/30/2025</c:v>
                </c:pt>
                <c:pt idx="241">
                  <c:v>8/31/2025</c:v>
                </c:pt>
                <c:pt idx="242">
                  <c:v>9/1/2025</c:v>
                </c:pt>
                <c:pt idx="243">
                  <c:v>9/2/2025</c:v>
                </c:pt>
                <c:pt idx="244">
                  <c:v>9/3/2025</c:v>
                </c:pt>
                <c:pt idx="245">
                  <c:v>9/4/2025</c:v>
                </c:pt>
                <c:pt idx="246">
                  <c:v>9/5/2025</c:v>
                </c:pt>
                <c:pt idx="247">
                  <c:v>9/6/2025</c:v>
                </c:pt>
                <c:pt idx="248">
                  <c:v>9/7/2025</c:v>
                </c:pt>
                <c:pt idx="249">
                  <c:v>9/8/2025</c:v>
                </c:pt>
                <c:pt idx="250">
                  <c:v>9/9/2025</c:v>
                </c:pt>
                <c:pt idx="251">
                  <c:v>9/10/2025</c:v>
                </c:pt>
                <c:pt idx="252">
                  <c:v>9/11/2025</c:v>
                </c:pt>
                <c:pt idx="253">
                  <c:v>9/12/2025</c:v>
                </c:pt>
                <c:pt idx="254">
                  <c:v>9/13/2025</c:v>
                </c:pt>
                <c:pt idx="255">
                  <c:v>9/14/2025</c:v>
                </c:pt>
                <c:pt idx="256">
                  <c:v>9/15/2025</c:v>
                </c:pt>
                <c:pt idx="257">
                  <c:v>9/16/2025</c:v>
                </c:pt>
                <c:pt idx="258">
                  <c:v>9/17/2025</c:v>
                </c:pt>
                <c:pt idx="259">
                  <c:v>9/18/2025</c:v>
                </c:pt>
                <c:pt idx="260">
                  <c:v>9/19/2025</c:v>
                </c:pt>
                <c:pt idx="261">
                  <c:v>9/20/2025</c:v>
                </c:pt>
                <c:pt idx="262">
                  <c:v>9/21/2025</c:v>
                </c:pt>
                <c:pt idx="263">
                  <c:v>9/22/2025</c:v>
                </c:pt>
                <c:pt idx="264">
                  <c:v>9/23/2025</c:v>
                </c:pt>
                <c:pt idx="265">
                  <c:v>9/24/2025</c:v>
                </c:pt>
                <c:pt idx="266">
                  <c:v>9/25/2025</c:v>
                </c:pt>
                <c:pt idx="267">
                  <c:v>9/26/2025</c:v>
                </c:pt>
                <c:pt idx="268">
                  <c:v>9/27/2025</c:v>
                </c:pt>
                <c:pt idx="269">
                  <c:v>9/28/2025</c:v>
                </c:pt>
                <c:pt idx="270">
                  <c:v>9/29/2025</c:v>
                </c:pt>
                <c:pt idx="271">
                  <c:v>9/30/2025</c:v>
                </c:pt>
                <c:pt idx="272">
                  <c:v>10/1/2025</c:v>
                </c:pt>
                <c:pt idx="273">
                  <c:v>10/2/2025</c:v>
                </c:pt>
                <c:pt idx="274">
                  <c:v>10/3/2025</c:v>
                </c:pt>
                <c:pt idx="275">
                  <c:v>10/4/2025</c:v>
                </c:pt>
                <c:pt idx="276">
                  <c:v>10/5/2025</c:v>
                </c:pt>
                <c:pt idx="277">
                  <c:v>10/6/2025</c:v>
                </c:pt>
                <c:pt idx="278">
                  <c:v>10/7/2025</c:v>
                </c:pt>
                <c:pt idx="279">
                  <c:v>10/8/2025</c:v>
                </c:pt>
                <c:pt idx="280">
                  <c:v>10/9/2025</c:v>
                </c:pt>
                <c:pt idx="281">
                  <c:v>10/10/2025</c:v>
                </c:pt>
                <c:pt idx="282">
                  <c:v>10/11/2025</c:v>
                </c:pt>
                <c:pt idx="283">
                  <c:v>10/12/2025</c:v>
                </c:pt>
                <c:pt idx="284">
                  <c:v>10/13/2025</c:v>
                </c:pt>
                <c:pt idx="285">
                  <c:v>10/14/2025</c:v>
                </c:pt>
                <c:pt idx="286">
                  <c:v>10/15/2025</c:v>
                </c:pt>
                <c:pt idx="287">
                  <c:v>10/16/2025</c:v>
                </c:pt>
                <c:pt idx="288">
                  <c:v>10/17/2025</c:v>
                </c:pt>
                <c:pt idx="289">
                  <c:v>10/18/2025</c:v>
                </c:pt>
                <c:pt idx="290">
                  <c:v>10/19/2025</c:v>
                </c:pt>
                <c:pt idx="291">
                  <c:v>10/20/2025</c:v>
                </c:pt>
                <c:pt idx="292">
                  <c:v>10/21/2025</c:v>
                </c:pt>
                <c:pt idx="293">
                  <c:v>10/22/2025</c:v>
                </c:pt>
                <c:pt idx="294">
                  <c:v>10/23/2025</c:v>
                </c:pt>
                <c:pt idx="295">
                  <c:v>10/24/2025</c:v>
                </c:pt>
                <c:pt idx="296">
                  <c:v>10/25/2025</c:v>
                </c:pt>
                <c:pt idx="297">
                  <c:v>10/26/2025</c:v>
                </c:pt>
                <c:pt idx="298">
                  <c:v>10/27/2025</c:v>
                </c:pt>
                <c:pt idx="299">
                  <c:v>10/28/2025</c:v>
                </c:pt>
                <c:pt idx="300">
                  <c:v>10/29/2025</c:v>
                </c:pt>
                <c:pt idx="301">
                  <c:v>10/30/2025</c:v>
                </c:pt>
                <c:pt idx="302">
                  <c:v>10/31/2025</c:v>
                </c:pt>
                <c:pt idx="303">
                  <c:v>11/1/2025</c:v>
                </c:pt>
                <c:pt idx="304">
                  <c:v>11/2/2025</c:v>
                </c:pt>
                <c:pt idx="305">
                  <c:v>11/3/2025</c:v>
                </c:pt>
                <c:pt idx="306">
                  <c:v>11/4/2025</c:v>
                </c:pt>
                <c:pt idx="307">
                  <c:v>11/5/2025</c:v>
                </c:pt>
                <c:pt idx="308">
                  <c:v>11/6/2025</c:v>
                </c:pt>
                <c:pt idx="309">
                  <c:v>11/7/2025</c:v>
                </c:pt>
                <c:pt idx="310">
                  <c:v>11/8/2025</c:v>
                </c:pt>
                <c:pt idx="311">
                  <c:v>11/9/2025</c:v>
                </c:pt>
                <c:pt idx="312">
                  <c:v>11/10/2025</c:v>
                </c:pt>
                <c:pt idx="313">
                  <c:v>11/11/2025</c:v>
                </c:pt>
                <c:pt idx="314">
                  <c:v>11/12/2025</c:v>
                </c:pt>
                <c:pt idx="315">
                  <c:v>11/13/2025</c:v>
                </c:pt>
                <c:pt idx="316">
                  <c:v>11/14/2025</c:v>
                </c:pt>
                <c:pt idx="317">
                  <c:v>11/15/2025</c:v>
                </c:pt>
                <c:pt idx="318">
                  <c:v>11/16/2025</c:v>
                </c:pt>
                <c:pt idx="319">
                  <c:v>11/17/2025</c:v>
                </c:pt>
                <c:pt idx="320">
                  <c:v>11/18/2025</c:v>
                </c:pt>
                <c:pt idx="321">
                  <c:v>11/19/2025</c:v>
                </c:pt>
                <c:pt idx="322">
                  <c:v>11/20/2025</c:v>
                </c:pt>
                <c:pt idx="323">
                  <c:v>11/21/2025</c:v>
                </c:pt>
                <c:pt idx="324">
                  <c:v>11/22/2025</c:v>
                </c:pt>
                <c:pt idx="325">
                  <c:v>11/23/2025</c:v>
                </c:pt>
                <c:pt idx="326">
                  <c:v>11/24/2025</c:v>
                </c:pt>
                <c:pt idx="327">
                  <c:v>11/25/2025</c:v>
                </c:pt>
                <c:pt idx="328">
                  <c:v>11/26/2025</c:v>
                </c:pt>
                <c:pt idx="329">
                  <c:v>11/27/2025</c:v>
                </c:pt>
                <c:pt idx="330">
                  <c:v>11/28/2025</c:v>
                </c:pt>
                <c:pt idx="331">
                  <c:v>11/29/2025</c:v>
                </c:pt>
                <c:pt idx="332">
                  <c:v>11/30/2025</c:v>
                </c:pt>
              </c:strCache>
            </c:strRef>
          </c:cat>
          <c:val>
            <c:numRef>
              <c:f>'FOR AP'!$C$2:$C$334</c:f>
              <c:numCache>
                <c:formatCode>General</c:formatCode>
                <c:ptCount val="333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2.4</c:v>
                </c:pt>
                <c:pt idx="17">
                  <c:v>2.4</c:v>
                </c:pt>
                <c:pt idx="18">
                  <c:v>2.4</c:v>
                </c:pt>
                <c:pt idx="19">
                  <c:v>2.4</c:v>
                </c:pt>
                <c:pt idx="20">
                  <c:v>2.4</c:v>
                </c:pt>
                <c:pt idx="21">
                  <c:v>2.4</c:v>
                </c:pt>
                <c:pt idx="22">
                  <c:v>2.4</c:v>
                </c:pt>
                <c:pt idx="23">
                  <c:v>2.4</c:v>
                </c:pt>
                <c:pt idx="24">
                  <c:v>2.4</c:v>
                </c:pt>
                <c:pt idx="25">
                  <c:v>2.4</c:v>
                </c:pt>
                <c:pt idx="26">
                  <c:v>2.4</c:v>
                </c:pt>
                <c:pt idx="27">
                  <c:v>2.4</c:v>
                </c:pt>
                <c:pt idx="28">
                  <c:v>2.4</c:v>
                </c:pt>
                <c:pt idx="29">
                  <c:v>2.4</c:v>
                </c:pt>
                <c:pt idx="30">
                  <c:v>2.4</c:v>
                </c:pt>
                <c:pt idx="31">
                  <c:v>2.4</c:v>
                </c:pt>
                <c:pt idx="32">
                  <c:v>2.4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3.8</c:v>
                </c:pt>
                <c:pt idx="44">
                  <c:v>3.8</c:v>
                </c:pt>
                <c:pt idx="45">
                  <c:v>3.8</c:v>
                </c:pt>
                <c:pt idx="46">
                  <c:v>3.8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3.8</c:v>
                </c:pt>
                <c:pt idx="51">
                  <c:v>3.8</c:v>
                </c:pt>
                <c:pt idx="52">
                  <c:v>3.8</c:v>
                </c:pt>
                <c:pt idx="53">
                  <c:v>3.8</c:v>
                </c:pt>
                <c:pt idx="54">
                  <c:v>3.8</c:v>
                </c:pt>
                <c:pt idx="55">
                  <c:v>3.8</c:v>
                </c:pt>
                <c:pt idx="56">
                  <c:v>3.8</c:v>
                </c:pt>
                <c:pt idx="57">
                  <c:v>3.8</c:v>
                </c:pt>
                <c:pt idx="58">
                  <c:v>3.8</c:v>
                </c:pt>
                <c:pt idx="59">
                  <c:v>3.8</c:v>
                </c:pt>
                <c:pt idx="60">
                  <c:v>3.8</c:v>
                </c:pt>
                <c:pt idx="61">
                  <c:v>8.6</c:v>
                </c:pt>
                <c:pt idx="62">
                  <c:v>8.6</c:v>
                </c:pt>
                <c:pt idx="63">
                  <c:v>8.6</c:v>
                </c:pt>
                <c:pt idx="64">
                  <c:v>8.6</c:v>
                </c:pt>
                <c:pt idx="65">
                  <c:v>8.6</c:v>
                </c:pt>
                <c:pt idx="66">
                  <c:v>8.6</c:v>
                </c:pt>
                <c:pt idx="67">
                  <c:v>8.6</c:v>
                </c:pt>
                <c:pt idx="68">
                  <c:v>8.6</c:v>
                </c:pt>
                <c:pt idx="69">
                  <c:v>9.8000000000000007</c:v>
                </c:pt>
                <c:pt idx="70">
                  <c:v>9.8000000000000007</c:v>
                </c:pt>
                <c:pt idx="71">
                  <c:v>9.8000000000000007</c:v>
                </c:pt>
                <c:pt idx="72">
                  <c:v>9.8000000000000007</c:v>
                </c:pt>
                <c:pt idx="73">
                  <c:v>9.8000000000000007</c:v>
                </c:pt>
                <c:pt idx="74">
                  <c:v>9.8000000000000007</c:v>
                </c:pt>
                <c:pt idx="75">
                  <c:v>9.8000000000000007</c:v>
                </c:pt>
                <c:pt idx="76">
                  <c:v>9.8000000000000007</c:v>
                </c:pt>
                <c:pt idx="77">
                  <c:v>9.8000000000000007</c:v>
                </c:pt>
                <c:pt idx="78">
                  <c:v>9.8000000000000007</c:v>
                </c:pt>
                <c:pt idx="79">
                  <c:v>9.8000000000000007</c:v>
                </c:pt>
                <c:pt idx="80">
                  <c:v>9.8000000000000007</c:v>
                </c:pt>
                <c:pt idx="81">
                  <c:v>9.8000000000000007</c:v>
                </c:pt>
                <c:pt idx="82">
                  <c:v>9.8000000000000007</c:v>
                </c:pt>
                <c:pt idx="83">
                  <c:v>9.8000000000000007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22.44</c:v>
                </c:pt>
                <c:pt idx="91">
                  <c:v>22.44</c:v>
                </c:pt>
                <c:pt idx="92">
                  <c:v>22.44</c:v>
                </c:pt>
                <c:pt idx="93">
                  <c:v>22.44</c:v>
                </c:pt>
                <c:pt idx="94">
                  <c:v>22.44</c:v>
                </c:pt>
                <c:pt idx="95">
                  <c:v>22.44</c:v>
                </c:pt>
                <c:pt idx="96">
                  <c:v>22.44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  <c:pt idx="101">
                  <c:v>27.99</c:v>
                </c:pt>
                <c:pt idx="102">
                  <c:v>27.99</c:v>
                </c:pt>
                <c:pt idx="103">
                  <c:v>27.99</c:v>
                </c:pt>
                <c:pt idx="104">
                  <c:v>27.99</c:v>
                </c:pt>
                <c:pt idx="105">
                  <c:v>27.99</c:v>
                </c:pt>
                <c:pt idx="106">
                  <c:v>27.99</c:v>
                </c:pt>
                <c:pt idx="107">
                  <c:v>27.99</c:v>
                </c:pt>
                <c:pt idx="108">
                  <c:v>27.99</c:v>
                </c:pt>
                <c:pt idx="109">
                  <c:v>27.99</c:v>
                </c:pt>
                <c:pt idx="110">
                  <c:v>27.99</c:v>
                </c:pt>
                <c:pt idx="111">
                  <c:v>27.99</c:v>
                </c:pt>
                <c:pt idx="112">
                  <c:v>27.99</c:v>
                </c:pt>
                <c:pt idx="113">
                  <c:v>27.99</c:v>
                </c:pt>
                <c:pt idx="114">
                  <c:v>27.99</c:v>
                </c:pt>
                <c:pt idx="115">
                  <c:v>27.99</c:v>
                </c:pt>
                <c:pt idx="116">
                  <c:v>27.99</c:v>
                </c:pt>
                <c:pt idx="117">
                  <c:v>27.99</c:v>
                </c:pt>
                <c:pt idx="118">
                  <c:v>27.99</c:v>
                </c:pt>
                <c:pt idx="119">
                  <c:v>27.99</c:v>
                </c:pt>
                <c:pt idx="120">
                  <c:v>27.99</c:v>
                </c:pt>
                <c:pt idx="121">
                  <c:v>27.99</c:v>
                </c:pt>
                <c:pt idx="122">
                  <c:v>27.99</c:v>
                </c:pt>
                <c:pt idx="123">
                  <c:v>27.99</c:v>
                </c:pt>
                <c:pt idx="124">
                  <c:v>27.99</c:v>
                </c:pt>
                <c:pt idx="125">
                  <c:v>27.99</c:v>
                </c:pt>
                <c:pt idx="126">
                  <c:v>27.62</c:v>
                </c:pt>
                <c:pt idx="127">
                  <c:v>27.62</c:v>
                </c:pt>
                <c:pt idx="128">
                  <c:v>27.62</c:v>
                </c:pt>
                <c:pt idx="129">
                  <c:v>27.62</c:v>
                </c:pt>
                <c:pt idx="130">
                  <c:v>17.829999999999998</c:v>
                </c:pt>
                <c:pt idx="131">
                  <c:v>17.829999999999998</c:v>
                </c:pt>
                <c:pt idx="132">
                  <c:v>17.829999999999998</c:v>
                </c:pt>
                <c:pt idx="133">
                  <c:v>17.829999999999998</c:v>
                </c:pt>
                <c:pt idx="134">
                  <c:v>17.829999999999998</c:v>
                </c:pt>
                <c:pt idx="135">
                  <c:v>17.829999999999998</c:v>
                </c:pt>
                <c:pt idx="136">
                  <c:v>17.829999999999998</c:v>
                </c:pt>
                <c:pt idx="137">
                  <c:v>17.829999999999998</c:v>
                </c:pt>
                <c:pt idx="138">
                  <c:v>17.829999999999998</c:v>
                </c:pt>
                <c:pt idx="139">
                  <c:v>17.829999999999998</c:v>
                </c:pt>
                <c:pt idx="140">
                  <c:v>17.829999999999998</c:v>
                </c:pt>
                <c:pt idx="141">
                  <c:v>21.87</c:v>
                </c:pt>
                <c:pt idx="142">
                  <c:v>21.87</c:v>
                </c:pt>
                <c:pt idx="143">
                  <c:v>17.829999999999998</c:v>
                </c:pt>
                <c:pt idx="144">
                  <c:v>17.829999999999998</c:v>
                </c:pt>
                <c:pt idx="145">
                  <c:v>17.829999999999998</c:v>
                </c:pt>
                <c:pt idx="146">
                  <c:v>17.829999999999998</c:v>
                </c:pt>
                <c:pt idx="147">
                  <c:v>6.94</c:v>
                </c:pt>
                <c:pt idx="148">
                  <c:v>14.4</c:v>
                </c:pt>
                <c:pt idx="149">
                  <c:v>15.6</c:v>
                </c:pt>
                <c:pt idx="150">
                  <c:v>15.6</c:v>
                </c:pt>
                <c:pt idx="151">
                  <c:v>15.6</c:v>
                </c:pt>
                <c:pt idx="152">
                  <c:v>15.6</c:v>
                </c:pt>
                <c:pt idx="153">
                  <c:v>15.6</c:v>
                </c:pt>
                <c:pt idx="154">
                  <c:v>15.6</c:v>
                </c:pt>
                <c:pt idx="155">
                  <c:v>15.6</c:v>
                </c:pt>
                <c:pt idx="156">
                  <c:v>15.6</c:v>
                </c:pt>
                <c:pt idx="157">
                  <c:v>15.6</c:v>
                </c:pt>
                <c:pt idx="158">
                  <c:v>15.6</c:v>
                </c:pt>
                <c:pt idx="159">
                  <c:v>15.6</c:v>
                </c:pt>
                <c:pt idx="160">
                  <c:v>15.6</c:v>
                </c:pt>
                <c:pt idx="161">
                  <c:v>15.6</c:v>
                </c:pt>
                <c:pt idx="162">
                  <c:v>15.6</c:v>
                </c:pt>
                <c:pt idx="163">
                  <c:v>15.6</c:v>
                </c:pt>
                <c:pt idx="164">
                  <c:v>15.6</c:v>
                </c:pt>
                <c:pt idx="165">
                  <c:v>15.6</c:v>
                </c:pt>
                <c:pt idx="166">
                  <c:v>15.6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15.8</c:v>
                </c:pt>
                <c:pt idx="173">
                  <c:v>15.8</c:v>
                </c:pt>
                <c:pt idx="174">
                  <c:v>15.8</c:v>
                </c:pt>
                <c:pt idx="175">
                  <c:v>15.8</c:v>
                </c:pt>
                <c:pt idx="176">
                  <c:v>15.8</c:v>
                </c:pt>
                <c:pt idx="177">
                  <c:v>15.8</c:v>
                </c:pt>
                <c:pt idx="178">
                  <c:v>15.8</c:v>
                </c:pt>
                <c:pt idx="179">
                  <c:v>15.8</c:v>
                </c:pt>
                <c:pt idx="180">
                  <c:v>15.8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16.600000000000001</c:v>
                </c:pt>
                <c:pt idx="184">
                  <c:v>16.600000000000001</c:v>
                </c:pt>
                <c:pt idx="185">
                  <c:v>16.600000000000001</c:v>
                </c:pt>
                <c:pt idx="186">
                  <c:v>16.600000000000001</c:v>
                </c:pt>
                <c:pt idx="187">
                  <c:v>16.600000000000001</c:v>
                </c:pt>
                <c:pt idx="188">
                  <c:v>16.600000000000001</c:v>
                </c:pt>
                <c:pt idx="189">
                  <c:v>16.600000000000001</c:v>
                </c:pt>
                <c:pt idx="190">
                  <c:v>16.600000000000001</c:v>
                </c:pt>
                <c:pt idx="191">
                  <c:v>16.600000000000001</c:v>
                </c:pt>
                <c:pt idx="192">
                  <c:v>16.600000000000001</c:v>
                </c:pt>
                <c:pt idx="193">
                  <c:v>16.600000000000001</c:v>
                </c:pt>
                <c:pt idx="194">
                  <c:v>16.600000000000001</c:v>
                </c:pt>
                <c:pt idx="195">
                  <c:v>16.600000000000001</c:v>
                </c:pt>
                <c:pt idx="196">
                  <c:v>16.600000000000001</c:v>
                </c:pt>
                <c:pt idx="197">
                  <c:v>16.600000000000001</c:v>
                </c:pt>
                <c:pt idx="198">
                  <c:v>16.600000000000001</c:v>
                </c:pt>
                <c:pt idx="199">
                  <c:v>16.600000000000001</c:v>
                </c:pt>
                <c:pt idx="200">
                  <c:v>16.600000000000001</c:v>
                </c:pt>
                <c:pt idx="201">
                  <c:v>16.600000000000001</c:v>
                </c:pt>
                <c:pt idx="202">
                  <c:v>16.600000000000001</c:v>
                </c:pt>
                <c:pt idx="203">
                  <c:v>16.600000000000001</c:v>
                </c:pt>
                <c:pt idx="204">
                  <c:v>16.600000000000001</c:v>
                </c:pt>
                <c:pt idx="205">
                  <c:v>16.600000000000001</c:v>
                </c:pt>
                <c:pt idx="206">
                  <c:v>16.600000000000001</c:v>
                </c:pt>
                <c:pt idx="207">
                  <c:v>16.600000000000001</c:v>
                </c:pt>
                <c:pt idx="208">
                  <c:v>16.600000000000001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16.600000000000001</c:v>
                </c:pt>
                <c:pt idx="212">
                  <c:v>16.600000000000001</c:v>
                </c:pt>
                <c:pt idx="213">
                  <c:v>16.600000000000001</c:v>
                </c:pt>
                <c:pt idx="214">
                  <c:v>16.600000000000001</c:v>
                </c:pt>
                <c:pt idx="215">
                  <c:v>16.600000000000001</c:v>
                </c:pt>
                <c:pt idx="216">
                  <c:v>16.600000000000001</c:v>
                </c:pt>
                <c:pt idx="217">
                  <c:v>18.600000000000001</c:v>
                </c:pt>
                <c:pt idx="218">
                  <c:v>18.600000000000001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18.600000000000001</c:v>
                </c:pt>
                <c:pt idx="222">
                  <c:v>18.600000000000001</c:v>
                </c:pt>
                <c:pt idx="223">
                  <c:v>18.600000000000001</c:v>
                </c:pt>
                <c:pt idx="224">
                  <c:v>18.600000000000001</c:v>
                </c:pt>
                <c:pt idx="225">
                  <c:v>18.600000000000001</c:v>
                </c:pt>
                <c:pt idx="226">
                  <c:v>18.600000000000001</c:v>
                </c:pt>
                <c:pt idx="227">
                  <c:v>18.600000000000001</c:v>
                </c:pt>
                <c:pt idx="228">
                  <c:v>18.600000000000001</c:v>
                </c:pt>
                <c:pt idx="229">
                  <c:v>18.600000000000001</c:v>
                </c:pt>
                <c:pt idx="230">
                  <c:v>18.600000000000001</c:v>
                </c:pt>
                <c:pt idx="231">
                  <c:v>18.600000000000001</c:v>
                </c:pt>
                <c:pt idx="232">
                  <c:v>18.600000000000001</c:v>
                </c:pt>
                <c:pt idx="233">
                  <c:v>18.600000000000001</c:v>
                </c:pt>
                <c:pt idx="234">
                  <c:v>18.600000000000001</c:v>
                </c:pt>
                <c:pt idx="235">
                  <c:v>18.600000000000001</c:v>
                </c:pt>
                <c:pt idx="236">
                  <c:v>18.600000000000001</c:v>
                </c:pt>
                <c:pt idx="237">
                  <c:v>18.600000000000001</c:v>
                </c:pt>
                <c:pt idx="238">
                  <c:v>18.600000000000001</c:v>
                </c:pt>
                <c:pt idx="239">
                  <c:v>18.600000000000001</c:v>
                </c:pt>
                <c:pt idx="240">
                  <c:v>18.600000000000001</c:v>
                </c:pt>
                <c:pt idx="241">
                  <c:v>18.600000000000001</c:v>
                </c:pt>
                <c:pt idx="242">
                  <c:v>18.600000000000001</c:v>
                </c:pt>
                <c:pt idx="243">
                  <c:v>18.600000000000001</c:v>
                </c:pt>
                <c:pt idx="244">
                  <c:v>17.399999999999999</c:v>
                </c:pt>
                <c:pt idx="245">
                  <c:v>17.399999999999999</c:v>
                </c:pt>
                <c:pt idx="246">
                  <c:v>17.399999999999999</c:v>
                </c:pt>
                <c:pt idx="247">
                  <c:v>17.399999999999999</c:v>
                </c:pt>
                <c:pt idx="248">
                  <c:v>17.399999999999999</c:v>
                </c:pt>
                <c:pt idx="249">
                  <c:v>17.399999999999999</c:v>
                </c:pt>
                <c:pt idx="250">
                  <c:v>17.399999999999999</c:v>
                </c:pt>
                <c:pt idx="251">
                  <c:v>17.399999999999999</c:v>
                </c:pt>
                <c:pt idx="252">
                  <c:v>17.399999999999999</c:v>
                </c:pt>
                <c:pt idx="253">
                  <c:v>17.399999999999999</c:v>
                </c:pt>
                <c:pt idx="254">
                  <c:v>17.399999999999999</c:v>
                </c:pt>
                <c:pt idx="255">
                  <c:v>17.399999999999999</c:v>
                </c:pt>
                <c:pt idx="256">
                  <c:v>17.399999999999999</c:v>
                </c:pt>
                <c:pt idx="257">
                  <c:v>17.399999999999999</c:v>
                </c:pt>
                <c:pt idx="258">
                  <c:v>17.399999999999999</c:v>
                </c:pt>
                <c:pt idx="259">
                  <c:v>17.399999999999999</c:v>
                </c:pt>
                <c:pt idx="260">
                  <c:v>17.399999999999999</c:v>
                </c:pt>
                <c:pt idx="261">
                  <c:v>17.399999999999999</c:v>
                </c:pt>
                <c:pt idx="262">
                  <c:v>17.399999999999999</c:v>
                </c:pt>
                <c:pt idx="263">
                  <c:v>17.399999999999999</c:v>
                </c:pt>
                <c:pt idx="264">
                  <c:v>17.399999999999999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17.399999999999999</c:v>
                </c:pt>
                <c:pt idx="277">
                  <c:v>17.399999999999999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 formatCode="0.0">
                  <c:v>19.084955336938378</c:v>
                </c:pt>
                <c:pt idx="289" formatCode="0.0">
                  <c:v>19.084955336938378</c:v>
                </c:pt>
                <c:pt idx="290" formatCode="0.0">
                  <c:v>19.084955336938378</c:v>
                </c:pt>
                <c:pt idx="291" formatCode="0.0">
                  <c:v>19.084955336938378</c:v>
                </c:pt>
                <c:pt idx="292" formatCode="0.0">
                  <c:v>19.084955336938378</c:v>
                </c:pt>
                <c:pt idx="293" formatCode="0.0">
                  <c:v>19.084955336938378</c:v>
                </c:pt>
                <c:pt idx="294" formatCode="0.0">
                  <c:v>19.084955336938378</c:v>
                </c:pt>
                <c:pt idx="295" formatCode="0.0">
                  <c:v>19.084955336938378</c:v>
                </c:pt>
                <c:pt idx="296" formatCode="0.0">
                  <c:v>19.084955336938378</c:v>
                </c:pt>
                <c:pt idx="297" formatCode="0.0">
                  <c:v>19.084955336938378</c:v>
                </c:pt>
                <c:pt idx="298" formatCode="0.0">
                  <c:v>19.084955336938378</c:v>
                </c:pt>
                <c:pt idx="299" formatCode="0.0">
                  <c:v>19.084955336938378</c:v>
                </c:pt>
                <c:pt idx="300" formatCode="0.0">
                  <c:v>19.084955336938378</c:v>
                </c:pt>
                <c:pt idx="301" formatCode="0.0">
                  <c:v>19.084955336938378</c:v>
                </c:pt>
                <c:pt idx="302" formatCode="0.0">
                  <c:v>17.084955336938378</c:v>
                </c:pt>
                <c:pt idx="303" formatCode="0.0">
                  <c:v>17.084955336938378</c:v>
                </c:pt>
                <c:pt idx="304" formatCode="0.0">
                  <c:v>17.084955336938378</c:v>
                </c:pt>
                <c:pt idx="305" formatCode="0.0">
                  <c:v>17.084955336938378</c:v>
                </c:pt>
                <c:pt idx="306" formatCode="0.0">
                  <c:v>17.084955336938378</c:v>
                </c:pt>
                <c:pt idx="307" formatCode="0.0">
                  <c:v>17.084955336938378</c:v>
                </c:pt>
                <c:pt idx="308" formatCode="0.0">
                  <c:v>17.084955336938378</c:v>
                </c:pt>
                <c:pt idx="309" formatCode="0.0">
                  <c:v>17.084955336938378</c:v>
                </c:pt>
                <c:pt idx="310" formatCode="0.0">
                  <c:v>17.084955336938378</c:v>
                </c:pt>
                <c:pt idx="311" formatCode="0.0">
                  <c:v>17.084955336938378</c:v>
                </c:pt>
                <c:pt idx="312" formatCode="0.0">
                  <c:v>17.084955336938378</c:v>
                </c:pt>
                <c:pt idx="313" formatCode="0.0">
                  <c:v>17.084955336938378</c:v>
                </c:pt>
                <c:pt idx="314" formatCode="0.0">
                  <c:v>17.084955336938378</c:v>
                </c:pt>
                <c:pt idx="315" formatCode="0.0">
                  <c:v>17.084955336938378</c:v>
                </c:pt>
                <c:pt idx="316" formatCode="0.0">
                  <c:v>16.804955336938377</c:v>
                </c:pt>
                <c:pt idx="317" formatCode="0.0">
                  <c:v>16.804955336938377</c:v>
                </c:pt>
                <c:pt idx="318" formatCode="0.0">
                  <c:v>16.804955336938377</c:v>
                </c:pt>
                <c:pt idx="319" formatCode="0.0">
                  <c:v>16.804955336938377</c:v>
                </c:pt>
                <c:pt idx="320" formatCode="0.0">
                  <c:v>16.804955336938377</c:v>
                </c:pt>
                <c:pt idx="321" formatCode="0.0">
                  <c:v>16.804955336938377</c:v>
                </c:pt>
                <c:pt idx="322" formatCode="0.0">
                  <c:v>16.804955336938377</c:v>
                </c:pt>
                <c:pt idx="323" formatCode="0.0">
                  <c:v>16.804955336938377</c:v>
                </c:pt>
                <c:pt idx="324" formatCode="0.0">
                  <c:v>16.804955336938377</c:v>
                </c:pt>
                <c:pt idx="325" formatCode="0.0">
                  <c:v>16.804955336938377</c:v>
                </c:pt>
                <c:pt idx="326" formatCode="0.0">
                  <c:v>16.804955336938377</c:v>
                </c:pt>
                <c:pt idx="327" formatCode="0.0">
                  <c:v>16.804955336938377</c:v>
                </c:pt>
                <c:pt idx="328" formatCode="0.0">
                  <c:v>16.804955336938377</c:v>
                </c:pt>
                <c:pt idx="329" formatCode="0.0">
                  <c:v>16.804955336938377</c:v>
                </c:pt>
                <c:pt idx="330" formatCode="0.0">
                  <c:v>16.804955336938377</c:v>
                </c:pt>
                <c:pt idx="331" formatCode="0.0">
                  <c:v>16.804955336938377</c:v>
                </c:pt>
                <c:pt idx="332" formatCode="0.0">
                  <c:v>16.804955336938377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BC-4178-9F85-0C0D47108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6164576"/>
        <c:axId val="1006159776"/>
      </c:lineChart>
      <c:catAx>
        <c:axId val="1006164576"/>
        <c:scaling>
          <c:orientation val="minMax"/>
          <c:min val="45658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 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006159776"/>
        <c:crosses val="autoZero"/>
        <c:auto val="1"/>
        <c:lblAlgn val="ctr"/>
        <c:lblOffset val="100"/>
        <c:tickLblSkip val="1"/>
        <c:noMultiLvlLbl val="1"/>
      </c:catAx>
      <c:valAx>
        <c:axId val="100615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006164576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89399459395931E-2"/>
          <c:y val="0.28608784760051831"/>
          <c:w val="0.73644247594050749"/>
          <c:h val="0.61209414763442538"/>
        </c:manualLayout>
      </c:layout>
      <c:lineChart>
        <c:grouping val="standard"/>
        <c:varyColors val="0"/>
        <c:ser>
          <c:idx val="0"/>
          <c:order val="0"/>
          <c:tx>
            <c:strRef>
              <c:f>'F3 GDP'!$B$2</c:f>
              <c:strCache>
                <c:ptCount val="1"/>
                <c:pt idx="0">
                  <c:v>All 2025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chemeClr val="accent1">
                            <a:lumMod val="100000"/>
                          </a:schemeClr>
                        </a:solidFill>
                        <a:latin typeface="Aptos" panose="020B0004020202020204" pitchFamily="34" charset="0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accent1">
                            <a:lumMod val="100000"/>
                          </a:schemeClr>
                        </a:solidFill>
                      </a:rPr>
                      <a:t>All 2025</a:t>
                    </a:r>
                    <a:r>
                      <a:rPr lang="en-US" b="1" baseline="0">
                        <a:solidFill>
                          <a:schemeClr val="accent1">
                            <a:lumMod val="100000"/>
                          </a:schemeClr>
                        </a:solidFill>
                      </a:rPr>
                      <a:t> Tariffs </a:t>
                    </a:r>
                  </a:p>
                  <a:p>
                    <a:pPr algn="l">
                      <a:defRPr b="1">
                        <a:solidFill>
                          <a:schemeClr val="accent1">
                            <a:lumMod val="100000"/>
                          </a:schemeClr>
                        </a:solidFill>
                      </a:defRPr>
                    </a:pPr>
                    <a:r>
                      <a:rPr lang="en-US" b="1" baseline="0">
                        <a:solidFill>
                          <a:schemeClr val="accent1">
                            <a:lumMod val="100000"/>
                          </a:schemeClr>
                        </a:solidFill>
                      </a:rPr>
                      <a:t>to Date</a:t>
                    </a:r>
                    <a:endParaRPr lang="en-US" b="1">
                      <a:solidFill>
                        <a:schemeClr val="accent1">
                          <a:lumMod val="10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chemeClr val="accent1">
                          <a:lumMod val="100000"/>
                        </a:schemeClr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115-4348-9D43-DA63D0C77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'F3 GDP'!$A$5:$A$48</c:f>
              <c:numCache>
                <c:formatCode>m/d/yyyy</c:formatCode>
                <c:ptCount val="44"/>
                <c:pt idx="0">
                  <c:v>45658</c:v>
                </c:pt>
                <c:pt idx="1">
                  <c:v>45748</c:v>
                </c:pt>
                <c:pt idx="2">
                  <c:v>45839</c:v>
                </c:pt>
                <c:pt idx="3">
                  <c:v>45931</c:v>
                </c:pt>
                <c:pt idx="4">
                  <c:v>46023</c:v>
                </c:pt>
                <c:pt idx="5">
                  <c:v>46113</c:v>
                </c:pt>
                <c:pt idx="6">
                  <c:v>46204</c:v>
                </c:pt>
                <c:pt idx="7">
                  <c:v>46296</c:v>
                </c:pt>
                <c:pt idx="8">
                  <c:v>46388</c:v>
                </c:pt>
                <c:pt idx="9">
                  <c:v>46478</c:v>
                </c:pt>
                <c:pt idx="10">
                  <c:v>46569</c:v>
                </c:pt>
                <c:pt idx="11">
                  <c:v>46661</c:v>
                </c:pt>
                <c:pt idx="12">
                  <c:v>46753</c:v>
                </c:pt>
                <c:pt idx="13">
                  <c:v>46844</c:v>
                </c:pt>
                <c:pt idx="14">
                  <c:v>46935</c:v>
                </c:pt>
                <c:pt idx="15">
                  <c:v>47027</c:v>
                </c:pt>
                <c:pt idx="16">
                  <c:v>47119</c:v>
                </c:pt>
                <c:pt idx="17">
                  <c:v>47209</c:v>
                </c:pt>
                <c:pt idx="18">
                  <c:v>47300</c:v>
                </c:pt>
                <c:pt idx="19">
                  <c:v>47392</c:v>
                </c:pt>
                <c:pt idx="20">
                  <c:v>47484</c:v>
                </c:pt>
                <c:pt idx="21">
                  <c:v>47574</c:v>
                </c:pt>
                <c:pt idx="22">
                  <c:v>47665</c:v>
                </c:pt>
                <c:pt idx="23">
                  <c:v>47757</c:v>
                </c:pt>
                <c:pt idx="24">
                  <c:v>47849</c:v>
                </c:pt>
                <c:pt idx="25">
                  <c:v>47939</c:v>
                </c:pt>
                <c:pt idx="26">
                  <c:v>48030</c:v>
                </c:pt>
                <c:pt idx="27">
                  <c:v>48122</c:v>
                </c:pt>
                <c:pt idx="28">
                  <c:v>48214</c:v>
                </c:pt>
                <c:pt idx="29">
                  <c:v>48305</c:v>
                </c:pt>
                <c:pt idx="30">
                  <c:v>48396</c:v>
                </c:pt>
                <c:pt idx="31">
                  <c:v>48488</c:v>
                </c:pt>
                <c:pt idx="32">
                  <c:v>48580</c:v>
                </c:pt>
                <c:pt idx="33">
                  <c:v>48670</c:v>
                </c:pt>
                <c:pt idx="34">
                  <c:v>48761</c:v>
                </c:pt>
                <c:pt idx="35">
                  <c:v>48853</c:v>
                </c:pt>
                <c:pt idx="36">
                  <c:v>48945</c:v>
                </c:pt>
                <c:pt idx="37">
                  <c:v>49035</c:v>
                </c:pt>
                <c:pt idx="38">
                  <c:v>49126</c:v>
                </c:pt>
                <c:pt idx="39">
                  <c:v>49218</c:v>
                </c:pt>
                <c:pt idx="40">
                  <c:v>49310</c:v>
                </c:pt>
                <c:pt idx="41">
                  <c:v>49400</c:v>
                </c:pt>
                <c:pt idx="42">
                  <c:v>49491</c:v>
                </c:pt>
                <c:pt idx="43">
                  <c:v>49583</c:v>
                </c:pt>
              </c:numCache>
            </c:numRef>
          </c:cat>
          <c:val>
            <c:numRef>
              <c:f>'F3 GDP'!$B$5:$B$48</c:f>
              <c:numCache>
                <c:formatCode>General</c:formatCode>
                <c:ptCount val="44"/>
                <c:pt idx="0">
                  <c:v>-6.8283372821276167E-3</c:v>
                </c:pt>
                <c:pt idx="1">
                  <c:v>-0.2485981662921799</c:v>
                </c:pt>
                <c:pt idx="2">
                  <c:v>-0.49258311779023511</c:v>
                </c:pt>
                <c:pt idx="3">
                  <c:v>-0.48826944787518922</c:v>
                </c:pt>
                <c:pt idx="4">
                  <c:v>-0.81451329264128347</c:v>
                </c:pt>
                <c:pt idx="5">
                  <c:v>-0.9713467809991827</c:v>
                </c:pt>
                <c:pt idx="6">
                  <c:v>-0.97616058057565791</c:v>
                </c:pt>
                <c:pt idx="7">
                  <c:v>-0.86583632024365142</c:v>
                </c:pt>
                <c:pt idx="8">
                  <c:v>-0.75948010347983708</c:v>
                </c:pt>
                <c:pt idx="9">
                  <c:v>-0.6852504620132982</c:v>
                </c:pt>
                <c:pt idx="10">
                  <c:v>-0.63767014511142417</c:v>
                </c:pt>
                <c:pt idx="11">
                  <c:v>-0.59909719591133559</c:v>
                </c:pt>
                <c:pt idx="12">
                  <c:v>-0.55292938939501823</c:v>
                </c:pt>
                <c:pt idx="13">
                  <c:v>-0.49900907813993367</c:v>
                </c:pt>
                <c:pt idx="14">
                  <c:v>-0.44625021274382615</c:v>
                </c:pt>
                <c:pt idx="15">
                  <c:v>-0.4066747618024058</c:v>
                </c:pt>
                <c:pt idx="16">
                  <c:v>-0.37274384722804088</c:v>
                </c:pt>
                <c:pt idx="17">
                  <c:v>-0.35195623273229781</c:v>
                </c:pt>
                <c:pt idx="18">
                  <c:v>-0.33756124062794823</c:v>
                </c:pt>
                <c:pt idx="19">
                  <c:v>-0.32735236663464784</c:v>
                </c:pt>
                <c:pt idx="20">
                  <c:v>-0.31659800369746582</c:v>
                </c:pt>
                <c:pt idx="21">
                  <c:v>-0.31</c:v>
                </c:pt>
                <c:pt idx="22">
                  <c:v>-0.31</c:v>
                </c:pt>
                <c:pt idx="23">
                  <c:v>-0.31</c:v>
                </c:pt>
                <c:pt idx="24">
                  <c:v>-0.31</c:v>
                </c:pt>
                <c:pt idx="25">
                  <c:v>-0.31</c:v>
                </c:pt>
                <c:pt idx="26">
                  <c:v>-0.31</c:v>
                </c:pt>
                <c:pt idx="27">
                  <c:v>-0.31</c:v>
                </c:pt>
                <c:pt idx="28">
                  <c:v>-0.31</c:v>
                </c:pt>
                <c:pt idx="29">
                  <c:v>-0.31</c:v>
                </c:pt>
                <c:pt idx="30">
                  <c:v>-0.31</c:v>
                </c:pt>
                <c:pt idx="31">
                  <c:v>-0.31</c:v>
                </c:pt>
                <c:pt idx="32">
                  <c:v>-0.31</c:v>
                </c:pt>
                <c:pt idx="33">
                  <c:v>-0.31</c:v>
                </c:pt>
                <c:pt idx="34">
                  <c:v>-0.31</c:v>
                </c:pt>
                <c:pt idx="35">
                  <c:v>-0.31</c:v>
                </c:pt>
                <c:pt idx="36">
                  <c:v>-0.31</c:v>
                </c:pt>
                <c:pt idx="37">
                  <c:v>-0.31</c:v>
                </c:pt>
                <c:pt idx="38">
                  <c:v>-0.31</c:v>
                </c:pt>
                <c:pt idx="39">
                  <c:v>-0.31</c:v>
                </c:pt>
                <c:pt idx="40">
                  <c:v>-0.31</c:v>
                </c:pt>
                <c:pt idx="41">
                  <c:v>-0.31</c:v>
                </c:pt>
                <c:pt idx="42">
                  <c:v>-0.31</c:v>
                </c:pt>
                <c:pt idx="43">
                  <c:v>-0.31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5-4348-9D43-DA63D0C77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6487840"/>
        <c:axId val="1826488320"/>
      </c:lineChart>
      <c:dateAx>
        <c:axId val="1826487840"/>
        <c:scaling>
          <c:orientation val="minMax"/>
        </c:scaling>
        <c:delete val="0"/>
        <c:axPos val="b"/>
        <c:numFmt formatCode="yyyy" sourceLinked="0"/>
        <c:majorTickMark val="in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826488320"/>
        <c:crosses val="autoZero"/>
        <c:auto val="1"/>
        <c:lblOffset val="100"/>
        <c:baseTimeUnit val="months"/>
        <c:majorUnit val="12"/>
        <c:majorTimeUnit val="months"/>
      </c:dateAx>
      <c:valAx>
        <c:axId val="18264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8264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 b="1"/>
              <a:t>Change in Long-Run</a:t>
            </a:r>
            <a:r>
              <a:rPr lang="en-US" b="1" baseline="0"/>
              <a:t> Real US </a:t>
            </a:r>
            <a:r>
              <a:rPr lang="en-US" b="1"/>
              <a:t>GDP by Sector from 2025</a:t>
            </a:r>
            <a:r>
              <a:rPr lang="en-US" b="1" baseline="0"/>
              <a:t> Tariffs  </a:t>
            </a:r>
          </a:p>
          <a:p>
            <a:pPr algn="l">
              <a:defRPr b="1"/>
            </a:pPr>
            <a:r>
              <a:rPr lang="en-US" sz="1100" b="0">
                <a:solidFill>
                  <a:schemeClr val="bg1">
                    <a:lumMod val="50000"/>
                  </a:schemeClr>
                </a:solidFill>
              </a:rPr>
              <a:t>Effect</a:t>
            </a:r>
            <a:r>
              <a:rPr lang="en-US" sz="1100" b="0" baseline="0">
                <a:solidFill>
                  <a:schemeClr val="bg1">
                    <a:lumMod val="50000"/>
                  </a:schemeClr>
                </a:solidFill>
              </a:rPr>
              <a:t> of a</a:t>
            </a:r>
            <a:r>
              <a:rPr lang="en-US" sz="1100" b="0">
                <a:solidFill>
                  <a:schemeClr val="bg1">
                    <a:lumMod val="50000"/>
                  </a:schemeClr>
                </a:solidFill>
              </a:rPr>
              <a:t>ll 2025 US tariffs through</a:t>
            </a:r>
            <a:r>
              <a:rPr lang="en-US" sz="1100" b="0" baseline="0">
                <a:solidFill>
                  <a:schemeClr val="bg1">
                    <a:lumMod val="50000"/>
                  </a:schemeClr>
                </a:solidFill>
              </a:rPr>
              <a:t> November 17</a:t>
            </a:r>
          </a:p>
          <a:p>
            <a:pPr algn="l">
              <a:defRPr b="1"/>
            </a:pPr>
            <a:r>
              <a:rPr lang="en-US" sz="1100" b="0" baseline="0">
                <a:solidFill>
                  <a:schemeClr val="bg1">
                    <a:lumMod val="50000"/>
                  </a:schemeClr>
                </a:solidFill>
              </a:rPr>
              <a:t>Percentage points</a:t>
            </a:r>
            <a:endParaRPr lang="en-US" sz="1100" b="0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7.7087920096473121E-4"/>
          <c:y val="1.54322114553743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3180227471565E-2"/>
          <c:y val="0.22995566171193987"/>
          <c:w val="0.90685385680956543"/>
          <c:h val="0.4804354565569085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156082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156082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68D-4518-A41E-F2118EA92B2A}"/>
              </c:ext>
            </c:extLst>
          </c:dPt>
          <c:dLbls>
            <c:dLbl>
              <c:idx val="1"/>
              <c:layout>
                <c:manualLayout>
                  <c:x val="-3.7129561551509951E-17"/>
                  <c:y val="4.260786228466212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7C-4000-BAC1-2006F2E9AD22}"/>
                </c:ext>
              </c:extLst>
            </c:dLbl>
            <c:dLbl>
              <c:idx val="2"/>
              <c:layout>
                <c:manualLayout>
                  <c:x val="-3.7129561551509951E-17"/>
                  <c:y val="-2.401198109631540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7C-4000-BAC1-2006F2E9AD22}"/>
                </c:ext>
              </c:extLst>
            </c:dLbl>
            <c:dLbl>
              <c:idx val="3"/>
              <c:layout>
                <c:manualLayout>
                  <c:x val="0"/>
                  <c:y val="-2.888793147513923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7C-4000-BAC1-2006F2E9AD22}"/>
                </c:ext>
              </c:extLst>
            </c:dLbl>
            <c:dLbl>
              <c:idx val="4"/>
              <c:layout>
                <c:manualLayout>
                  <c:x val="0"/>
                  <c:y val="-1.1670637573385328E-2"/>
                </c:manualLayout>
              </c:layout>
              <c:numFmt formatCode="\+0.0;\-0.0;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2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C9-44B3-AC66-493CEA4C646A}"/>
                </c:ext>
              </c:extLst>
            </c:dLbl>
            <c:dLbl>
              <c:idx val="6"/>
              <c:layout>
                <c:manualLayout>
                  <c:x val="-1.4784453897536812E-16"/>
                  <c:y val="-3.4404096006797127E-2"/>
                </c:manualLayout>
              </c:layout>
              <c:numFmt formatCode="\+0.0;\-0.0;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F7-4029-A4B5-F9DD58648B25}"/>
                </c:ext>
              </c:extLst>
            </c:dLbl>
            <c:dLbl>
              <c:idx val="8"/>
              <c:layout>
                <c:manualLayout>
                  <c:x val="0"/>
                  <c:y val="-2.551643886326288E-2"/>
                </c:manualLayout>
              </c:layout>
              <c:numFmt formatCode="\+0.0;\-0.0;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F7-4029-A4B5-F9DD58648B25}"/>
                </c:ext>
              </c:extLst>
            </c:dLbl>
            <c:dLbl>
              <c:idx val="9"/>
              <c:layout>
                <c:manualLayout>
                  <c:x val="0"/>
                  <c:y val="-3.9160066375769256E-2"/>
                </c:manualLayout>
              </c:layout>
              <c:numFmt formatCode="\+0.0;\-0.0;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8D-4518-A41E-F2118EA92B2A}"/>
                </c:ext>
              </c:extLst>
            </c:dLbl>
            <c:numFmt formatCode="\+0.0;\-0.0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'F4 US Sector Output'!$A$1:$A$10</c:f>
              <c:strCache>
                <c:ptCount val="10"/>
                <c:pt idx="0">
                  <c:v>Agriculture</c:v>
                </c:pt>
                <c:pt idx="1">
                  <c:v>Mining &amp; Extraction</c:v>
                </c:pt>
                <c:pt idx="2">
                  <c:v>Total Manufacturing</c:v>
                </c:pt>
                <c:pt idx="3">
                  <c:v>Durable Manufacturing</c:v>
                </c:pt>
                <c:pt idx="4">
                  <c:v>Advanced Manufacturing</c:v>
                </c:pt>
                <c:pt idx="5">
                  <c:v>Nondurable Manufacturing</c:v>
                </c:pt>
                <c:pt idx="6">
                  <c:v>Utilities</c:v>
                </c:pt>
                <c:pt idx="7">
                  <c:v>Construction</c:v>
                </c:pt>
                <c:pt idx="8">
                  <c:v>Services</c:v>
                </c:pt>
                <c:pt idx="9">
                  <c:v>Overall Real GDP</c:v>
                </c:pt>
              </c:strCache>
            </c:strRef>
          </c:cat>
          <c:val>
            <c:numRef>
              <c:f>'F4 US Sector Output'!$B$1:$B$10</c:f>
              <c:numCache>
                <c:formatCode>0.0</c:formatCode>
                <c:ptCount val="10"/>
                <c:pt idx="0">
                  <c:v>-1.3631424408279904</c:v>
                </c:pt>
                <c:pt idx="1">
                  <c:v>-2.0610277960768757</c:v>
                </c:pt>
                <c:pt idx="2">
                  <c:v>2.9417095662670643</c:v>
                </c:pt>
                <c:pt idx="3">
                  <c:v>4.9446875883670653</c:v>
                </c:pt>
                <c:pt idx="4">
                  <c:v>1.61</c:v>
                </c:pt>
                <c:pt idx="5">
                  <c:v>0.62684953503355501</c:v>
                </c:pt>
                <c:pt idx="6">
                  <c:v>0.38480899347707825</c:v>
                </c:pt>
                <c:pt idx="7">
                  <c:v>-4.1100000000000003</c:v>
                </c:pt>
                <c:pt idx="8">
                  <c:v>-0.19752116950961796</c:v>
                </c:pt>
                <c:pt idx="9">
                  <c:v>-0.31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4-4907-98BE-9E43B3FD7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90842896"/>
        <c:axId val="690844336"/>
      </c:barChart>
      <c:catAx>
        <c:axId val="69084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ysClr val="window" lastClr="FFFFFF">
                <a:lumMod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90844336"/>
        <c:crosses val="autoZero"/>
        <c:auto val="1"/>
        <c:lblAlgn val="ctr"/>
        <c:lblOffset val="100"/>
        <c:noMultiLvlLbl val="0"/>
      </c:catAx>
      <c:valAx>
        <c:axId val="690844336"/>
        <c:scaling>
          <c:orientation val="minMax"/>
          <c:min val="-5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95000"/>
                </a:sysClr>
              </a:solidFill>
              <a:round/>
            </a:ln>
            <a:effectLst/>
          </c:spPr>
        </c:majorGridlines>
        <c:numFmt formatCode="\+0.0;\-0.0;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9084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 b="1"/>
              <a:t>Long-Run Change</a:t>
            </a:r>
            <a:r>
              <a:rPr lang="en-US" b="1" baseline="0"/>
              <a:t> in Real GDP Level from 2025 Tariffs to Date</a:t>
            </a:r>
          </a:p>
          <a:p>
            <a:pPr algn="l">
              <a:defRPr b="1"/>
            </a:pPr>
            <a:r>
              <a:rPr lang="en-US" sz="1200" b="0">
                <a:solidFill>
                  <a:schemeClr val="bg1">
                    <a:lumMod val="50000"/>
                  </a:schemeClr>
                </a:solidFill>
              </a:rPr>
              <a:t>US tariffs</a:t>
            </a:r>
            <a:r>
              <a:rPr lang="en-US" sz="1200" b="0" baseline="0">
                <a:solidFill>
                  <a:schemeClr val="bg1">
                    <a:lumMod val="50000"/>
                  </a:schemeClr>
                </a:solidFill>
              </a:rPr>
              <a:t> implemented through November 17</a:t>
            </a:r>
            <a:endParaRPr lang="en-US" sz="1200" b="0">
              <a:solidFill>
                <a:schemeClr val="bg1">
                  <a:lumMod val="50000"/>
                </a:schemeClr>
              </a:solidFill>
            </a:endParaRPr>
          </a:p>
          <a:p>
            <a:pPr algn="l">
              <a:defRPr b="1"/>
            </a:pPr>
            <a:r>
              <a:rPr lang="en-US" sz="1200" b="0">
                <a:solidFill>
                  <a:schemeClr val="bg1">
                    <a:lumMod val="50000"/>
                  </a:schemeClr>
                </a:solidFill>
              </a:rPr>
              <a:t>Percentage</a:t>
            </a:r>
            <a:r>
              <a:rPr lang="en-US" sz="1200" b="0" baseline="0">
                <a:solidFill>
                  <a:schemeClr val="bg1">
                    <a:lumMod val="50000"/>
                  </a:schemeClr>
                </a:solidFill>
              </a:rPr>
              <a:t> point change</a:t>
            </a:r>
            <a:endParaRPr lang="en-US" sz="1200" b="0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4.3560140246627735E-4"/>
          <c:y val="1.543313549131635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798318267597453E-2"/>
          <c:y val="0.24426635805679806"/>
          <c:w val="0.90685385680956543"/>
          <c:h val="0.540114688442733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'F5 Foreign GDP'!$B$1</c:f>
              <c:strCache>
                <c:ptCount val="1"/>
                <c:pt idx="0">
                  <c:v>April 2 Only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3.596005391784617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D8-445F-AE3F-AA80F21E9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'F5 Foreign GDP'!$A$2:$A$12</c:f>
              <c:strCache>
                <c:ptCount val="11"/>
                <c:pt idx="0">
                  <c:v>USA</c:v>
                </c:pt>
                <c:pt idx="1">
                  <c:v>China</c:v>
                </c:pt>
                <c:pt idx="2">
                  <c:v>ROW</c:v>
                </c:pt>
                <c:pt idx="3">
                  <c:v>Canada</c:v>
                </c:pt>
                <c:pt idx="4">
                  <c:v>Mexico</c:v>
                </c:pt>
                <c:pt idx="5">
                  <c:v>FTROW</c:v>
                </c:pt>
                <c:pt idx="6">
                  <c:v>Japan</c:v>
                </c:pt>
                <c:pt idx="7">
                  <c:v>EU</c:v>
                </c:pt>
                <c:pt idx="8">
                  <c:v>UK</c:v>
                </c:pt>
                <c:pt idx="9">
                  <c:v>World Total
</c:v>
                </c:pt>
                <c:pt idx="10">
                  <c:v>World ex USA
</c:v>
                </c:pt>
              </c:strCache>
            </c:strRef>
          </c:cat>
          <c:val>
            <c:numRef>
              <c:f>'F5 Foreign GDP'!$B$2:$B$12</c:f>
              <c:numCache>
                <c:formatCode>0.00</c:formatCode>
                <c:ptCount val="11"/>
                <c:pt idx="0">
                  <c:v>-0.31</c:v>
                </c:pt>
                <c:pt idx="1">
                  <c:v>-0.23</c:v>
                </c:pt>
                <c:pt idx="2">
                  <c:v>0.01</c:v>
                </c:pt>
                <c:pt idx="3">
                  <c:v>-0.23</c:v>
                </c:pt>
                <c:pt idx="4">
                  <c:v>0.02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0.1</c:v>
                </c:pt>
                <c:pt idx="9">
                  <c:v>-9.6320414579975644E-2</c:v>
                </c:pt>
                <c:pt idx="10">
                  <c:v>-3.0550385627170495E-2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04-42F4-90F8-32A1C75D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842896"/>
        <c:axId val="690844336"/>
      </c:barChart>
      <c:catAx>
        <c:axId val="69084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lumMod val="95000"/>
                </a:sys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ysClr val="window" lastClr="FFFFFF">
                <a:lumMod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90844336"/>
        <c:crosses val="autoZero"/>
        <c:auto val="1"/>
        <c:lblAlgn val="ctr"/>
        <c:lblOffset val="100"/>
        <c:noMultiLvlLbl val="0"/>
      </c:catAx>
      <c:valAx>
        <c:axId val="6908443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95000"/>
                </a:sys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90842896"/>
        <c:crosses val="autoZero"/>
        <c:crossBetween val="between"/>
      </c:valAx>
      <c:spPr>
        <a:noFill/>
        <a:ln>
          <a:solidFill>
            <a:sysClr val="window" lastClr="FFFFFF">
              <a:lumMod val="50000"/>
            </a:sysClr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511592300962376E-2"/>
          <c:y val="0.21396807966621129"/>
          <c:w val="0.88593285214348205"/>
          <c:h val="0.66415205452259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'F6 Distribution (C)'!$A$23</c:f>
              <c:strCache>
                <c:ptCount val="1"/>
                <c:pt idx="0">
                  <c:v>No Retaliation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'F6 Distribution (C)'!$B$22:$K$22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'F6 Distribution (C)'!$B$23:$K$23</c:f>
              <c:numCache>
                <c:formatCode>"$"#,##0</c:formatCode>
                <c:ptCount val="10"/>
                <c:pt idx="0">
                  <c:v>-919.69769084434665</c:v>
                </c:pt>
                <c:pt idx="1">
                  <c:v>-913.39515031952703</c:v>
                </c:pt>
                <c:pt idx="2">
                  <c:v>-1076.1786120700083</c:v>
                </c:pt>
                <c:pt idx="3">
                  <c:v>-1113.5815841365345</c:v>
                </c:pt>
                <c:pt idx="4">
                  <c:v>-1338.0522565510453</c:v>
                </c:pt>
                <c:pt idx="5">
                  <c:v>-1520.3856841423328</c:v>
                </c:pt>
                <c:pt idx="6">
                  <c:v>-1702.8432594065621</c:v>
                </c:pt>
                <c:pt idx="7">
                  <c:v>-1966.7002872314306</c:v>
                </c:pt>
                <c:pt idx="8">
                  <c:v>-2285.7625748310688</c:v>
                </c:pt>
                <c:pt idx="9">
                  <c:v>-3871.2275175234181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F5-49F1-8510-3CE19A76B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20930272"/>
        <c:axId val="1520927872"/>
      </c:barChart>
      <c:catAx>
        <c:axId val="1520930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en-US" sz="1100" baseline="0"/>
                  <a:t>Constant 2025$ of Average Post-Tax-and-Transfer Income per Household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18919308018033831"/>
              <c:y val="0.11251792055404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20927872"/>
        <c:crosses val="autoZero"/>
        <c:auto val="1"/>
        <c:lblAlgn val="ctr"/>
        <c:lblOffset val="100"/>
        <c:noMultiLvlLbl val="0"/>
      </c:catAx>
      <c:valAx>
        <c:axId val="15209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2093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511551501958881E-2"/>
          <c:y val="0.28119499768411299"/>
          <c:w val="0.88593285214348205"/>
          <c:h val="0.66415205452259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'F6 Distribution (C)'!$A$18</c:f>
              <c:strCache>
                <c:ptCount val="1"/>
                <c:pt idx="0">
                  <c:v>All 2025 Tariffs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'F6 Distribution (C)'!$B$17:$K$17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'F6 Distribution (C)'!$B$18:$K$18</c:f>
              <c:numCache>
                <c:formatCode>0.0</c:formatCode>
                <c:ptCount val="10"/>
                <c:pt idx="0">
                  <c:v>-2.4459394453454606</c:v>
                </c:pt>
                <c:pt idx="1">
                  <c:v>-1.5096691904856405</c:v>
                </c:pt>
                <c:pt idx="2">
                  <c:v>-1.4569928273560624</c:v>
                </c:pt>
                <c:pt idx="3">
                  <c:v>-1.2936438751135959</c:v>
                </c:pt>
                <c:pt idx="4">
                  <c:v>-1.3254078655140413</c:v>
                </c:pt>
                <c:pt idx="5">
                  <c:v>-1.3063191629153881</c:v>
                </c:pt>
                <c:pt idx="6">
                  <c:v>-1.2447684644784811</c:v>
                </c:pt>
                <c:pt idx="7">
                  <c:v>-1.1999025577202835</c:v>
                </c:pt>
                <c:pt idx="8">
                  <c:v>-1.1005327858172853</c:v>
                </c:pt>
                <c:pt idx="9">
                  <c:v>-0.77402568021150353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CB8-A2F3-282AB4C2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20930272"/>
        <c:axId val="1520927872"/>
      </c:barChart>
      <c:catAx>
        <c:axId val="1520930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en-US" sz="1100"/>
                  <a:t>Percentage</a:t>
                </a:r>
                <a:r>
                  <a:rPr lang="en-US" sz="1100" baseline="0"/>
                  <a:t> Points of Post-Tax-and-Transfer Income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28881888175858422"/>
              <c:y val="0.17414257041399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20927872"/>
        <c:crosses val="autoZero"/>
        <c:auto val="1"/>
        <c:lblAlgn val="ctr"/>
        <c:lblOffset val="100"/>
        <c:noMultiLvlLbl val="0"/>
      </c:catAx>
      <c:valAx>
        <c:axId val="15209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2093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chemeClr val="bg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Commodity Price</a:t>
            </a:r>
            <a:r>
              <a:rPr lang="en-US" b="1" baseline="0">
                <a:solidFill>
                  <a:schemeClr val="bg1"/>
                </a:solidFill>
              </a:rPr>
              <a:t> Effects From Tariff Proposal	</a:t>
            </a:r>
            <a:endParaRPr lang="en-US" b="1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1.0431447160807723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bg1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43600513791909551"/>
          <c:y val="5.4040914405420075E-2"/>
          <c:w val="0.53097888702840867"/>
          <c:h val="0.9345227816364398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'F7 Products'!$C$4</c:f>
              <c:strCache>
                <c:ptCount val="1"/>
                <c:pt idx="0">
                  <c:v>Short Run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'F7 Products'!$B$5:$B$69</c:f>
              <c:strCache>
                <c:ptCount val="65"/>
                <c:pt idx="0">
                  <c:v>Leather products</c:v>
                </c:pt>
                <c:pt idx="1">
                  <c:v>Wearing apparel</c:v>
                </c:pt>
                <c:pt idx="2">
                  <c:v>Electrical equipment</c:v>
                </c:pt>
                <c:pt idx="3">
                  <c:v>Metal products</c:v>
                </c:pt>
                <c:pt idx="4">
                  <c:v>Computer, electronic and optic</c:v>
                </c:pt>
                <c:pt idx="5">
                  <c:v>Metals nec</c:v>
                </c:pt>
                <c:pt idx="6">
                  <c:v>Textiles</c:v>
                </c:pt>
                <c:pt idx="7">
                  <c:v>Motor vehicles and parts</c:v>
                </c:pt>
                <c:pt idx="8">
                  <c:v>Machinery and equipment nec</c:v>
                </c:pt>
                <c:pt idx="9">
                  <c:v>Transport equipment nec</c:v>
                </c:pt>
                <c:pt idx="10">
                  <c:v>Manufactures nec</c:v>
                </c:pt>
                <c:pt idx="11">
                  <c:v>Rubber and plastic products</c:v>
                </c:pt>
                <c:pt idx="12">
                  <c:v>Mineral products nec</c:v>
                </c:pt>
                <c:pt idx="13">
                  <c:v>Ferrous metals</c:v>
                </c:pt>
                <c:pt idx="14">
                  <c:v>Crops nec</c:v>
                </c:pt>
                <c:pt idx="15">
                  <c:v>Processed rice</c:v>
                </c:pt>
                <c:pt idx="16">
                  <c:v>Wood products</c:v>
                </c:pt>
                <c:pt idx="17">
                  <c:v>Chemical products</c:v>
                </c:pt>
                <c:pt idx="18">
                  <c:v>Fishing</c:v>
                </c:pt>
                <c:pt idx="19">
                  <c:v>Vegetable oils and fats</c:v>
                </c:pt>
                <c:pt idx="20">
                  <c:v>Beverages and tobacco products</c:v>
                </c:pt>
                <c:pt idx="21">
                  <c:v>Food products nec</c:v>
                </c:pt>
                <c:pt idx="22">
                  <c:v>Paddy rice</c:v>
                </c:pt>
                <c:pt idx="23">
                  <c:v>Paper products, publishing</c:v>
                </c:pt>
                <c:pt idx="24">
                  <c:v>Vegetables, fruit, nuts</c:v>
                </c:pt>
                <c:pt idx="25">
                  <c:v>Minerals nec</c:v>
                </c:pt>
                <c:pt idx="26">
                  <c:v>Forestry</c:v>
                </c:pt>
                <c:pt idx="27">
                  <c:v>Animal products nec</c:v>
                </c:pt>
                <c:pt idx="28">
                  <c:v>Oil</c:v>
                </c:pt>
                <c:pt idx="29">
                  <c:v>Sugar</c:v>
                </c:pt>
                <c:pt idx="30">
                  <c:v>Cereal grains nec</c:v>
                </c:pt>
                <c:pt idx="31">
                  <c:v>Dairy products</c:v>
                </c:pt>
                <c:pt idx="32">
                  <c:v>Basic pharmaceutical products</c:v>
                </c:pt>
                <c:pt idx="33">
                  <c:v>Petroleum, coal products</c:v>
                </c:pt>
                <c:pt idx="34">
                  <c:v>Meat products nec</c:v>
                </c:pt>
                <c:pt idx="35">
                  <c:v>Oil seeds</c:v>
                </c:pt>
                <c:pt idx="36">
                  <c:v>Wool, silk-worm cocoons</c:v>
                </c:pt>
                <c:pt idx="37">
                  <c:v>Bovine meat products</c:v>
                </c:pt>
                <c:pt idx="38">
                  <c:v>Plant-based fibers</c:v>
                </c:pt>
                <c:pt idx="39">
                  <c:v>Gas</c:v>
                </c:pt>
                <c:pt idx="40">
                  <c:v>Bovine cattle, sheep and goats</c:v>
                </c:pt>
                <c:pt idx="41">
                  <c:v>Sugar cane, sugar beet</c:v>
                </c:pt>
                <c:pt idx="42">
                  <c:v>Wheat</c:v>
                </c:pt>
                <c:pt idx="43">
                  <c:v>Coal</c:v>
                </c:pt>
                <c:pt idx="44">
                  <c:v>Electricity</c:v>
                </c:pt>
                <c:pt idx="45">
                  <c:v>Construction</c:v>
                </c:pt>
                <c:pt idx="46">
                  <c:v>Raw milk</c:v>
                </c:pt>
                <c:pt idx="47">
                  <c:v>Water</c:v>
                </c:pt>
                <c:pt idx="48">
                  <c:v>Gas manufacture, distribution</c:v>
                </c:pt>
                <c:pt idx="49">
                  <c:v>Air transport</c:v>
                </c:pt>
                <c:pt idx="50">
                  <c:v>Accommodation, Food and servic</c:v>
                </c:pt>
                <c:pt idx="51">
                  <c:v>Communication</c:v>
                </c:pt>
                <c:pt idx="52">
                  <c:v>Water transport</c:v>
                </c:pt>
                <c:pt idx="53">
                  <c:v>Financial services nec</c:v>
                </c:pt>
                <c:pt idx="54">
                  <c:v>Insurance</c:v>
                </c:pt>
                <c:pt idx="55">
                  <c:v>Business services nec</c:v>
                </c:pt>
                <c:pt idx="56">
                  <c:v>Transport nec</c:v>
                </c:pt>
                <c:pt idx="57">
                  <c:v>Warehousing and support activi</c:v>
                </c:pt>
                <c:pt idx="58">
                  <c:v>Recreational and other service</c:v>
                </c:pt>
                <c:pt idx="59">
                  <c:v>Human health and social work a</c:v>
                </c:pt>
                <c:pt idx="60">
                  <c:v>Public Administration and defe</c:v>
                </c:pt>
                <c:pt idx="61">
                  <c:v>Real estate activities</c:v>
                </c:pt>
                <c:pt idx="62">
                  <c:v>Trade</c:v>
                </c:pt>
                <c:pt idx="63">
                  <c:v>Dwellings</c:v>
                </c:pt>
                <c:pt idx="64">
                  <c:v>Education</c:v>
                </c:pt>
              </c:strCache>
            </c:strRef>
          </c:cat>
          <c:val>
            <c:numRef>
              <c:f>'F7 Products'!$C$5:$C$69</c:f>
              <c:numCache>
                <c:formatCode>0.0</c:formatCode>
                <c:ptCount val="65"/>
                <c:pt idx="0">
                  <c:v>21.793217985095975</c:v>
                </c:pt>
                <c:pt idx="1">
                  <c:v>20.984311739675501</c:v>
                </c:pt>
                <c:pt idx="2">
                  <c:v>18.245328954649175</c:v>
                </c:pt>
                <c:pt idx="3">
                  <c:v>18.053284549549328</c:v>
                </c:pt>
                <c:pt idx="4">
                  <c:v>16.953102865990971</c:v>
                </c:pt>
                <c:pt idx="5">
                  <c:v>16.624314505485472</c:v>
                </c:pt>
                <c:pt idx="6">
                  <c:v>13.675207482220213</c:v>
                </c:pt>
                <c:pt idx="7">
                  <c:v>12.619136558387074</c:v>
                </c:pt>
                <c:pt idx="8">
                  <c:v>10.886939238771516</c:v>
                </c:pt>
                <c:pt idx="9">
                  <c:v>7.7958424980757215</c:v>
                </c:pt>
                <c:pt idx="10">
                  <c:v>7.715266937715012</c:v>
                </c:pt>
                <c:pt idx="11">
                  <c:v>7.6785560139542373</c:v>
                </c:pt>
                <c:pt idx="12">
                  <c:v>7.6604727510117554</c:v>
                </c:pt>
                <c:pt idx="13">
                  <c:v>6.5948022711990415</c:v>
                </c:pt>
                <c:pt idx="14">
                  <c:v>4.4593631810323542</c:v>
                </c:pt>
                <c:pt idx="15">
                  <c:v>3.8857865061118742</c:v>
                </c:pt>
                <c:pt idx="16">
                  <c:v>2.8412724226955031</c:v>
                </c:pt>
                <c:pt idx="17">
                  <c:v>2.0539151083766614</c:v>
                </c:pt>
                <c:pt idx="18">
                  <c:v>2.031836355436722</c:v>
                </c:pt>
                <c:pt idx="19">
                  <c:v>1.8640431549203798</c:v>
                </c:pt>
                <c:pt idx="20">
                  <c:v>1.6113840562999007</c:v>
                </c:pt>
                <c:pt idx="21">
                  <c:v>1.5203589391093943</c:v>
                </c:pt>
                <c:pt idx="22">
                  <c:v>1.2893703639961673</c:v>
                </c:pt>
                <c:pt idx="23">
                  <c:v>1.2639839374636435</c:v>
                </c:pt>
                <c:pt idx="24">
                  <c:v>1.1888264955427279</c:v>
                </c:pt>
                <c:pt idx="25">
                  <c:v>1.0334035269097046</c:v>
                </c:pt>
                <c:pt idx="26">
                  <c:v>0.97505870914533144</c:v>
                </c:pt>
                <c:pt idx="27">
                  <c:v>0.65947758752105545</c:v>
                </c:pt>
                <c:pt idx="28">
                  <c:v>0.60777725404495586</c:v>
                </c:pt>
                <c:pt idx="29">
                  <c:v>0.54528374895404119</c:v>
                </c:pt>
                <c:pt idx="30">
                  <c:v>0.50442872875729805</c:v>
                </c:pt>
                <c:pt idx="31">
                  <c:v>0.36220989723621005</c:v>
                </c:pt>
                <c:pt idx="32">
                  <c:v>0.35489083539335409</c:v>
                </c:pt>
                <c:pt idx="33">
                  <c:v>0.21545017556949062</c:v>
                </c:pt>
                <c:pt idx="34">
                  <c:v>0.19784677786978452</c:v>
                </c:pt>
                <c:pt idx="35">
                  <c:v>0.16337034408855411</c:v>
                </c:pt>
                <c:pt idx="36">
                  <c:v>0.16264770518850705</c:v>
                </c:pt>
                <c:pt idx="37">
                  <c:v>0.12032213100068091</c:v>
                </c:pt>
                <c:pt idx="38">
                  <c:v>7.3020475128223614E-2</c:v>
                </c:pt>
                <c:pt idx="39">
                  <c:v>7.2860120153535199E-2</c:v>
                </c:pt>
                <c:pt idx="40">
                  <c:v>2.7734417591698708E-2</c:v>
                </c:pt>
                <c:pt idx="41">
                  <c:v>5.5104388221601536E-3</c:v>
                </c:pt>
                <c:pt idx="42">
                  <c:v>3.816926052234658E-3</c:v>
                </c:pt>
                <c:pt idx="43">
                  <c:v>1.9948799717618449E-4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2E-4F1D-810A-09E76A707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91280"/>
        <c:axId val="2398000"/>
      </c:barChart>
      <c:catAx>
        <c:axId val="23912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398000"/>
        <c:crosses val="autoZero"/>
        <c:auto val="1"/>
        <c:lblAlgn val="ctr"/>
        <c:lblOffset val="100"/>
        <c:noMultiLvlLbl val="0"/>
      </c:catAx>
      <c:valAx>
        <c:axId val="2398000"/>
        <c:scaling>
          <c:orientation val="minMax"/>
          <c:max val="90"/>
          <c:min val="-10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crossAx val="239128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Commodity Price</a:t>
            </a:r>
            <a:r>
              <a:rPr lang="en-US" b="1" baseline="0">
                <a:solidFill>
                  <a:schemeClr val="bg1"/>
                </a:solidFill>
              </a:rPr>
              <a:t> Effects From Tariff Proposal	</a:t>
            </a:r>
            <a:endParaRPr lang="en-US" b="1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1.0431447160807723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tx1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43600513791909551"/>
          <c:y val="5.4857407514796855E-2"/>
          <c:w val="0.53097888702840867"/>
          <c:h val="0.933706288527063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'F7 Products'!$D$4</c:f>
              <c:strCache>
                <c:ptCount val="1"/>
                <c:pt idx="0">
                  <c:v>Long-Run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'F7 Products'!$B$5:$B$69</c:f>
              <c:strCache>
                <c:ptCount val="65"/>
                <c:pt idx="0">
                  <c:v>Leather products</c:v>
                </c:pt>
                <c:pt idx="1">
                  <c:v>Wearing apparel</c:v>
                </c:pt>
                <c:pt idx="2">
                  <c:v>Electrical equipment</c:v>
                </c:pt>
                <c:pt idx="3">
                  <c:v>Metal products</c:v>
                </c:pt>
                <c:pt idx="4">
                  <c:v>Computer, electronic and optic</c:v>
                </c:pt>
                <c:pt idx="5">
                  <c:v>Metals nec</c:v>
                </c:pt>
                <c:pt idx="6">
                  <c:v>Textiles</c:v>
                </c:pt>
                <c:pt idx="7">
                  <c:v>Motor vehicles and parts</c:v>
                </c:pt>
                <c:pt idx="8">
                  <c:v>Machinery and equipment nec</c:v>
                </c:pt>
                <c:pt idx="9">
                  <c:v>Transport equipment nec</c:v>
                </c:pt>
                <c:pt idx="10">
                  <c:v>Manufactures nec</c:v>
                </c:pt>
                <c:pt idx="11">
                  <c:v>Rubber and plastic products</c:v>
                </c:pt>
                <c:pt idx="12">
                  <c:v>Mineral products nec</c:v>
                </c:pt>
                <c:pt idx="13">
                  <c:v>Ferrous metals</c:v>
                </c:pt>
                <c:pt idx="14">
                  <c:v>Crops nec</c:v>
                </c:pt>
                <c:pt idx="15">
                  <c:v>Processed rice</c:v>
                </c:pt>
                <c:pt idx="16">
                  <c:v>Wood products</c:v>
                </c:pt>
                <c:pt idx="17">
                  <c:v>Chemical products</c:v>
                </c:pt>
                <c:pt idx="18">
                  <c:v>Fishing</c:v>
                </c:pt>
                <c:pt idx="19">
                  <c:v>Vegetable oils and fats</c:v>
                </c:pt>
                <c:pt idx="20">
                  <c:v>Beverages and tobacco products</c:v>
                </c:pt>
                <c:pt idx="21">
                  <c:v>Food products nec</c:v>
                </c:pt>
                <c:pt idx="22">
                  <c:v>Paddy rice</c:v>
                </c:pt>
                <c:pt idx="23">
                  <c:v>Paper products, publishing</c:v>
                </c:pt>
                <c:pt idx="24">
                  <c:v>Vegetables, fruit, nuts</c:v>
                </c:pt>
                <c:pt idx="25">
                  <c:v>Minerals nec</c:v>
                </c:pt>
                <c:pt idx="26">
                  <c:v>Forestry</c:v>
                </c:pt>
                <c:pt idx="27">
                  <c:v>Animal products nec</c:v>
                </c:pt>
                <c:pt idx="28">
                  <c:v>Oil</c:v>
                </c:pt>
                <c:pt idx="29">
                  <c:v>Sugar</c:v>
                </c:pt>
                <c:pt idx="30">
                  <c:v>Cereal grains nec</c:v>
                </c:pt>
                <c:pt idx="31">
                  <c:v>Dairy products</c:v>
                </c:pt>
                <c:pt idx="32">
                  <c:v>Basic pharmaceutical products</c:v>
                </c:pt>
                <c:pt idx="33">
                  <c:v>Petroleum, coal products</c:v>
                </c:pt>
                <c:pt idx="34">
                  <c:v>Meat products nec</c:v>
                </c:pt>
                <c:pt idx="35">
                  <c:v>Oil seeds</c:v>
                </c:pt>
                <c:pt idx="36">
                  <c:v>Wool, silk-worm cocoons</c:v>
                </c:pt>
                <c:pt idx="37">
                  <c:v>Bovine meat products</c:v>
                </c:pt>
                <c:pt idx="38">
                  <c:v>Plant-based fibers</c:v>
                </c:pt>
                <c:pt idx="39">
                  <c:v>Gas</c:v>
                </c:pt>
                <c:pt idx="40">
                  <c:v>Bovine cattle, sheep and goats</c:v>
                </c:pt>
                <c:pt idx="41">
                  <c:v>Sugar cane, sugar beet</c:v>
                </c:pt>
                <c:pt idx="42">
                  <c:v>Wheat</c:v>
                </c:pt>
                <c:pt idx="43">
                  <c:v>Coal</c:v>
                </c:pt>
                <c:pt idx="44">
                  <c:v>Electricity</c:v>
                </c:pt>
                <c:pt idx="45">
                  <c:v>Construction</c:v>
                </c:pt>
                <c:pt idx="46">
                  <c:v>Raw milk</c:v>
                </c:pt>
                <c:pt idx="47">
                  <c:v>Water</c:v>
                </c:pt>
                <c:pt idx="48">
                  <c:v>Gas manufacture, distribution</c:v>
                </c:pt>
                <c:pt idx="49">
                  <c:v>Air transport</c:v>
                </c:pt>
                <c:pt idx="50">
                  <c:v>Accommodation, Food and servic</c:v>
                </c:pt>
                <c:pt idx="51">
                  <c:v>Communication</c:v>
                </c:pt>
                <c:pt idx="52">
                  <c:v>Water transport</c:v>
                </c:pt>
                <c:pt idx="53">
                  <c:v>Financial services nec</c:v>
                </c:pt>
                <c:pt idx="54">
                  <c:v>Insurance</c:v>
                </c:pt>
                <c:pt idx="55">
                  <c:v>Business services nec</c:v>
                </c:pt>
                <c:pt idx="56">
                  <c:v>Transport nec</c:v>
                </c:pt>
                <c:pt idx="57">
                  <c:v>Warehousing and support activi</c:v>
                </c:pt>
                <c:pt idx="58">
                  <c:v>Recreational and other service</c:v>
                </c:pt>
                <c:pt idx="59">
                  <c:v>Human health and social work a</c:v>
                </c:pt>
                <c:pt idx="60">
                  <c:v>Public Administration and defe</c:v>
                </c:pt>
                <c:pt idx="61">
                  <c:v>Real estate activities</c:v>
                </c:pt>
                <c:pt idx="62">
                  <c:v>Trade</c:v>
                </c:pt>
                <c:pt idx="63">
                  <c:v>Dwellings</c:v>
                </c:pt>
                <c:pt idx="64">
                  <c:v>Education</c:v>
                </c:pt>
              </c:strCache>
            </c:strRef>
          </c:cat>
          <c:val>
            <c:numRef>
              <c:f>'F7 Products'!$D$5:$D$69</c:f>
              <c:numCache>
                <c:formatCode>0.0</c:formatCode>
                <c:ptCount val="65"/>
                <c:pt idx="0">
                  <c:v>6.6763112198148882</c:v>
                </c:pt>
                <c:pt idx="1">
                  <c:v>6.5160104312794234</c:v>
                </c:pt>
                <c:pt idx="2">
                  <c:v>5.6625170436716799</c:v>
                </c:pt>
                <c:pt idx="3">
                  <c:v>5.0213138895298215</c:v>
                </c:pt>
                <c:pt idx="4">
                  <c:v>5.2942584754145319</c:v>
                </c:pt>
                <c:pt idx="5">
                  <c:v>5.2249392155073036</c:v>
                </c:pt>
                <c:pt idx="6">
                  <c:v>4.4450975415509886</c:v>
                </c:pt>
                <c:pt idx="7">
                  <c:v>5.2942584754145319</c:v>
                </c:pt>
                <c:pt idx="8">
                  <c:v>4.1461582332010689</c:v>
                </c:pt>
                <c:pt idx="9">
                  <c:v>3.3359893830353426</c:v>
                </c:pt>
                <c:pt idx="10">
                  <c:v>2.7727703962891166</c:v>
                </c:pt>
                <c:pt idx="11">
                  <c:v>2.7771028500333181</c:v>
                </c:pt>
                <c:pt idx="12">
                  <c:v>2.6038047002652482</c:v>
                </c:pt>
                <c:pt idx="13">
                  <c:v>2.9504009998013876</c:v>
                </c:pt>
                <c:pt idx="14">
                  <c:v>1.559683347912628</c:v>
                </c:pt>
                <c:pt idx="15">
                  <c:v>3.2580052156397117</c:v>
                </c:pt>
                <c:pt idx="16">
                  <c:v>1.6203377003314523</c:v>
                </c:pt>
                <c:pt idx="17">
                  <c:v>1.3257308457257337</c:v>
                </c:pt>
                <c:pt idx="18">
                  <c:v>1.3300632994699353</c:v>
                </c:pt>
                <c:pt idx="19">
                  <c:v>0.94014246249177846</c:v>
                </c:pt>
                <c:pt idx="20">
                  <c:v>1.473034273028593</c:v>
                </c:pt>
                <c:pt idx="21">
                  <c:v>1.1221055197482517</c:v>
                </c:pt>
                <c:pt idx="22">
                  <c:v>0.67153033035127041</c:v>
                </c:pt>
                <c:pt idx="23">
                  <c:v>1.1697625109344709</c:v>
                </c:pt>
                <c:pt idx="24">
                  <c:v>0.66719787660706853</c:v>
                </c:pt>
                <c:pt idx="25">
                  <c:v>0.43757782816437613</c:v>
                </c:pt>
                <c:pt idx="26">
                  <c:v>0.74518204400269994</c:v>
                </c:pt>
                <c:pt idx="27">
                  <c:v>0.54155671802521799</c:v>
                </c:pt>
                <c:pt idx="28">
                  <c:v>0.16463324227966628</c:v>
                </c:pt>
                <c:pt idx="29">
                  <c:v>0.94014246249177846</c:v>
                </c:pt>
                <c:pt idx="30">
                  <c:v>0.69752505281648081</c:v>
                </c:pt>
                <c:pt idx="31">
                  <c:v>0.89248547130555922</c:v>
                </c:pt>
                <c:pt idx="32">
                  <c:v>0.45057518939698143</c:v>
                </c:pt>
                <c:pt idx="33">
                  <c:v>0.24261740967529766</c:v>
                </c:pt>
                <c:pt idx="34">
                  <c:v>0.61087597793244586</c:v>
                </c:pt>
                <c:pt idx="35">
                  <c:v>0.12130870483764883</c:v>
                </c:pt>
                <c:pt idx="36">
                  <c:v>2.8594194711731511</c:v>
                </c:pt>
                <c:pt idx="37">
                  <c:v>0.57188389423463026</c:v>
                </c:pt>
                <c:pt idx="38">
                  <c:v>0.51122954181580582</c:v>
                </c:pt>
                <c:pt idx="39">
                  <c:v>0.34659629953613957</c:v>
                </c:pt>
                <c:pt idx="40">
                  <c:v>0.40725065195496396</c:v>
                </c:pt>
                <c:pt idx="41">
                  <c:v>2.1662268721008723E-2</c:v>
                </c:pt>
                <c:pt idx="42">
                  <c:v>0.48523481935059531</c:v>
                </c:pt>
                <c:pt idx="43">
                  <c:v>0.20362532597748198</c:v>
                </c:pt>
                <c:pt idx="44">
                  <c:v>0.51556199556000748</c:v>
                </c:pt>
                <c:pt idx="45">
                  <c:v>0.9358100087475768</c:v>
                </c:pt>
                <c:pt idx="46">
                  <c:v>0.68019523783967384</c:v>
                </c:pt>
                <c:pt idx="47">
                  <c:v>0.83616357263093666</c:v>
                </c:pt>
                <c:pt idx="48">
                  <c:v>0.56321898674622672</c:v>
                </c:pt>
                <c:pt idx="49">
                  <c:v>0.37259102200134997</c:v>
                </c:pt>
                <c:pt idx="50">
                  <c:v>0.58054880172303369</c:v>
                </c:pt>
                <c:pt idx="51">
                  <c:v>0.68019523783967384</c:v>
                </c:pt>
                <c:pt idx="52">
                  <c:v>0.58054880172303369</c:v>
                </c:pt>
                <c:pt idx="53">
                  <c:v>0.53722426428101622</c:v>
                </c:pt>
                <c:pt idx="54">
                  <c:v>0.49823218058320051</c:v>
                </c:pt>
                <c:pt idx="55">
                  <c:v>0.63687070039765636</c:v>
                </c:pt>
                <c:pt idx="56">
                  <c:v>0.593546162955639</c:v>
                </c:pt>
                <c:pt idx="57">
                  <c:v>0.79717148893312095</c:v>
                </c:pt>
                <c:pt idx="58">
                  <c:v>0.62820579290925282</c:v>
                </c:pt>
                <c:pt idx="59">
                  <c:v>0.66286542286286687</c:v>
                </c:pt>
                <c:pt idx="60">
                  <c:v>0.67153033035127041</c:v>
                </c:pt>
                <c:pt idx="61">
                  <c:v>0.57188389423463026</c:v>
                </c:pt>
                <c:pt idx="62">
                  <c:v>0.63253824665345459</c:v>
                </c:pt>
                <c:pt idx="63">
                  <c:v>0.52422690304841102</c:v>
                </c:pt>
                <c:pt idx="64">
                  <c:v>0.56755144049042849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71-4A11-A14D-BC978DF38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391280"/>
        <c:axId val="2398000"/>
      </c:barChart>
      <c:catAx>
        <c:axId val="23912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398000"/>
        <c:crosses val="autoZero"/>
        <c:auto val="1"/>
        <c:lblAlgn val="ctr"/>
        <c:lblOffset val="100"/>
        <c:noMultiLvlLbl val="0"/>
      </c:catAx>
      <c:valAx>
        <c:axId val="2398000"/>
        <c:scaling>
          <c:orientation val="minMax"/>
          <c:max val="90"/>
          <c:min val="-10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crossAx val="239128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89399459395931E-2"/>
          <c:y val="0.28608784760051831"/>
          <c:w val="0.73644247594050749"/>
          <c:h val="0.61209414763442538"/>
        </c:manualLayout>
      </c:layout>
      <c:lineChart>
        <c:grouping val="standard"/>
        <c:varyColors val="0"/>
        <c:ser>
          <c:idx val="0"/>
          <c:order val="0"/>
          <c:tx>
            <c:strRef>
              <c:f>'F4 GDP (Crowd-In)'!$B$1</c:f>
              <c:strCache>
                <c:ptCount val="1"/>
                <c:pt idx="0">
                  <c:v>All 2025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chemeClr val="accent1">
                            <a:lumMod val="100000"/>
                          </a:schemeClr>
                        </a:solidFill>
                        <a:latin typeface="Aptos" panose="020B0004020202020204" pitchFamily="34" charset="0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accent1">
                            <a:lumMod val="100000"/>
                          </a:schemeClr>
                        </a:solidFill>
                      </a:rPr>
                      <a:t>All 2025</a:t>
                    </a:r>
                    <a:r>
                      <a:rPr lang="en-US" b="1" baseline="0">
                        <a:solidFill>
                          <a:schemeClr val="accent1">
                            <a:lumMod val="100000"/>
                          </a:schemeClr>
                        </a:solidFill>
                      </a:rPr>
                      <a:t> Tariffs </a:t>
                    </a:r>
                  </a:p>
                  <a:p>
                    <a:pPr algn="l">
                      <a:defRPr b="1">
                        <a:solidFill>
                          <a:schemeClr val="accent1">
                            <a:lumMod val="100000"/>
                          </a:schemeClr>
                        </a:solidFill>
                      </a:defRPr>
                    </a:pPr>
                    <a:r>
                      <a:rPr lang="en-US" b="1" baseline="0">
                        <a:solidFill>
                          <a:schemeClr val="accent1">
                            <a:lumMod val="100000"/>
                          </a:schemeClr>
                        </a:solidFill>
                      </a:rPr>
                      <a:t>to Date</a:t>
                    </a:r>
                    <a:endParaRPr lang="en-US" b="1">
                      <a:solidFill>
                        <a:schemeClr val="accent1">
                          <a:lumMod val="10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chemeClr val="accent1">
                          <a:lumMod val="100000"/>
                        </a:schemeClr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8BC-455F-B513-32FF9A70F3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'F4 GDP (Crowd-In)'!$A$4:$A$47</c:f>
              <c:numCache>
                <c:formatCode>m/d/yyyy</c:formatCode>
                <c:ptCount val="44"/>
                <c:pt idx="0">
                  <c:v>45658</c:v>
                </c:pt>
                <c:pt idx="1">
                  <c:v>45748</c:v>
                </c:pt>
                <c:pt idx="2">
                  <c:v>45839</c:v>
                </c:pt>
                <c:pt idx="3">
                  <c:v>45931</c:v>
                </c:pt>
                <c:pt idx="4">
                  <c:v>46023</c:v>
                </c:pt>
                <c:pt idx="5">
                  <c:v>46113</c:v>
                </c:pt>
                <c:pt idx="6">
                  <c:v>46204</c:v>
                </c:pt>
                <c:pt idx="7">
                  <c:v>46296</c:v>
                </c:pt>
                <c:pt idx="8">
                  <c:v>46388</c:v>
                </c:pt>
                <c:pt idx="9">
                  <c:v>46478</c:v>
                </c:pt>
                <c:pt idx="10">
                  <c:v>46569</c:v>
                </c:pt>
                <c:pt idx="11">
                  <c:v>46661</c:v>
                </c:pt>
                <c:pt idx="12">
                  <c:v>46753</c:v>
                </c:pt>
                <c:pt idx="13">
                  <c:v>46844</c:v>
                </c:pt>
                <c:pt idx="14">
                  <c:v>46935</c:v>
                </c:pt>
                <c:pt idx="15">
                  <c:v>47027</c:v>
                </c:pt>
                <c:pt idx="16">
                  <c:v>47119</c:v>
                </c:pt>
                <c:pt idx="17">
                  <c:v>47209</c:v>
                </c:pt>
                <c:pt idx="18">
                  <c:v>47300</c:v>
                </c:pt>
                <c:pt idx="19">
                  <c:v>47392</c:v>
                </c:pt>
                <c:pt idx="20">
                  <c:v>47484</c:v>
                </c:pt>
                <c:pt idx="21">
                  <c:v>47574</c:v>
                </c:pt>
                <c:pt idx="22">
                  <c:v>47665</c:v>
                </c:pt>
                <c:pt idx="23">
                  <c:v>47757</c:v>
                </c:pt>
                <c:pt idx="24">
                  <c:v>47849</c:v>
                </c:pt>
                <c:pt idx="25">
                  <c:v>47939</c:v>
                </c:pt>
                <c:pt idx="26">
                  <c:v>48030</c:v>
                </c:pt>
                <c:pt idx="27">
                  <c:v>48122</c:v>
                </c:pt>
                <c:pt idx="28">
                  <c:v>48214</c:v>
                </c:pt>
                <c:pt idx="29">
                  <c:v>48305</c:v>
                </c:pt>
                <c:pt idx="30">
                  <c:v>48396</c:v>
                </c:pt>
                <c:pt idx="31">
                  <c:v>48488</c:v>
                </c:pt>
                <c:pt idx="32">
                  <c:v>48580</c:v>
                </c:pt>
                <c:pt idx="33">
                  <c:v>48670</c:v>
                </c:pt>
                <c:pt idx="34">
                  <c:v>48761</c:v>
                </c:pt>
                <c:pt idx="35">
                  <c:v>48853</c:v>
                </c:pt>
                <c:pt idx="36">
                  <c:v>48945</c:v>
                </c:pt>
                <c:pt idx="37">
                  <c:v>49035</c:v>
                </c:pt>
                <c:pt idx="38">
                  <c:v>49126</c:v>
                </c:pt>
                <c:pt idx="39">
                  <c:v>49218</c:v>
                </c:pt>
                <c:pt idx="40">
                  <c:v>49310</c:v>
                </c:pt>
                <c:pt idx="41">
                  <c:v>49400</c:v>
                </c:pt>
                <c:pt idx="42">
                  <c:v>49491</c:v>
                </c:pt>
                <c:pt idx="43">
                  <c:v>49583</c:v>
                </c:pt>
              </c:numCache>
            </c:numRef>
          </c:cat>
          <c:val>
            <c:numRef>
              <c:f>'F4 GDP (Crowd-In)'!$B$4:$B$47</c:f>
              <c:numCache>
                <c:formatCode>General</c:formatCode>
                <c:ptCount val="44"/>
                <c:pt idx="0">
                  <c:v>-2.8023272025112789E-5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BC-455F-B513-32FF9A70F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6487840"/>
        <c:axId val="1826488320"/>
      </c:lineChart>
      <c:dateAx>
        <c:axId val="1826487840"/>
        <c:scaling>
          <c:orientation val="minMax"/>
        </c:scaling>
        <c:delete val="0"/>
        <c:axPos val="b"/>
        <c:numFmt formatCode="yyyy" sourceLinked="0"/>
        <c:majorTickMark val="in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826488320"/>
        <c:crosses val="autoZero"/>
        <c:auto val="1"/>
        <c:lblOffset val="100"/>
        <c:baseTimeUnit val="months"/>
        <c:majorUnit val="12"/>
        <c:majorTimeUnit val="months"/>
      </c:dateAx>
      <c:valAx>
        <c:axId val="18264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8264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849873310810806E-2"/>
          <c:y val="0.28119499768411299"/>
          <c:w val="0.89359450410231656"/>
          <c:h val="0.613731886455369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 Shares'!$A$31</c:f>
              <c:strCache>
                <c:ptCount val="1"/>
                <c:pt idx="0">
                  <c:v>Share of Total 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 Shares'!$B$17:$K$17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'C Shares'!$B$31:$K$31</c:f>
              <c:numCache>
                <c:formatCode>0%</c:formatCode>
                <c:ptCount val="10"/>
                <c:pt idx="0">
                  <c:v>0.15105530844950593</c:v>
                </c:pt>
                <c:pt idx="1">
                  <c:v>0.15488558353484755</c:v>
                </c:pt>
                <c:pt idx="2">
                  <c:v>0.1517306857019935</c:v>
                </c:pt>
                <c:pt idx="3">
                  <c:v>0.14991406055830064</c:v>
                </c:pt>
                <c:pt idx="4">
                  <c:v>0.14753338266597113</c:v>
                </c:pt>
                <c:pt idx="5">
                  <c:v>0.14859051170862311</c:v>
                </c:pt>
                <c:pt idx="6">
                  <c:v>0.14971399747321193</c:v>
                </c:pt>
                <c:pt idx="7">
                  <c:v>0.14492780864585456</c:v>
                </c:pt>
                <c:pt idx="8">
                  <c:v>0.13907816328175976</c:v>
                </c:pt>
                <c:pt idx="9">
                  <c:v>0.12811052450523516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A-4596-8506-F5B6D4AAF6A3}"/>
            </c:ext>
          </c:extLst>
        </c:ser>
        <c:ser>
          <c:idx val="1"/>
          <c:order val="1"/>
          <c:tx>
            <c:strRef>
              <c:f>'C Shares'!$A$32</c:f>
              <c:strCache>
                <c:ptCount val="1"/>
                <c:pt idx="0">
                  <c:v>Share of Post-Tax &amp; Transfer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 Shares'!$B$17:$K$17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'C Shares'!$B$32:$K$32</c:f>
              <c:numCache>
                <c:formatCode>0%</c:formatCode>
                <c:ptCount val="10"/>
                <c:pt idx="0">
                  <c:v>0.256490582812477</c:v>
                </c:pt>
                <c:pt idx="1">
                  <c:v>0.18613576795264816</c:v>
                </c:pt>
                <c:pt idx="2">
                  <c:v>0.19322757580324845</c:v>
                </c:pt>
                <c:pt idx="3">
                  <c:v>0.18410428747087354</c:v>
                </c:pt>
                <c:pt idx="4">
                  <c:v>0.18225378511834325</c:v>
                </c:pt>
                <c:pt idx="5">
                  <c:v>0.18274323613102783</c:v>
                </c:pt>
                <c:pt idx="6">
                  <c:v>0.17836768476194545</c:v>
                </c:pt>
                <c:pt idx="7">
                  <c:v>0.17240669948829848</c:v>
                </c:pt>
                <c:pt idx="8">
                  <c:v>0.16240659351968331</c:v>
                </c:pt>
                <c:pt idx="9">
                  <c:v>9.4532602936172216E-2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DA-4596-8506-F5B6D4AAF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20930272"/>
        <c:axId val="1520927872"/>
      </c:barChart>
      <c:catAx>
        <c:axId val="1520930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en-US" sz="1100"/>
                  <a:t>Household</a:t>
                </a:r>
                <a:r>
                  <a:rPr lang="en-US" sz="1100" baseline="0"/>
                  <a:t> Income Decile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39225159869691112"/>
              <c:y val="0.17414257041399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20927872"/>
        <c:crosses val="autoZero"/>
        <c:auto val="1"/>
        <c:lblAlgn val="ctr"/>
        <c:lblOffset val="100"/>
        <c:noMultiLvlLbl val="0"/>
      </c:catAx>
      <c:valAx>
        <c:axId val="15209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2093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46736245173743"/>
          <c:y val="0.33788482322062685"/>
          <c:w val="0.40907004102316602"/>
          <c:h val="0.11255563642779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218436</xdr:colOff>
      <xdr:row>228</xdr:row>
      <xdr:rowOff>147871</xdr:rowOff>
    </xdr:from>
    <xdr:to>
      <xdr:col>15</xdr:col>
      <xdr:colOff>153445</xdr:colOff>
      <xdr:row>254</xdr:row>
      <xdr:rowOff>45560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A8BE97-4A6D-4ADC-83BD-055EAD4EF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0.8402</cdr:y>
    </cdr:from>
    <cdr:to>
      <cdr:x>1</cdr:x>
      <cdr:y>0.99491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A243EB-81D7-FEAF-763B-AE341F3CCA3B}"/>
            </a:ext>
          </a:extLst>
        </cdr:cNvPr>
        <cdr:cNvSpPr txBox="1"/>
      </cdr:nvSpPr>
      <cdr:spPr>
        <a:xfrm xmlns:a="http://schemas.openxmlformats.org/drawingml/2006/main">
          <a:off x="0" y="3445475"/>
          <a:ext cx="5915355" cy="6344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05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  <a:p xmlns:a="http://schemas.openxmlformats.org/drawingml/2006/main">
          <a:r>
            <a:rPr lang="en-US" sz="105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 Historical Statistics of the United</a:t>
          </a:r>
          <a:r>
            <a:rPr lang="en-US" sz="105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States Ea424-434, Monthly Treasury Statement, Bureau of  Economic Analysis, The Budget Lab analysis.</a:t>
          </a:r>
          <a:endParaRPr lang="en-US" sz="105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0.50449</cdr:x>
      <cdr:y>0.53771</cdr:y>
    </cdr:from>
    <cdr:to>
      <cdr:x>0.94416</cdr:x>
      <cdr:y>0.71425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9FD7DC06-9594-57BC-D06B-EE3C2EC44497}"/>
            </a:ext>
          </a:extLst>
        </cdr:cNvPr>
        <cdr:cNvSpPr txBox="1"/>
      </cdr:nvSpPr>
      <cdr:spPr>
        <a:xfrm xmlns:a="http://schemas.openxmlformats.org/drawingml/2006/main">
          <a:off x="2911421" y="2264304"/>
          <a:ext cx="2537368" cy="7434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US" sz="900" b="0" i="0">
              <a:solidFill>
                <a:schemeClr val="accent2"/>
              </a:solidFill>
              <a:latin typeface="Aptos" panose="020B0004020202020204" pitchFamily="34" charset="0"/>
            </a:rPr>
            <a:t>Current</a:t>
          </a:r>
          <a:r>
            <a:rPr lang="en-US" sz="900" b="0" i="0" baseline="0">
              <a:solidFill>
                <a:schemeClr val="accent2"/>
              </a:solidFill>
              <a:latin typeface="Aptos" panose="020B0004020202020204" pitchFamily="34" charset="0"/>
            </a:rPr>
            <a:t> Pre-Substitution Rate,</a:t>
          </a:r>
        </a:p>
        <a:p xmlns:a="http://schemas.openxmlformats.org/drawingml/2006/main">
          <a:pPr algn="r"/>
          <a:r>
            <a:rPr lang="en-US" sz="900" b="0" i="0" baseline="0">
              <a:solidFill>
                <a:schemeClr val="accent2"/>
              </a:solidFill>
              <a:latin typeface="Aptos" panose="020B0004020202020204" pitchFamily="34" charset="0"/>
            </a:rPr>
            <a:t>as of November 17</a:t>
          </a:r>
          <a:endParaRPr lang="en-US" sz="900" b="0" i="0">
            <a:solidFill>
              <a:schemeClr val="accent2"/>
            </a:solidFill>
            <a:latin typeface="Aptos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0.51845</cdr:x>
      <cdr:y>0.65209</cdr:y>
    </cdr:from>
    <cdr:to>
      <cdr:x>0.95586</cdr:x>
      <cdr:y>0.79607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E06B5BA3-6ABF-704A-3850-B01F4D868786}"/>
            </a:ext>
          </a:extLst>
        </cdr:cNvPr>
        <cdr:cNvSpPr txBox="1"/>
      </cdr:nvSpPr>
      <cdr:spPr>
        <a:xfrm xmlns:a="http://schemas.openxmlformats.org/drawingml/2006/main">
          <a:off x="2992013" y="2745934"/>
          <a:ext cx="2524325" cy="606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US" sz="900" b="0" i="0">
              <a:solidFill>
                <a:schemeClr val="accent1"/>
              </a:solidFill>
              <a:latin typeface="Aptos" panose="020B0004020202020204" pitchFamily="34" charset="0"/>
            </a:rPr>
            <a:t>Current</a:t>
          </a:r>
          <a:r>
            <a:rPr lang="en-US" sz="900" b="0" i="0" baseline="0">
              <a:solidFill>
                <a:schemeClr val="accent1"/>
              </a:solidFill>
              <a:latin typeface="Aptos" panose="020B0004020202020204" pitchFamily="34" charset="0"/>
            </a:rPr>
            <a:t> Post-Substitution Rate, </a:t>
          </a:r>
        </a:p>
        <a:p xmlns:a="http://schemas.openxmlformats.org/drawingml/2006/main">
          <a:pPr algn="r"/>
          <a:r>
            <a:rPr lang="en-US" sz="900" b="0" i="0" baseline="0">
              <a:solidFill>
                <a:schemeClr val="accent1"/>
              </a:solidFill>
              <a:latin typeface="Aptos" panose="020B0004020202020204" pitchFamily="34" charset="0"/>
            </a:rPr>
            <a:t>as of November 17</a:t>
          </a:r>
          <a:endParaRPr lang="en-US" sz="900" b="0" i="0">
            <a:solidFill>
              <a:schemeClr val="accent1"/>
            </a:solidFill>
            <a:latin typeface="Aptos" panose="020B000402020202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312922</xdr:colOff>
      <xdr:row>186</xdr:row>
      <xdr:rowOff>11223</xdr:rowOff>
    </xdr:from>
    <xdr:to>
      <xdr:col>20</xdr:col>
      <xdr:colOff>476397</xdr:colOff>
      <xdr:row>211</xdr:row>
      <xdr:rowOff>125523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2D208F-CBF0-4EF2-B8F0-A84711AF4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0.88689</cdr:y>
    </cdr:from>
    <cdr:to>
      <cdr:x>1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B550344-7B04-97E4-75B7-DBD40EC4D8EF}"/>
            </a:ext>
          </a:extLst>
        </cdr:cNvPr>
        <cdr:cNvSpPr txBox="1"/>
      </cdr:nvSpPr>
      <cdr:spPr>
        <a:xfrm xmlns:a="http://schemas.openxmlformats.org/drawingml/2006/main">
          <a:off x="0" y="4082735"/>
          <a:ext cx="5874657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5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</a:t>
          </a:r>
          <a:r>
            <a:rPr lang="en-US" sz="95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</a:t>
          </a:r>
          <a:r>
            <a:rPr lang="en-US" sz="95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The Budget Lab analysis.</a:t>
          </a:r>
          <a:br>
            <a:rPr lang="en-US" sz="95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</a:br>
          <a:r>
            <a:rPr lang="en-US" sz="95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Note:</a:t>
          </a:r>
          <a:r>
            <a:rPr lang="en-US" sz="95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The jump in mid-October reflects a mix of policy changes and modeling changes for how the ETR is calculated.</a:t>
          </a:r>
          <a:endParaRPr lang="en-US" sz="95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312922</xdr:colOff>
      <xdr:row>186</xdr:row>
      <xdr:rowOff>11223</xdr:rowOff>
    </xdr:from>
    <xdr:to>
      <xdr:col>20</xdr:col>
      <xdr:colOff>476397</xdr:colOff>
      <xdr:row>211</xdr:row>
      <xdr:rowOff>125523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1FEF1C-67F5-427A-9584-C4D181464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0.88689</cdr:y>
    </cdr:from>
    <cdr:to>
      <cdr:x>1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B550344-7B04-97E4-75B7-DBD40EC4D8EF}"/>
            </a:ext>
          </a:extLst>
        </cdr:cNvPr>
        <cdr:cNvSpPr txBox="1"/>
      </cdr:nvSpPr>
      <cdr:spPr>
        <a:xfrm xmlns:a="http://schemas.openxmlformats.org/drawingml/2006/main">
          <a:off x="0" y="4082735"/>
          <a:ext cx="5874657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5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</a:t>
          </a:r>
          <a:r>
            <a:rPr lang="en-US" sz="95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</a:t>
          </a:r>
          <a:r>
            <a:rPr lang="en-US" sz="95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The Budget Lab analysis.</a:t>
          </a:r>
          <a:br>
            <a:rPr lang="en-US" sz="95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</a:br>
          <a:r>
            <a:rPr lang="en-US" sz="95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Note:</a:t>
          </a:r>
          <a:r>
            <a:rPr lang="en-US" sz="95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The jump in mid-October reflects a mix of policy changes and modeling changes for how the ETR is calculated.</a:t>
          </a:r>
          <a:endParaRPr lang="en-US" sz="95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694764</xdr:colOff>
      <xdr:row>32</xdr:row>
      <xdr:rowOff>16252</xdr:rowOff>
    </xdr:from>
    <xdr:to>
      <xdr:col>35</xdr:col>
      <xdr:colOff>446373</xdr:colOff>
      <xdr:row>56</xdr:row>
      <xdr:rowOff>129603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DE3892-DFE9-8CC2-7520-FFD8EA30B1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0.99204</cdr:x>
      <cdr:y>0.30726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BB13A46-DB66-9DE4-C23E-EFA2C6CBFA54}"/>
            </a:ext>
          </a:extLst>
        </cdr:cNvPr>
        <cdr:cNvSpPr txBox="1"/>
      </cdr:nvSpPr>
      <cdr:spPr>
        <a:xfrm xmlns:a="http://schemas.openxmlformats.org/drawingml/2006/main">
          <a:off x="0" y="0"/>
          <a:ext cx="5396137" cy="12242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kern="1200">
              <a:solidFill>
                <a:sysClr val="windowText" lastClr="000000"/>
              </a:solidFill>
              <a:latin typeface="Aptos" panose="020B0004020202020204" pitchFamily="34" charset="0"/>
            </a:rPr>
            <a:t>US Real GDP</a:t>
          </a:r>
          <a:r>
            <a:rPr lang="en-US" sz="1400" b="1" kern="1200" baseline="0">
              <a:solidFill>
                <a:sysClr val="windowText" lastClr="000000"/>
              </a:solidFill>
              <a:latin typeface="Aptos" panose="020B0004020202020204" pitchFamily="34" charset="0"/>
            </a:rPr>
            <a:t> Level Effects of 2025 Tariffs to Date</a:t>
          </a:r>
        </a:p>
        <a:p xmlns:a="http://schemas.openxmlformats.org/drawingml/2006/main">
          <a:r>
            <a:rPr lang="en-US" sz="1200" b="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US tariffs implemented</a:t>
          </a:r>
          <a:r>
            <a:rPr lang="en-US" sz="1200" b="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</a:t>
          </a:r>
          <a:r>
            <a:rPr lang="en-US" sz="1200" b="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through</a:t>
          </a:r>
          <a:r>
            <a:rPr lang="en-US" sz="1200" b="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November 17</a:t>
          </a:r>
        </a:p>
        <a:p xmlns:a="http://schemas.openxmlformats.org/drawingml/2006/main">
          <a:r>
            <a:rPr lang="en-US" sz="1200" b="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Percentage point change against baseline</a:t>
          </a:r>
          <a:endParaRPr lang="en-US" sz="1200" b="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0.00796</cdr:x>
      <cdr:y>0.94363</cdr:y>
    </cdr:from>
    <cdr:to>
      <cdr:x>1</cdr:x>
      <cdr:y>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693B3A7-569D-D209-C863-64B61FB745C1}"/>
            </a:ext>
          </a:extLst>
        </cdr:cNvPr>
        <cdr:cNvSpPr txBox="1"/>
      </cdr:nvSpPr>
      <cdr:spPr>
        <a:xfrm xmlns:a="http://schemas.openxmlformats.org/drawingml/2006/main">
          <a:off x="43673" y="3882861"/>
          <a:ext cx="5442727" cy="231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 S&amp;P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Global</a:t>
          </a:r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,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</a:t>
          </a:r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GTAP v7,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GTAP-RD, The Budget Lab analysis.</a:t>
          </a:r>
          <a:endParaRPr lang="en-US" sz="110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493006</xdr:colOff>
      <xdr:row>12</xdr:row>
      <xdr:rowOff>107107</xdr:rowOff>
    </xdr:from>
    <xdr:to>
      <xdr:col>13</xdr:col>
      <xdr:colOff>553631</xdr:colOff>
      <xdr:row>36</xdr:row>
      <xdr:rowOff>27785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D75F94-FFE9-C601-7BC7-07D059DE6A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0.22917</cdr:x>
      <cdr:y>0.36921</cdr:y>
    </cdr:from>
    <cdr:to>
      <cdr:x>0.76215</cdr:x>
      <cdr:y>0.54282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EF598CF-15B6-D0DF-1327-91BDAE4F4334}"/>
            </a:ext>
          </a:extLst>
        </cdr:cNvPr>
        <cdr:cNvSpPr txBox="1"/>
      </cdr:nvSpPr>
      <cdr:spPr>
        <a:xfrm xmlns:a="http://schemas.openxmlformats.org/drawingml/2006/main">
          <a:off x="1257300" y="1519238"/>
          <a:ext cx="2924175" cy="714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</cdr:x>
      <cdr:y>0.89364</cdr:y>
    </cdr:from>
    <cdr:to>
      <cdr:x>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30BA7D9-2184-997F-8939-F886F5F6DA64}"/>
            </a:ext>
          </a:extLst>
        </cdr:cNvPr>
        <cdr:cNvSpPr txBox="1"/>
      </cdr:nvSpPr>
      <cdr:spPr>
        <a:xfrm xmlns:a="http://schemas.openxmlformats.org/drawingml/2006/main">
          <a:off x="0" y="4069237"/>
          <a:ext cx="6284683" cy="4843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Real value-added by sector.</a:t>
          </a:r>
        </a:p>
        <a:p xmlns:a="http://schemas.openxmlformats.org/drawingml/2006/main"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 GTAP v7,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The Budget Lab analysis. </a:t>
          </a:r>
          <a:endParaRPr lang="en-US" sz="110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0.33891</cdr:x>
      <cdr:y>0.23028</cdr:y>
    </cdr:from>
    <cdr:to>
      <cdr:x>0.62015</cdr:x>
      <cdr:y>0.71012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E603F12D-6309-E08B-7920-D488A2DF7AAB}"/>
            </a:ext>
          </a:extLst>
        </cdr:cNvPr>
        <cdr:cNvSpPr/>
      </cdr:nvSpPr>
      <cdr:spPr>
        <a:xfrm xmlns:a="http://schemas.openxmlformats.org/drawingml/2006/main">
          <a:off x="2129707" y="1041570"/>
          <a:ext cx="1767284" cy="2170345"/>
        </a:xfrm>
        <a:prstGeom xmlns:a="http://schemas.openxmlformats.org/drawingml/2006/main" prst="rect">
          <a:avLst/>
        </a:prstGeom>
        <a:solidFill xmlns:a="http://schemas.openxmlformats.org/drawingml/2006/main">
          <a:srgbClr val="156082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8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MANUFACTURING</a:t>
          </a:r>
        </a:p>
        <a:p xmlns:a="http://schemas.openxmlformats.org/drawingml/2006/main">
          <a:pPr algn="ctr"/>
          <a:r>
            <a:rPr lang="en-US" sz="8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DETAIL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541725</xdr:colOff>
      <xdr:row>13</xdr:row>
      <xdr:rowOff>19237</xdr:rowOff>
    </xdr:from>
    <xdr:to>
      <xdr:col>17</xdr:col>
      <xdr:colOff>538965</xdr:colOff>
      <xdr:row>36</xdr:row>
      <xdr:rowOff>137842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83CDD3-4457-4D61-A061-2F137ADE9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0.22917</cdr:x>
      <cdr:y>0.36921</cdr:y>
    </cdr:from>
    <cdr:to>
      <cdr:x>0.76215</cdr:x>
      <cdr:y>0.54282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EF598CF-15B6-D0DF-1327-91BDAE4F4334}"/>
            </a:ext>
          </a:extLst>
        </cdr:cNvPr>
        <cdr:cNvSpPr txBox="1"/>
      </cdr:nvSpPr>
      <cdr:spPr>
        <a:xfrm xmlns:a="http://schemas.openxmlformats.org/drawingml/2006/main">
          <a:off x="1257300" y="1519238"/>
          <a:ext cx="2924175" cy="714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</cdr:x>
      <cdr:y>0.82886</cdr:y>
    </cdr:from>
    <cdr:to>
      <cdr:x>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30BA7D9-2184-997F-8939-F886F5F6DA64}"/>
            </a:ext>
          </a:extLst>
        </cdr:cNvPr>
        <cdr:cNvSpPr txBox="1"/>
      </cdr:nvSpPr>
      <cdr:spPr>
        <a:xfrm xmlns:a="http://schemas.openxmlformats.org/drawingml/2006/main">
          <a:off x="0" y="3187145"/>
          <a:ext cx="6701251" cy="6580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FTROW =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countries with a comprehensive free trade agreement with the US</a:t>
          </a:r>
        </a:p>
        <a:p xmlns:a="http://schemas.openxmlformats.org/drawingml/2006/main"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ROW = all other countries</a:t>
          </a:r>
          <a:endParaRPr lang="en-US" sz="110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  <a:p xmlns:a="http://schemas.openxmlformats.org/drawingml/2006/main"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</a:t>
          </a:r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GTAP v7 [Corong et al (2017)], The Budget Lab analysis.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283230</xdr:colOff>
      <xdr:row>54</xdr:row>
      <xdr:rowOff>189</xdr:rowOff>
    </xdr:from>
    <xdr:to>
      <xdr:col>9</xdr:col>
      <xdr:colOff>436630</xdr:colOff>
      <xdr:row>77</xdr:row>
      <xdr:rowOff>136714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66F156-975F-4330-B1F5-C905AB1F4A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283230</xdr:colOff>
      <xdr:row>31</xdr:row>
      <xdr:rowOff>4484</xdr:rowOff>
    </xdr:from>
    <xdr:to>
      <xdr:col>9</xdr:col>
      <xdr:colOff>436630</xdr:colOff>
      <xdr:row>54</xdr:row>
      <xdr:rowOff>156884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90BCAEE-4122-4667-B391-7DE72B812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0.92832</cdr:y>
    </cdr:from>
    <cdr:to>
      <cdr:x>1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7B6ECB5-FB2A-46C7-CB81-AE68D9CD6F27}"/>
            </a:ext>
          </a:extLst>
        </cdr:cNvPr>
        <cdr:cNvSpPr txBox="1"/>
      </cdr:nvSpPr>
      <cdr:spPr>
        <a:xfrm xmlns:a="http://schemas.openxmlformats.org/drawingml/2006/main">
          <a:off x="0" y="4208928"/>
          <a:ext cx="5633077" cy="3249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 GTAP v7,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Census, CBO, BLS, BEA, The Budget Lab analysis.</a:t>
          </a:r>
          <a:endParaRPr lang="en-US" sz="110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0.99097</cdr:x>
      <cdr:y>0.16647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C94442-F117-0ACE-DB3A-D8E093A524E7}"/>
            </a:ext>
          </a:extLst>
        </cdr:cNvPr>
        <cdr:cNvSpPr txBox="1"/>
      </cdr:nvSpPr>
      <cdr:spPr>
        <a:xfrm xmlns:a="http://schemas.openxmlformats.org/drawingml/2006/main">
          <a:off x="0" y="0"/>
          <a:ext cx="5582210" cy="7547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kern="1200">
              <a:solidFill>
                <a:sysClr val="windowText" lastClr="000000"/>
              </a:solidFill>
              <a:latin typeface="Aptos" panose="020B0004020202020204" pitchFamily="34" charset="0"/>
            </a:rPr>
            <a:t>2027 Distributional</a:t>
          </a:r>
          <a:r>
            <a:rPr lang="en-US" sz="1400" b="1" kern="1200" baseline="0">
              <a:solidFill>
                <a:sysClr val="windowText" lastClr="000000"/>
              </a:solidFill>
              <a:latin typeface="Aptos" panose="020B0004020202020204" pitchFamily="34" charset="0"/>
            </a:rPr>
            <a:t> Effects of 2025 Tariffs to Date</a:t>
          </a:r>
        </a:p>
        <a:p xmlns:a="http://schemas.openxmlformats.org/drawingml/2006/main">
          <a:r>
            <a:rPr lang="en-US" sz="1200" b="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Through November</a:t>
          </a:r>
          <a:r>
            <a:rPr lang="en-US" sz="1200" b="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17</a:t>
          </a:r>
          <a:endParaRPr lang="en-US" sz="1200" b="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  <a:p xmlns:a="http://schemas.openxmlformats.org/drawingml/2006/main">
          <a:r>
            <a:rPr lang="en-US" sz="1200" b="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By Household Income</a:t>
          </a:r>
          <a:r>
            <a:rPr lang="en-US" sz="1200" b="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Decile</a:t>
          </a:r>
          <a:endParaRPr lang="en-US" sz="1200" b="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598337</xdr:colOff>
      <xdr:row>35</xdr:row>
      <xdr:rowOff>134631</xdr:rowOff>
    </xdr:from>
    <xdr:to>
      <xdr:col>13</xdr:col>
      <xdr:colOff>539231</xdr:colOff>
      <xdr:row>117</xdr:row>
      <xdr:rowOff>67957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C253CB-EF5F-4325-B22C-0B6FF18D7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515511</xdr:colOff>
      <xdr:row>35</xdr:row>
      <xdr:rowOff>156612</xdr:rowOff>
    </xdr:from>
    <xdr:to>
      <xdr:col>20</xdr:col>
      <xdr:colOff>456404</xdr:colOff>
      <xdr:row>117</xdr:row>
      <xdr:rowOff>89938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EDD441-2BD8-4272-BAAD-1112E58C3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28576</xdr:colOff>
      <xdr:row>116</xdr:row>
      <xdr:rowOff>157369</xdr:rowOff>
    </xdr:from>
    <xdr:to>
      <xdr:col>20</xdr:col>
      <xdr:colOff>347869</xdr:colOff>
      <xdr:row>120</xdr:row>
      <xdr:rowOff>49696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7676994-8156-48C8-A719-4671CB5F2B85}"/>
            </a:ext>
          </a:extLst>
        </xdr:cNvPr>
        <xdr:cNvSpPr txBox="1"/>
      </xdr:nvSpPr>
      <xdr:spPr>
        <a:xfrm>
          <a:off x="5784989" y="22255369"/>
          <a:ext cx="8287163" cy="6543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kern="1200">
              <a:solidFill>
                <a:schemeClr val="bg1">
                  <a:lumMod val="50000"/>
                </a:schemeClr>
              </a:solidFill>
            </a:rPr>
            <a:t>"nec" =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</a:rPr>
            <a:t> "Not elsewhere classified"</a:t>
          </a:r>
          <a:endParaRPr lang="en-US" sz="1100" kern="1200">
            <a:solidFill>
              <a:schemeClr val="bg1">
                <a:lumMod val="50000"/>
              </a:schemeClr>
            </a:solidFill>
          </a:endParaRPr>
        </a:p>
        <a:p>
          <a:r>
            <a:rPr lang="en-US" sz="1100" kern="1200">
              <a:solidFill>
                <a:schemeClr val="bg1">
                  <a:lumMod val="50000"/>
                </a:schemeClr>
              </a:solidFill>
            </a:rPr>
            <a:t>Source: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</a:rPr>
            <a:t> GTAP v7 [Corong et al (2017)], The Budget Lab analysis.</a:t>
          </a:r>
          <a:endParaRPr lang="en-US" sz="1100" kern="12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593481</xdr:colOff>
      <xdr:row>35</xdr:row>
      <xdr:rowOff>179350</xdr:rowOff>
    </xdr:from>
    <xdr:to>
      <xdr:col>19</xdr:col>
      <xdr:colOff>88241</xdr:colOff>
      <xdr:row>39</xdr:row>
      <xdr:rowOff>3306</xdr:rowOff>
    </xdr:to>
    <xdr:sp macro="" textlink="">
      <xdr:nvSpPr>
        <xdr:cNvPr id="6" name="TextBox 4">
          <a:extLst>
            <a:ext uri="{FF2B5EF4-FFF2-40B4-BE49-F238E27FC236}">
              <a16:creationId xmlns:a16="http://schemas.microsoft.com/office/drawing/2014/main" id="{69FF6E9E-ABA4-41DF-ADB2-2A5075E04F22}"/>
            </a:ext>
          </a:extLst>
        </xdr:cNvPr>
        <xdr:cNvSpPr txBox="1"/>
      </xdr:nvSpPr>
      <xdr:spPr>
        <a:xfrm>
          <a:off x="5707673" y="6854177"/>
          <a:ext cx="7400510" cy="5859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400" b="1" kern="1200">
              <a:solidFill>
                <a:schemeClr val="tx1"/>
              </a:solidFill>
              <a:latin typeface="Aptos" panose="020B0004020202020204" pitchFamily="34" charset="0"/>
            </a:rPr>
            <a:t>Commodity Price Effects from 2025 Tariffs Through November 17</a:t>
          </a:r>
          <a:endParaRPr lang="en-US" sz="1400" b="1" kern="1200" baseline="0">
            <a:solidFill>
              <a:schemeClr val="tx1"/>
            </a:solidFill>
            <a:latin typeface="Aptos" panose="020B0004020202020204" pitchFamily="34" charset="0"/>
          </a:endParaRPr>
        </a:p>
        <a:p>
          <a:r>
            <a:rPr lang="en-US" sz="1100" b="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Percent change to price level</a:t>
          </a:r>
          <a:endParaRPr lang="en-US" sz="1100" b="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0.42842</cdr:x>
      <cdr:y>0.03661</cdr:y>
    </cdr:from>
    <cdr:to>
      <cdr:x>0.96477</cdr:x>
      <cdr:y>0.05152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FABCB94-2FE8-9727-24B8-26425D5095EA}"/>
            </a:ext>
          </a:extLst>
        </cdr:cNvPr>
        <cdr:cNvSpPr txBox="1"/>
      </cdr:nvSpPr>
      <cdr:spPr>
        <a:xfrm xmlns:a="http://schemas.openxmlformats.org/drawingml/2006/main">
          <a:off x="1812763" y="569391"/>
          <a:ext cx="2269434" cy="23191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85000"/>
          </a:schemeClr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100" b="1" kern="1200">
              <a:solidFill>
                <a:schemeClr val="accent1"/>
              </a:solidFill>
            </a:rPr>
            <a:t>SHORT-RUN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0.4309</cdr:x>
      <cdr:y>0.03735</cdr:y>
    </cdr:from>
    <cdr:to>
      <cdr:x>0.96725</cdr:x>
      <cdr:y>0.05226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2C21C40-5EF3-BAAE-3BCA-5CC9D6E2BA1C}"/>
            </a:ext>
          </a:extLst>
        </cdr:cNvPr>
        <cdr:cNvSpPr txBox="1"/>
      </cdr:nvSpPr>
      <cdr:spPr>
        <a:xfrm xmlns:a="http://schemas.openxmlformats.org/drawingml/2006/main">
          <a:off x="1823279" y="580887"/>
          <a:ext cx="2269434" cy="23191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8500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kern="1200">
              <a:solidFill>
                <a:schemeClr val="accent5"/>
              </a:solidFill>
            </a:rPr>
            <a:t>LONG-RUN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417635</xdr:colOff>
      <xdr:row>68</xdr:row>
      <xdr:rowOff>153865</xdr:rowOff>
    </xdr:from>
    <xdr:to>
      <xdr:col>42</xdr:col>
      <xdr:colOff>278423</xdr:colOff>
      <xdr:row>71</xdr:row>
      <xdr:rowOff>29308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C77B98FC-45FD-485F-848F-A0106DA71269}"/>
            </a:ext>
          </a:extLst>
        </xdr:cNvPr>
        <xdr:cNvSpPr txBox="1"/>
      </xdr:nvSpPr>
      <xdr:spPr>
        <a:xfrm>
          <a:off x="18910789" y="11774365"/>
          <a:ext cx="6352442" cy="4469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kern="1200">
              <a:solidFill>
                <a:schemeClr val="bg1">
                  <a:lumMod val="50000"/>
                </a:schemeClr>
              </a:solidFill>
            </a:rPr>
            <a:t>Source: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</a:rPr>
            <a:t> GTAP v7 [Corong et al (2017)], The Budget Lab analysis.</a:t>
          </a:r>
          <a:endParaRPr lang="en-US" sz="1100" kern="12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367393</xdr:colOff>
      <xdr:row>9</xdr:row>
      <xdr:rowOff>0</xdr:rowOff>
    </xdr:from>
    <xdr:to>
      <xdr:col>37</xdr:col>
      <xdr:colOff>724579</xdr:colOff>
      <xdr:row>97</xdr:row>
      <xdr:rowOff>131308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A21596A8-EB9E-468F-BEFD-584ADADD3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02443" y="676275"/>
          <a:ext cx="11125199" cy="165000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0</xdr:colOff>
      <xdr:row>11</xdr:row>
      <xdr:rowOff>27215</xdr:rowOff>
    </xdr:from>
    <xdr:to>
      <xdr:col>51</xdr:col>
      <xdr:colOff>314325</xdr:colOff>
      <xdr:row>98</xdr:row>
      <xdr:rowOff>142876</xdr:rowOff>
    </xdr:to>
    <xdr:pic>
      <xdr:nvPicPr>
        <xdr:cNvPr id="3" name="Picture 2" descr="Image">
          <a:extLst>
            <a:ext uri="{FF2B5EF4-FFF2-40B4-BE49-F238E27FC236}">
              <a16:creationId xmlns:a16="http://schemas.microsoft.com/office/drawing/2014/main" id="{A920C20F-DFB4-46A7-BE05-67DE2CD41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0" y="1008290"/>
          <a:ext cx="11087100" cy="163557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258536</xdr:colOff>
      <xdr:row>9</xdr:row>
      <xdr:rowOff>27214</xdr:rowOff>
    </xdr:from>
    <xdr:to>
      <xdr:col>64</xdr:col>
      <xdr:colOff>563337</xdr:colOff>
      <xdr:row>97</xdr:row>
      <xdr:rowOff>45583</xdr:rowOff>
    </xdr:to>
    <xdr:pic>
      <xdr:nvPicPr>
        <xdr:cNvPr id="4" name="Picture 3" descr="Image">
          <a:extLst>
            <a:ext uri="{FF2B5EF4-FFF2-40B4-BE49-F238E27FC236}">
              <a16:creationId xmlns:a16="http://schemas.microsoft.com/office/drawing/2014/main" id="{218A01D9-CC16-46EC-A65E-3AA723D13F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67811" y="703489"/>
          <a:ext cx="11077575" cy="163870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65</xdr:col>
      <xdr:colOff>381000</xdr:colOff>
      <xdr:row>12</xdr:row>
      <xdr:rowOff>68035</xdr:rowOff>
    </xdr:from>
    <xdr:to>
      <xdr:col>78</xdr:col>
      <xdr:colOff>714376</xdr:colOff>
      <xdr:row>100</xdr:row>
      <xdr:rowOff>76878</xdr:rowOff>
    </xdr:to>
    <xdr:pic>
      <xdr:nvPicPr>
        <xdr:cNvPr id="5" name="Picture 4" descr="Image">
          <a:extLst>
            <a:ext uri="{FF2B5EF4-FFF2-40B4-BE49-F238E27FC236}">
              <a16:creationId xmlns:a16="http://schemas.microsoft.com/office/drawing/2014/main" id="{E5140BC1-A27E-47CC-8F8D-8F045C033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91725" y="1220560"/>
          <a:ext cx="11106150" cy="16415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476250</xdr:colOff>
      <xdr:row>105</xdr:row>
      <xdr:rowOff>0</xdr:rowOff>
    </xdr:from>
    <xdr:to>
      <xdr:col>52</xdr:col>
      <xdr:colOff>36739</xdr:colOff>
      <xdr:row>191</xdr:row>
      <xdr:rowOff>245609</xdr:rowOff>
    </xdr:to>
    <xdr:pic>
      <xdr:nvPicPr>
        <xdr:cNvPr id="6" name="Picture 5" descr="Image">
          <a:extLst>
            <a:ext uri="{FF2B5EF4-FFF2-40B4-BE49-F238E27FC236}">
              <a16:creationId xmlns:a16="http://schemas.microsoft.com/office/drawing/2014/main" id="{0E21F70A-86AA-46F7-9A6C-98D55CACC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12750" y="18107025"/>
          <a:ext cx="11161939" cy="164714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27214</xdr:colOff>
      <xdr:row>105</xdr:row>
      <xdr:rowOff>136072</xdr:rowOff>
    </xdr:from>
    <xdr:to>
      <xdr:col>65</xdr:col>
      <xdr:colOff>389164</xdr:colOff>
      <xdr:row>192</xdr:row>
      <xdr:rowOff>151719</xdr:rowOff>
    </xdr:to>
    <xdr:pic>
      <xdr:nvPicPr>
        <xdr:cNvPr id="7" name="Picture 6" descr="Image">
          <a:extLst>
            <a:ext uri="{FF2B5EF4-FFF2-40B4-BE49-F238E27FC236}">
              <a16:creationId xmlns:a16="http://schemas.microsoft.com/office/drawing/2014/main" id="{8476AB8D-0467-4FD8-A6C2-68AEE5006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5164" y="18243097"/>
          <a:ext cx="11134725" cy="16536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79</xdr:col>
      <xdr:colOff>272142</xdr:colOff>
      <xdr:row>14</xdr:row>
      <xdr:rowOff>122465</xdr:rowOff>
    </xdr:from>
    <xdr:to>
      <xdr:col>92</xdr:col>
      <xdr:colOff>619805</xdr:colOff>
      <xdr:row>103</xdr:row>
      <xdr:rowOff>36059</xdr:rowOff>
    </xdr:to>
    <xdr:pic>
      <xdr:nvPicPr>
        <xdr:cNvPr id="9" name="Picture 8" descr="Image">
          <a:extLst>
            <a:ext uri="{FF2B5EF4-FFF2-40B4-BE49-F238E27FC236}">
              <a16:creationId xmlns:a16="http://schemas.microsoft.com/office/drawing/2014/main" id="{9AD408F1-17D1-4233-8EF0-25957AF66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84317" y="1636940"/>
          <a:ext cx="11115675" cy="16472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509030</xdr:colOff>
      <xdr:row>57</xdr:row>
      <xdr:rowOff>53234</xdr:rowOff>
    </xdr:from>
    <xdr:to>
      <xdr:col>12</xdr:col>
      <xdr:colOff>502406</xdr:colOff>
      <xdr:row>82</xdr:row>
      <xdr:rowOff>115599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0A8FE0-768C-4F19-B317-8E55FC8CBD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0.99204</cdr:x>
      <cdr:y>0.30726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BB13A46-DB66-9DE4-C23E-EFA2C6CBFA54}"/>
            </a:ext>
          </a:extLst>
        </cdr:cNvPr>
        <cdr:cNvSpPr txBox="1"/>
      </cdr:nvSpPr>
      <cdr:spPr>
        <a:xfrm xmlns:a="http://schemas.openxmlformats.org/drawingml/2006/main">
          <a:off x="0" y="0"/>
          <a:ext cx="5396137" cy="12242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kern="1200">
              <a:solidFill>
                <a:sysClr val="windowText" lastClr="000000"/>
              </a:solidFill>
              <a:latin typeface="Aptos" panose="020B0004020202020204" pitchFamily="34" charset="0"/>
            </a:rPr>
            <a:t>US Real GDP</a:t>
          </a:r>
          <a:r>
            <a:rPr lang="en-US" sz="1400" b="1" kern="1200" baseline="0">
              <a:solidFill>
                <a:sysClr val="windowText" lastClr="000000"/>
              </a:solidFill>
              <a:latin typeface="Aptos" panose="020B0004020202020204" pitchFamily="34" charset="0"/>
            </a:rPr>
            <a:t> Level Effects of 2025 Tariffs to Date</a:t>
          </a:r>
        </a:p>
        <a:p xmlns:a="http://schemas.openxmlformats.org/drawingml/2006/main">
          <a:r>
            <a:rPr lang="en-US" sz="1200" b="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US tariffs implemented</a:t>
          </a:r>
          <a:r>
            <a:rPr lang="en-US" sz="1200" b="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</a:t>
          </a:r>
          <a:r>
            <a:rPr lang="en-US" sz="1200" b="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through June 1</a:t>
          </a:r>
        </a:p>
      </cdr:txBody>
    </cdr:sp>
  </cdr:relSizeAnchor>
  <cdr:relSizeAnchor xmlns:cdr="http://schemas.openxmlformats.org/drawingml/2006/chartDrawing">
    <cdr:from>
      <cdr:x>0.00796</cdr:x>
      <cdr:y>0.94363</cdr:y>
    </cdr:from>
    <cdr:to>
      <cdr:x>1</cdr:x>
      <cdr:y>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693B3A7-569D-D209-C863-64B61FB745C1}"/>
            </a:ext>
          </a:extLst>
        </cdr:cNvPr>
        <cdr:cNvSpPr txBox="1"/>
      </cdr:nvSpPr>
      <cdr:spPr>
        <a:xfrm xmlns:a="http://schemas.openxmlformats.org/drawingml/2006/main">
          <a:off x="43673" y="3882861"/>
          <a:ext cx="5442727" cy="231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 S&amp;P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Global</a:t>
          </a:r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,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</a:t>
          </a:r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GTAP v7,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GTAP-RD, The Budget Lab analysis.</a:t>
          </a:r>
          <a:endParaRPr lang="en-US" sz="110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630611</xdr:colOff>
      <xdr:row>38</xdr:row>
      <xdr:rowOff>49308</xdr:rowOff>
    </xdr:from>
    <xdr:to>
      <xdr:col>10</xdr:col>
      <xdr:colOff>10805</xdr:colOff>
      <xdr:row>62</xdr:row>
      <xdr:rowOff>11208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907032-E258-45FA-B466-23BC14474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0.99097</cdr:x>
      <cdr:y>0.16647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C94442-F117-0ACE-DB3A-D8E093A524E7}"/>
            </a:ext>
          </a:extLst>
        </cdr:cNvPr>
        <cdr:cNvSpPr txBox="1"/>
      </cdr:nvSpPr>
      <cdr:spPr>
        <a:xfrm xmlns:a="http://schemas.openxmlformats.org/drawingml/2006/main">
          <a:off x="0" y="0"/>
          <a:ext cx="5582210" cy="7547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kern="1200" baseline="0">
              <a:solidFill>
                <a:sysClr val="windowText" lastClr="000000"/>
              </a:solidFill>
              <a:latin typeface="Aptos" panose="020B0004020202020204" pitchFamily="34" charset="0"/>
            </a:rPr>
            <a:t>Household Import Spending Shares of Consumption &amp; Income in 2027</a:t>
          </a:r>
          <a:endParaRPr lang="en-US" sz="1200" b="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  <a:p xmlns:a="http://schemas.openxmlformats.org/drawingml/2006/main">
          <a:r>
            <a:rPr lang="en-US" sz="1200" b="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By Household Income</a:t>
          </a:r>
          <a:r>
            <a:rPr lang="en-US" sz="1200" b="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Decile</a:t>
          </a:r>
          <a:endParaRPr lang="en-US" sz="1200" b="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0.00766</cdr:x>
      <cdr:y>0.92832</cdr:y>
    </cdr:from>
    <cdr:to>
      <cdr:x>0.85724</cdr:x>
      <cdr:y>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7ED80A31-AE6D-ABB2-0FD9-DAF930F15296}"/>
            </a:ext>
          </a:extLst>
        </cdr:cNvPr>
        <cdr:cNvSpPr txBox="1"/>
      </cdr:nvSpPr>
      <cdr:spPr>
        <a:xfrm xmlns:a="http://schemas.openxmlformats.org/drawingml/2006/main">
          <a:off x="50800" y="4208910"/>
          <a:ext cx="5633077" cy="324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kern="12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Source: GTAP v7,</a:t>
          </a:r>
          <a:r>
            <a:rPr lang="en-US" sz="1100" kern="1200" baseline="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Census, CBO, BLS, BEA, The Budget Lab analysis.</a:t>
          </a:r>
          <a:endParaRPr lang="en-US" sz="1100" kern="1200">
            <a:solidFill>
              <a:schemeClr val="bg1">
                <a:lumMod val="50000"/>
              </a:schemeClr>
            </a:solidFill>
            <a:latin typeface="Aptos" panose="020B0004020202020204" pitchFamily="34" charset="0"/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2343150</xdr:colOff>
      <xdr:row>27</xdr:row>
      <xdr:rowOff>47625</xdr:rowOff>
    </xdr:from>
    <xdr:to>
      <xdr:col>14</xdr:col>
      <xdr:colOff>743919</xdr:colOff>
      <xdr:row>49</xdr:row>
      <xdr:rowOff>76789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50C74E5-B521-4A4B-89A6-CAE9E2677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97350" y="5267325"/>
          <a:ext cx="6944694" cy="42201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ions/Amber/Historical%20Budget%20Data/January%202011/Historicaltables2011_with%20MAD%20dat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cbo.gov/Projections/Function%20Table%20Aggregates_%20Bridgetables/2012%20January/P354_P364%20BASE%20TO%20BASE_final_adjtabl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ions/Baseline_12Aug/Baseline_08Mar/Backup0803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nie\Documents\Work\Yale\Tariffs\tariffs%202023.xlsx" TargetMode="External"/><Relationship Id="rId1" Type="http://schemas.openxmlformats.org/officeDocument/2006/relationships/externalLinkPath" Target="/Users/ernie/Documents/Work/Yale/Tariffs/tariffs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OMB Data"/>
      <sheetName val="MAD Data"/>
      <sheetName val="as % of GDP"/>
      <sheetName val="Details"/>
      <sheetName val="F-1"/>
      <sheetName val="F-2"/>
      <sheetName val="F-3"/>
      <sheetName val="F-4"/>
      <sheetName val="F-5"/>
      <sheetName val="F-6"/>
      <sheetName val="F-7"/>
      <sheetName val="F-8"/>
      <sheetName val="F-9"/>
      <sheetName val="F-10"/>
      <sheetName val="F-11"/>
      <sheetName val="F-12"/>
      <sheetName val="F-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OLDDISC"/>
      <sheetName val="DISCleg"/>
      <sheetName val="DISCecon"/>
      <sheetName val="DISCtech"/>
      <sheetName val="DISCTOT"/>
      <sheetName val="NEWDISC"/>
      <sheetName val="OLDMAND"/>
      <sheetName val="MANDLEG"/>
      <sheetName val="MANDECON"/>
      <sheetName val="MANDTECH"/>
      <sheetName val="MANDTOT"/>
      <sheetName val="NEWMAND"/>
      <sheetName val="OLDTOT"/>
      <sheetName val="TOTLEG"/>
      <sheetName val="TOTECON"/>
      <sheetName val="TOTTECH"/>
      <sheetName val="TOTTOT"/>
      <sheetName val="NEWTOT"/>
      <sheetName val="SumChngs"/>
      <sheetName val="PubInf-leg.econ.tech"/>
      <sheetName val="JSC changes"/>
      <sheetName val="PubInf-rev.vs.outlays"/>
      <sheetName val="U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Deficit"/>
      <sheetName val="Baseline"/>
      <sheetName val="rev"/>
      <sheetName val="outlays"/>
      <sheetName val="Offbud"/>
      <sheetName val="int"/>
      <sheetName val="OffReceipts"/>
      <sheetName val="Disc"/>
      <sheetName val="DiscNoEmerg"/>
      <sheetName val="HLS-Act"/>
      <sheetName val="Table 3-1"/>
      <sheetName val="Growth rates"/>
      <sheetName val="Growth rates Reest"/>
      <sheetName val="BA_Growth"/>
      <sheetName val="OMBComp"/>
      <sheetName val="Reest"/>
      <sheetName val="DctBaseReest"/>
      <sheetName val="DiscBaseReest"/>
      <sheetName val="DiscBaseNoExtReest"/>
      <sheetName val="OMBCompPolic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e 2023"/>
      <sheetName val="Use 2023"/>
      <sheetName val="Imports 2023"/>
      <sheetName val="Direct Reqiurements"/>
      <sheetName val="Market Share"/>
      <sheetName val="Raw Imports 2023"/>
      <sheetName val="BLS 2022"/>
      <sheetName val="Price Sheet"/>
      <sheetName val="Price Sheet (FTA)"/>
      <sheetName val="Price Sheet (Jan 2025)"/>
      <sheetName val="Price Sheet (Feb 2025B)"/>
      <sheetName val="Price Sheet (Feb 2025)"/>
      <sheetName val="Oil v Ex Oil Price"/>
      <sheetName val="Price Sheet (2)"/>
      <sheetName val="Price Sheet (3)"/>
      <sheetName val="Price Sheet (Jan 2025) (2)"/>
    </sheetNames>
    <sheetDataSet>
      <sheetData sheetId="0"/>
      <sheetData sheetId="1">
        <row r="8">
          <cell r="R8">
            <v>655499</v>
          </cell>
          <cell r="S8">
            <v>256754</v>
          </cell>
          <cell r="T8">
            <v>0</v>
          </cell>
          <cell r="V8">
            <v>79881</v>
          </cell>
        </row>
        <row r="9">
          <cell r="R9">
            <v>683050</v>
          </cell>
          <cell r="S9">
            <v>342</v>
          </cell>
          <cell r="T9">
            <v>106768</v>
          </cell>
          <cell r="V9">
            <v>179747</v>
          </cell>
        </row>
        <row r="10">
          <cell r="R10">
            <v>462054</v>
          </cell>
          <cell r="S10">
            <v>355771</v>
          </cell>
          <cell r="T10">
            <v>0</v>
          </cell>
          <cell r="V10">
            <v>5039</v>
          </cell>
        </row>
        <row r="11">
          <cell r="R11">
            <v>381840</v>
          </cell>
          <cell r="S11">
            <v>0</v>
          </cell>
          <cell r="T11">
            <v>1639023</v>
          </cell>
          <cell r="V11">
            <v>123</v>
          </cell>
        </row>
        <row r="12">
          <cell r="R12">
            <v>6137752</v>
          </cell>
          <cell r="S12">
            <v>5213769</v>
          </cell>
          <cell r="T12">
            <v>1454332</v>
          </cell>
          <cell r="V12">
            <v>1326252</v>
          </cell>
        </row>
        <row r="13">
          <cell r="R13">
            <v>119013</v>
          </cell>
          <cell r="S13">
            <v>0</v>
          </cell>
          <cell r="T13">
            <v>0</v>
          </cell>
          <cell r="V13">
            <v>3741</v>
          </cell>
        </row>
        <row r="14">
          <cell r="R14">
            <v>2156</v>
          </cell>
          <cell r="S14">
            <v>14437</v>
          </cell>
          <cell r="T14">
            <v>0</v>
          </cell>
          <cell r="V14">
            <v>0</v>
          </cell>
        </row>
        <row r="15">
          <cell r="R15">
            <v>770012</v>
          </cell>
          <cell r="S15">
            <v>374535</v>
          </cell>
          <cell r="T15">
            <v>0</v>
          </cell>
          <cell r="V15">
            <v>71502</v>
          </cell>
        </row>
        <row r="16">
          <cell r="R16">
            <v>962346</v>
          </cell>
          <cell r="S16">
            <v>804194</v>
          </cell>
          <cell r="T16">
            <v>396461</v>
          </cell>
          <cell r="V16">
            <v>91740</v>
          </cell>
        </row>
        <row r="17">
          <cell r="R17">
            <v>4536948</v>
          </cell>
          <cell r="S17">
            <v>4456948</v>
          </cell>
          <cell r="T17">
            <v>203981</v>
          </cell>
          <cell r="V17">
            <v>301476</v>
          </cell>
        </row>
        <row r="18">
          <cell r="R18">
            <v>4476835</v>
          </cell>
          <cell r="S18">
            <v>381221</v>
          </cell>
          <cell r="T18">
            <v>1266952</v>
          </cell>
          <cell r="V18">
            <v>308602</v>
          </cell>
        </row>
        <row r="19">
          <cell r="R19">
            <v>95311</v>
          </cell>
          <cell r="S19">
            <v>3995397</v>
          </cell>
          <cell r="T19">
            <v>0</v>
          </cell>
          <cell r="V19">
            <v>16688</v>
          </cell>
        </row>
        <row r="20">
          <cell r="R20">
            <v>610035</v>
          </cell>
          <cell r="S20">
            <v>1732304</v>
          </cell>
          <cell r="T20">
            <v>9818</v>
          </cell>
          <cell r="V20">
            <v>4400</v>
          </cell>
        </row>
        <row r="21">
          <cell r="R21">
            <v>357545</v>
          </cell>
          <cell r="S21">
            <v>865906</v>
          </cell>
          <cell r="T21">
            <v>0</v>
          </cell>
          <cell r="V21">
            <v>105</v>
          </cell>
        </row>
        <row r="22">
          <cell r="R22">
            <v>118054</v>
          </cell>
          <cell r="S22">
            <v>98861</v>
          </cell>
          <cell r="T22">
            <v>0</v>
          </cell>
          <cell r="V22">
            <v>473</v>
          </cell>
        </row>
        <row r="23">
          <cell r="R23">
            <v>130147</v>
          </cell>
          <cell r="S23">
            <v>305560</v>
          </cell>
          <cell r="T23">
            <v>-147225</v>
          </cell>
          <cell r="V23">
            <v>51058</v>
          </cell>
        </row>
        <row r="24">
          <cell r="R24">
            <v>167503</v>
          </cell>
          <cell r="T24">
            <v>12955</v>
          </cell>
          <cell r="V24">
            <v>198736</v>
          </cell>
        </row>
      </sheetData>
      <sheetData sheetId="2"/>
      <sheetData sheetId="3"/>
      <sheetData sheetId="4"/>
      <sheetData sheetId="5">
        <row r="5">
          <cell r="D5" t="str">
            <v>11</v>
          </cell>
          <cell r="E5" t="str">
            <v>11</v>
          </cell>
          <cell r="F5" t="str">
            <v>21</v>
          </cell>
          <cell r="G5" t="str">
            <v>21</v>
          </cell>
          <cell r="H5" t="str">
            <v>21</v>
          </cell>
          <cell r="I5" t="str">
            <v>22</v>
          </cell>
          <cell r="J5" t="str">
            <v>23</v>
          </cell>
          <cell r="K5" t="str">
            <v>31G</v>
          </cell>
          <cell r="L5" t="str">
            <v>31G</v>
          </cell>
          <cell r="M5" t="str">
            <v>31G</v>
          </cell>
          <cell r="N5" t="str">
            <v>31G</v>
          </cell>
          <cell r="O5" t="str">
            <v>31G</v>
          </cell>
          <cell r="P5" t="str">
            <v>31G</v>
          </cell>
          <cell r="Q5" t="str">
            <v>31G</v>
          </cell>
          <cell r="R5" t="str">
            <v>31G</v>
          </cell>
          <cell r="S5" t="str">
            <v>31G</v>
          </cell>
          <cell r="T5" t="str">
            <v>31G</v>
          </cell>
          <cell r="U5" t="str">
            <v>31G</v>
          </cell>
          <cell r="V5" t="str">
            <v>31G</v>
          </cell>
          <cell r="W5" t="str">
            <v>31G</v>
          </cell>
          <cell r="X5" t="str">
            <v>31G</v>
          </cell>
          <cell r="Y5" t="str">
            <v>31G</v>
          </cell>
          <cell r="Z5" t="str">
            <v>31G</v>
          </cell>
          <cell r="AA5" t="str">
            <v>31G</v>
          </cell>
          <cell r="AB5" t="str">
            <v>31G</v>
          </cell>
          <cell r="AC5" t="str">
            <v>31G</v>
          </cell>
          <cell r="AD5" t="str">
            <v>42</v>
          </cell>
          <cell r="AE5" t="str">
            <v>44RT</v>
          </cell>
          <cell r="AF5" t="str">
            <v>44RT</v>
          </cell>
          <cell r="AG5" t="str">
            <v>44RT</v>
          </cell>
          <cell r="AH5" t="str">
            <v>44RT</v>
          </cell>
          <cell r="AI5" t="str">
            <v>48TW</v>
          </cell>
          <cell r="AJ5" t="str">
            <v>48TW</v>
          </cell>
          <cell r="AK5" t="str">
            <v>48TW</v>
          </cell>
          <cell r="AL5" t="str">
            <v>48TW</v>
          </cell>
          <cell r="AM5" t="str">
            <v>48TW</v>
          </cell>
          <cell r="AN5" t="str">
            <v>48TW</v>
          </cell>
          <cell r="AO5" t="str">
            <v>48TW</v>
          </cell>
          <cell r="AP5" t="str">
            <v>48TW</v>
          </cell>
          <cell r="AQ5" t="str">
            <v>51</v>
          </cell>
          <cell r="AR5" t="str">
            <v>51</v>
          </cell>
          <cell r="AS5" t="str">
            <v>51</v>
          </cell>
          <cell r="AT5" t="str">
            <v>51</v>
          </cell>
          <cell r="AU5" t="str">
            <v>FIRE</v>
          </cell>
          <cell r="AV5" t="str">
            <v>FIRE</v>
          </cell>
          <cell r="AW5" t="str">
            <v>FIRE</v>
          </cell>
          <cell r="AX5" t="str">
            <v>FIRE</v>
          </cell>
          <cell r="AY5" t="str">
            <v>FIRE</v>
          </cell>
          <cell r="AZ5" t="str">
            <v>FIRE</v>
          </cell>
          <cell r="BA5" t="str">
            <v>FIRE</v>
          </cell>
          <cell r="BB5" t="str">
            <v>PROF</v>
          </cell>
          <cell r="BC5" t="str">
            <v>PROF</v>
          </cell>
          <cell r="BD5" t="str">
            <v>PROF</v>
          </cell>
          <cell r="BE5" t="str">
            <v>PROF</v>
          </cell>
          <cell r="BF5" t="str">
            <v>PROF</v>
          </cell>
          <cell r="BG5" t="str">
            <v>PROF</v>
          </cell>
          <cell r="BH5" t="str">
            <v>6</v>
          </cell>
          <cell r="BI5" t="str">
            <v>6</v>
          </cell>
          <cell r="BJ5" t="str">
            <v>6</v>
          </cell>
          <cell r="BK5" t="str">
            <v>6</v>
          </cell>
          <cell r="BL5" t="str">
            <v>6</v>
          </cell>
          <cell r="BM5" t="str">
            <v>7</v>
          </cell>
          <cell r="BN5" t="str">
            <v>7</v>
          </cell>
          <cell r="BO5" t="str">
            <v>7</v>
          </cell>
          <cell r="BP5" t="str">
            <v>7</v>
          </cell>
          <cell r="BQ5" t="str">
            <v>81</v>
          </cell>
          <cell r="BR5" t="str">
            <v>G</v>
          </cell>
          <cell r="BS5" t="str">
            <v>G</v>
          </cell>
          <cell r="BT5" t="str">
            <v>G</v>
          </cell>
          <cell r="BU5" t="str">
            <v>G</v>
          </cell>
          <cell r="BV5" t="str">
            <v>G</v>
          </cell>
          <cell r="BX5" t="str">
            <v>F010</v>
          </cell>
          <cell r="BY5" t="str">
            <v>F020</v>
          </cell>
          <cell r="BZ5" t="str">
            <v>F020</v>
          </cell>
          <cell r="CA5" t="str">
            <v>F020</v>
          </cell>
          <cell r="CB5" t="str">
            <v>F020</v>
          </cell>
          <cell r="CC5" t="str">
            <v>F030</v>
          </cell>
          <cell r="CD5" t="str">
            <v>F040</v>
          </cell>
          <cell r="CE5" t="str">
            <v>F050</v>
          </cell>
          <cell r="CF5" t="str">
            <v>F100</v>
          </cell>
          <cell r="CG5" t="str">
            <v>F100</v>
          </cell>
          <cell r="CH5" t="str">
            <v>F100</v>
          </cell>
          <cell r="CI5" t="str">
            <v>F100</v>
          </cell>
          <cell r="CJ5" t="str">
            <v>F100</v>
          </cell>
          <cell r="CK5" t="str">
            <v>F100</v>
          </cell>
          <cell r="CL5" t="str">
            <v>F100</v>
          </cell>
          <cell r="CM5" t="str">
            <v>F100</v>
          </cell>
          <cell r="CN5" t="str">
            <v>F100</v>
          </cell>
          <cell r="CO5" t="str">
            <v>F100</v>
          </cell>
          <cell r="CP5" t="str">
            <v>F100</v>
          </cell>
          <cell r="CQ5" t="str">
            <v>F100</v>
          </cell>
          <cell r="CR5" t="str">
            <v>T019</v>
          </cell>
        </row>
        <row r="8">
          <cell r="A8" t="str">
            <v>11</v>
          </cell>
          <cell r="D8">
            <v>2133</v>
          </cell>
          <cell r="E8">
            <v>30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74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</v>
          </cell>
          <cell r="V8">
            <v>15647</v>
          </cell>
          <cell r="W8">
            <v>-5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623</v>
          </cell>
          <cell r="AC8">
            <v>0</v>
          </cell>
          <cell r="AD8">
            <v>25</v>
          </cell>
          <cell r="AE8">
            <v>45</v>
          </cell>
          <cell r="AF8">
            <v>26</v>
          </cell>
          <cell r="AG8">
            <v>5</v>
          </cell>
          <cell r="AH8">
            <v>31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8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126</v>
          </cell>
          <cell r="BE8">
            <v>1</v>
          </cell>
          <cell r="BF8">
            <v>119</v>
          </cell>
          <cell r="BG8">
            <v>0</v>
          </cell>
          <cell r="BH8">
            <v>44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113</v>
          </cell>
          <cell r="BO8">
            <v>8</v>
          </cell>
          <cell r="BP8">
            <v>3997</v>
          </cell>
          <cell r="BQ8">
            <v>2</v>
          </cell>
          <cell r="BR8">
            <v>4</v>
          </cell>
          <cell r="BS8">
            <v>107</v>
          </cell>
          <cell r="BT8">
            <v>0</v>
          </cell>
          <cell r="BU8">
            <v>489</v>
          </cell>
          <cell r="BV8">
            <v>0</v>
          </cell>
          <cell r="BW8">
            <v>23665</v>
          </cell>
          <cell r="BX8">
            <v>33808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  <cell r="CC8">
            <v>20</v>
          </cell>
          <cell r="CD8">
            <v>0</v>
          </cell>
          <cell r="CE8">
            <v>-57493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>
            <v>0</v>
          </cell>
          <cell r="CO8">
            <v>0</v>
          </cell>
          <cell r="CP8">
            <v>0</v>
          </cell>
          <cell r="CQ8">
            <v>0</v>
          </cell>
          <cell r="CR8">
            <v>-23665</v>
          </cell>
        </row>
        <row r="9">
          <cell r="A9" t="str">
            <v>11</v>
          </cell>
          <cell r="D9">
            <v>264</v>
          </cell>
          <cell r="E9">
            <v>11</v>
          </cell>
          <cell r="F9">
            <v>0</v>
          </cell>
          <cell r="G9">
            <v>1</v>
          </cell>
          <cell r="H9">
            <v>0</v>
          </cell>
          <cell r="I9">
            <v>0</v>
          </cell>
          <cell r="J9">
            <v>0</v>
          </cell>
          <cell r="K9">
            <v>186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51</v>
          </cell>
          <cell r="U9">
            <v>159</v>
          </cell>
          <cell r="V9">
            <v>5801</v>
          </cell>
          <cell r="W9">
            <v>0</v>
          </cell>
          <cell r="X9">
            <v>12</v>
          </cell>
          <cell r="Y9">
            <v>38</v>
          </cell>
          <cell r="Z9">
            <v>17</v>
          </cell>
          <cell r="AA9">
            <v>0</v>
          </cell>
          <cell r="AB9">
            <v>192</v>
          </cell>
          <cell r="AC9">
            <v>1090</v>
          </cell>
          <cell r="AD9">
            <v>0</v>
          </cell>
          <cell r="AE9">
            <v>0</v>
          </cell>
          <cell r="AF9">
            <v>462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1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22</v>
          </cell>
          <cell r="BE9">
            <v>0</v>
          </cell>
          <cell r="BF9">
            <v>2</v>
          </cell>
          <cell r="BG9">
            <v>0</v>
          </cell>
          <cell r="BH9">
            <v>43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286</v>
          </cell>
          <cell r="BO9">
            <v>310</v>
          </cell>
          <cell r="BP9">
            <v>5493</v>
          </cell>
          <cell r="BQ9">
            <v>82</v>
          </cell>
          <cell r="BR9">
            <v>0</v>
          </cell>
          <cell r="BS9">
            <v>0</v>
          </cell>
          <cell r="BT9">
            <v>12</v>
          </cell>
          <cell r="BU9">
            <v>683</v>
          </cell>
          <cell r="BV9">
            <v>0</v>
          </cell>
          <cell r="BW9">
            <v>15220</v>
          </cell>
          <cell r="BX9">
            <v>4104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  <cell r="CC9">
            <v>-48</v>
          </cell>
          <cell r="CD9">
            <v>0</v>
          </cell>
          <cell r="CE9">
            <v>-19276</v>
          </cell>
          <cell r="CF9">
            <v>0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>
            <v>0</v>
          </cell>
          <cell r="CO9">
            <v>0</v>
          </cell>
          <cell r="CP9">
            <v>0</v>
          </cell>
          <cell r="CQ9">
            <v>0</v>
          </cell>
          <cell r="CR9">
            <v>-15220</v>
          </cell>
        </row>
        <row r="10">
          <cell r="A10" t="str">
            <v>21</v>
          </cell>
          <cell r="D10">
            <v>0</v>
          </cell>
          <cell r="E10">
            <v>0</v>
          </cell>
          <cell r="F10">
            <v>4703</v>
          </cell>
          <cell r="G10">
            <v>0</v>
          </cell>
          <cell r="H10">
            <v>3</v>
          </cell>
          <cell r="I10">
            <v>3186</v>
          </cell>
          <cell r="J10">
            <v>0</v>
          </cell>
          <cell r="K10">
            <v>1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1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164604</v>
          </cell>
          <cell r="AB10">
            <v>347</v>
          </cell>
          <cell r="AC10">
            <v>1</v>
          </cell>
          <cell r="AD10">
            <v>2</v>
          </cell>
          <cell r="AE10">
            <v>2</v>
          </cell>
          <cell r="AF10">
            <v>0</v>
          </cell>
          <cell r="AG10">
            <v>0</v>
          </cell>
          <cell r="AH10">
            <v>4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15</v>
          </cell>
          <cell r="AQ10">
            <v>12</v>
          </cell>
          <cell r="AR10">
            <v>1</v>
          </cell>
          <cell r="AS10">
            <v>1</v>
          </cell>
          <cell r="AT10">
            <v>6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6</v>
          </cell>
          <cell r="BA10">
            <v>0</v>
          </cell>
          <cell r="BB10">
            <v>0</v>
          </cell>
          <cell r="BC10">
            <v>0</v>
          </cell>
          <cell r="BD10">
            <v>2</v>
          </cell>
          <cell r="BE10">
            <v>1</v>
          </cell>
          <cell r="BF10">
            <v>0</v>
          </cell>
          <cell r="BG10">
            <v>2</v>
          </cell>
          <cell r="BH10">
            <v>41</v>
          </cell>
          <cell r="BI10">
            <v>1</v>
          </cell>
          <cell r="BJ10">
            <v>0</v>
          </cell>
          <cell r="BK10">
            <v>1</v>
          </cell>
          <cell r="BL10">
            <v>1</v>
          </cell>
          <cell r="BM10">
            <v>1</v>
          </cell>
          <cell r="BN10">
            <v>7</v>
          </cell>
          <cell r="BO10">
            <v>1</v>
          </cell>
          <cell r="BP10">
            <v>1</v>
          </cell>
          <cell r="BQ10">
            <v>5</v>
          </cell>
          <cell r="BR10">
            <v>0</v>
          </cell>
          <cell r="BS10">
            <v>0</v>
          </cell>
          <cell r="BT10">
            <v>128</v>
          </cell>
          <cell r="BU10">
            <v>0</v>
          </cell>
          <cell r="BV10">
            <v>2149</v>
          </cell>
          <cell r="BW10">
            <v>175240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622</v>
          </cell>
          <cell r="CD10">
            <v>0</v>
          </cell>
          <cell r="CE10">
            <v>-175862</v>
          </cell>
          <cell r="CF10">
            <v>0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-175240</v>
          </cell>
        </row>
        <row r="11">
          <cell r="A11" t="str">
            <v>21</v>
          </cell>
          <cell r="D11">
            <v>114</v>
          </cell>
          <cell r="E11">
            <v>0</v>
          </cell>
          <cell r="F11">
            <v>2</v>
          </cell>
          <cell r="G11">
            <v>118</v>
          </cell>
          <cell r="H11">
            <v>4</v>
          </cell>
          <cell r="I11">
            <v>121</v>
          </cell>
          <cell r="J11">
            <v>656</v>
          </cell>
          <cell r="K11">
            <v>0</v>
          </cell>
          <cell r="L11">
            <v>754</v>
          </cell>
          <cell r="M11">
            <v>1407</v>
          </cell>
          <cell r="N11">
            <v>20</v>
          </cell>
          <cell r="O11">
            <v>16</v>
          </cell>
          <cell r="P11">
            <v>1</v>
          </cell>
          <cell r="Q11">
            <v>37</v>
          </cell>
          <cell r="R11">
            <v>25</v>
          </cell>
          <cell r="S11">
            <v>12</v>
          </cell>
          <cell r="T11">
            <v>0</v>
          </cell>
          <cell r="U11">
            <v>30</v>
          </cell>
          <cell r="V11">
            <v>163</v>
          </cell>
          <cell r="W11">
            <v>0</v>
          </cell>
          <cell r="X11">
            <v>0</v>
          </cell>
          <cell r="Y11">
            <v>17</v>
          </cell>
          <cell r="Z11">
            <v>0</v>
          </cell>
          <cell r="AA11">
            <v>153</v>
          </cell>
          <cell r="AB11">
            <v>1252</v>
          </cell>
          <cell r="AC11">
            <v>2</v>
          </cell>
          <cell r="AD11">
            <v>7</v>
          </cell>
          <cell r="AE11">
            <v>0</v>
          </cell>
          <cell r="AF11">
            <v>0</v>
          </cell>
          <cell r="AG11">
            <v>0</v>
          </cell>
          <cell r="AH11">
            <v>1</v>
          </cell>
          <cell r="AI11">
            <v>0</v>
          </cell>
          <cell r="AJ11">
            <v>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5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219</v>
          </cell>
          <cell r="BE11">
            <v>1</v>
          </cell>
          <cell r="BF11">
            <v>4</v>
          </cell>
          <cell r="BG11">
            <v>0</v>
          </cell>
          <cell r="BH11">
            <v>2</v>
          </cell>
          <cell r="BI11">
            <v>0</v>
          </cell>
          <cell r="BJ11">
            <v>0</v>
          </cell>
          <cell r="BK11">
            <v>0</v>
          </cell>
          <cell r="BL11">
            <v>14</v>
          </cell>
          <cell r="BM11">
            <v>1</v>
          </cell>
          <cell r="BN11">
            <v>3</v>
          </cell>
          <cell r="BO11">
            <v>1</v>
          </cell>
          <cell r="BP11">
            <v>14</v>
          </cell>
          <cell r="BQ11">
            <v>5</v>
          </cell>
          <cell r="BR11">
            <v>0</v>
          </cell>
          <cell r="BS11">
            <v>107</v>
          </cell>
          <cell r="BT11">
            <v>0</v>
          </cell>
          <cell r="BU11">
            <v>851</v>
          </cell>
          <cell r="BV11">
            <v>90</v>
          </cell>
          <cell r="BW11">
            <v>6229</v>
          </cell>
          <cell r="BX11">
            <v>58</v>
          </cell>
          <cell r="BY11">
            <v>124</v>
          </cell>
          <cell r="BZ11">
            <v>0</v>
          </cell>
          <cell r="CA11">
            <v>0</v>
          </cell>
          <cell r="CB11">
            <v>0</v>
          </cell>
          <cell r="CC11">
            <v>34</v>
          </cell>
          <cell r="CD11">
            <v>0</v>
          </cell>
          <cell r="CE11">
            <v>-6445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>
            <v>0</v>
          </cell>
          <cell r="CO11">
            <v>0</v>
          </cell>
          <cell r="CP11">
            <v>0</v>
          </cell>
          <cell r="CQ11">
            <v>0</v>
          </cell>
          <cell r="CR11">
            <v>-6229</v>
          </cell>
        </row>
        <row r="12">
          <cell r="A12" t="str">
            <v>21</v>
          </cell>
          <cell r="D12">
            <v>0</v>
          </cell>
          <cell r="E12">
            <v>0</v>
          </cell>
          <cell r="F12">
            <v>202</v>
          </cell>
          <cell r="G12">
            <v>40</v>
          </cell>
          <cell r="H12">
            <v>19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1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262</v>
          </cell>
          <cell r="BX12">
            <v>0</v>
          </cell>
          <cell r="BY12">
            <v>64</v>
          </cell>
          <cell r="BZ12">
            <v>0</v>
          </cell>
          <cell r="CA12">
            <v>0</v>
          </cell>
          <cell r="CB12">
            <v>1196</v>
          </cell>
          <cell r="CC12">
            <v>0</v>
          </cell>
          <cell r="CD12">
            <v>0</v>
          </cell>
          <cell r="CE12">
            <v>-1522</v>
          </cell>
          <cell r="CF12">
            <v>0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  <cell r="CO12">
            <v>0</v>
          </cell>
          <cell r="CP12">
            <v>0</v>
          </cell>
          <cell r="CQ12">
            <v>0</v>
          </cell>
          <cell r="CR12">
            <v>-262</v>
          </cell>
        </row>
        <row r="13">
          <cell r="A13" t="str">
            <v>22</v>
          </cell>
          <cell r="D13">
            <v>18</v>
          </cell>
          <cell r="E13">
            <v>0</v>
          </cell>
          <cell r="F13">
            <v>37</v>
          </cell>
          <cell r="G13">
            <v>19</v>
          </cell>
          <cell r="H13">
            <v>2</v>
          </cell>
          <cell r="I13">
            <v>143</v>
          </cell>
          <cell r="J13">
            <v>96</v>
          </cell>
          <cell r="K13">
            <v>10</v>
          </cell>
          <cell r="L13">
            <v>17</v>
          </cell>
          <cell r="M13">
            <v>29</v>
          </cell>
          <cell r="N13">
            <v>20</v>
          </cell>
          <cell r="O13">
            <v>12</v>
          </cell>
          <cell r="P13">
            <v>8</v>
          </cell>
          <cell r="Q13">
            <v>4</v>
          </cell>
          <cell r="R13">
            <v>14</v>
          </cell>
          <cell r="S13">
            <v>27</v>
          </cell>
          <cell r="T13">
            <v>3</v>
          </cell>
          <cell r="U13">
            <v>5</v>
          </cell>
          <cell r="V13">
            <v>45</v>
          </cell>
          <cell r="W13">
            <v>5</v>
          </cell>
          <cell r="X13">
            <v>2</v>
          </cell>
          <cell r="Y13">
            <v>22</v>
          </cell>
          <cell r="Z13">
            <v>6</v>
          </cell>
          <cell r="AA13">
            <v>19</v>
          </cell>
          <cell r="AB13">
            <v>48</v>
          </cell>
          <cell r="AC13">
            <v>24</v>
          </cell>
          <cell r="AD13">
            <v>110</v>
          </cell>
          <cell r="AE13">
            <v>40</v>
          </cell>
          <cell r="AF13">
            <v>67</v>
          </cell>
          <cell r="AG13">
            <v>59</v>
          </cell>
          <cell r="AH13">
            <v>136</v>
          </cell>
          <cell r="AI13">
            <v>2</v>
          </cell>
          <cell r="AJ13">
            <v>0</v>
          </cell>
          <cell r="AK13">
            <v>2</v>
          </cell>
          <cell r="AL13">
            <v>30</v>
          </cell>
          <cell r="AM13">
            <v>3</v>
          </cell>
          <cell r="AN13">
            <v>7</v>
          </cell>
          <cell r="AO13">
            <v>11</v>
          </cell>
          <cell r="AP13">
            <v>15</v>
          </cell>
          <cell r="AQ13">
            <v>7</v>
          </cell>
          <cell r="AR13">
            <v>3</v>
          </cell>
          <cell r="AS13">
            <v>45</v>
          </cell>
          <cell r="AT13">
            <v>44</v>
          </cell>
          <cell r="AU13">
            <v>30</v>
          </cell>
          <cell r="AV13">
            <v>10</v>
          </cell>
          <cell r="AW13">
            <v>4</v>
          </cell>
          <cell r="AX13">
            <v>0</v>
          </cell>
          <cell r="AY13">
            <v>2</v>
          </cell>
          <cell r="AZ13">
            <v>200</v>
          </cell>
          <cell r="BA13">
            <v>18</v>
          </cell>
          <cell r="BB13">
            <v>3</v>
          </cell>
          <cell r="BC13">
            <v>8</v>
          </cell>
          <cell r="BD13">
            <v>36</v>
          </cell>
          <cell r="BE13">
            <v>36</v>
          </cell>
          <cell r="BF13">
            <v>22</v>
          </cell>
          <cell r="BG13">
            <v>10</v>
          </cell>
          <cell r="BH13">
            <v>13</v>
          </cell>
          <cell r="BI13">
            <v>29</v>
          </cell>
          <cell r="BJ13">
            <v>42</v>
          </cell>
          <cell r="BK13">
            <v>21</v>
          </cell>
          <cell r="BL13">
            <v>11</v>
          </cell>
          <cell r="BM13">
            <v>8</v>
          </cell>
          <cell r="BN13">
            <v>24</v>
          </cell>
          <cell r="BO13">
            <v>35</v>
          </cell>
          <cell r="BP13">
            <v>150</v>
          </cell>
          <cell r="BQ13">
            <v>50</v>
          </cell>
          <cell r="BR13">
            <v>9</v>
          </cell>
          <cell r="BS13">
            <v>1</v>
          </cell>
          <cell r="BT13">
            <v>48</v>
          </cell>
          <cell r="BU13">
            <v>39</v>
          </cell>
          <cell r="BV13">
            <v>13</v>
          </cell>
          <cell r="BW13">
            <v>2088</v>
          </cell>
          <cell r="BX13">
            <v>1386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-3474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  <cell r="CQ13">
            <v>0</v>
          </cell>
          <cell r="CR13">
            <v>-2088</v>
          </cell>
        </row>
        <row r="14">
          <cell r="A14" t="str">
            <v>23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</row>
        <row r="15">
          <cell r="A15" t="str">
            <v>31G</v>
          </cell>
          <cell r="D15">
            <v>9</v>
          </cell>
          <cell r="E15">
            <v>0</v>
          </cell>
          <cell r="F15">
            <v>0</v>
          </cell>
          <cell r="G15">
            <v>3</v>
          </cell>
          <cell r="H15">
            <v>8</v>
          </cell>
          <cell r="I15">
            <v>0</v>
          </cell>
          <cell r="J15">
            <v>10206</v>
          </cell>
          <cell r="K15">
            <v>4961</v>
          </cell>
          <cell r="L15">
            <v>4</v>
          </cell>
          <cell r="M15">
            <v>1</v>
          </cell>
          <cell r="N15">
            <v>37</v>
          </cell>
          <cell r="O15">
            <v>189</v>
          </cell>
          <cell r="P15">
            <v>2</v>
          </cell>
          <cell r="Q15">
            <v>0</v>
          </cell>
          <cell r="R15">
            <v>508</v>
          </cell>
          <cell r="S15">
            <v>36</v>
          </cell>
          <cell r="T15">
            <v>1492</v>
          </cell>
          <cell r="U15">
            <v>274</v>
          </cell>
          <cell r="V15">
            <v>31</v>
          </cell>
          <cell r="W15">
            <v>23</v>
          </cell>
          <cell r="X15">
            <v>0</v>
          </cell>
          <cell r="Y15">
            <v>573</v>
          </cell>
          <cell r="Z15">
            <v>1</v>
          </cell>
          <cell r="AA15">
            <v>0</v>
          </cell>
          <cell r="AB15">
            <v>38</v>
          </cell>
          <cell r="AC15">
            <v>313</v>
          </cell>
          <cell r="AD15">
            <v>268</v>
          </cell>
          <cell r="AE15">
            <v>9</v>
          </cell>
          <cell r="AF15">
            <v>21</v>
          </cell>
          <cell r="AG15">
            <v>9</v>
          </cell>
          <cell r="AH15">
            <v>61</v>
          </cell>
          <cell r="AI15">
            <v>0</v>
          </cell>
          <cell r="AJ15">
            <v>208</v>
          </cell>
          <cell r="AK15">
            <v>0</v>
          </cell>
          <cell r="AL15">
            <v>1</v>
          </cell>
          <cell r="AM15">
            <v>0</v>
          </cell>
          <cell r="AN15">
            <v>1</v>
          </cell>
          <cell r="AO15">
            <v>2</v>
          </cell>
          <cell r="AP15">
            <v>16</v>
          </cell>
          <cell r="AQ15">
            <v>3</v>
          </cell>
          <cell r="AR15">
            <v>10</v>
          </cell>
          <cell r="AS15">
            <v>89</v>
          </cell>
          <cell r="AT15">
            <v>191</v>
          </cell>
          <cell r="AU15">
            <v>72</v>
          </cell>
          <cell r="AV15">
            <v>2</v>
          </cell>
          <cell r="AW15">
            <v>0</v>
          </cell>
          <cell r="AX15">
            <v>0</v>
          </cell>
          <cell r="AY15">
            <v>5</v>
          </cell>
          <cell r="AZ15">
            <v>606</v>
          </cell>
          <cell r="BA15">
            <v>122</v>
          </cell>
          <cell r="BB15">
            <v>3</v>
          </cell>
          <cell r="BC15">
            <v>8</v>
          </cell>
          <cell r="BD15">
            <v>85</v>
          </cell>
          <cell r="BE15">
            <v>0</v>
          </cell>
          <cell r="BF15">
            <v>81</v>
          </cell>
          <cell r="BG15">
            <v>6</v>
          </cell>
          <cell r="BH15">
            <v>10</v>
          </cell>
          <cell r="BI15">
            <v>89</v>
          </cell>
          <cell r="BJ15">
            <v>97</v>
          </cell>
          <cell r="BK15">
            <v>1</v>
          </cell>
          <cell r="BL15">
            <v>125</v>
          </cell>
          <cell r="BM15">
            <v>2</v>
          </cell>
          <cell r="BN15">
            <v>53</v>
          </cell>
          <cell r="BO15">
            <v>300</v>
          </cell>
          <cell r="BP15">
            <v>246</v>
          </cell>
          <cell r="BQ15">
            <v>94</v>
          </cell>
          <cell r="BR15">
            <v>6</v>
          </cell>
          <cell r="BS15">
            <v>5</v>
          </cell>
          <cell r="BT15">
            <v>2</v>
          </cell>
          <cell r="BU15">
            <v>879</v>
          </cell>
          <cell r="BV15">
            <v>41</v>
          </cell>
          <cell r="BW15">
            <v>22538</v>
          </cell>
          <cell r="BX15">
            <v>1979</v>
          </cell>
          <cell r="BY15">
            <v>0</v>
          </cell>
          <cell r="BZ15">
            <v>0</v>
          </cell>
          <cell r="CA15">
            <v>10</v>
          </cell>
          <cell r="CB15">
            <v>0</v>
          </cell>
          <cell r="CC15">
            <v>-8</v>
          </cell>
          <cell r="CD15">
            <v>0</v>
          </cell>
          <cell r="CE15">
            <v>-24518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R15">
            <v>-22538</v>
          </cell>
        </row>
        <row r="16">
          <cell r="A16" t="str">
            <v>31G</v>
          </cell>
          <cell r="D16">
            <v>0</v>
          </cell>
          <cell r="E16">
            <v>0</v>
          </cell>
          <cell r="F16">
            <v>441</v>
          </cell>
          <cell r="G16">
            <v>7</v>
          </cell>
          <cell r="H16">
            <v>65</v>
          </cell>
          <cell r="I16">
            <v>0</v>
          </cell>
          <cell r="J16">
            <v>8249</v>
          </cell>
          <cell r="K16">
            <v>160</v>
          </cell>
          <cell r="L16">
            <v>3504</v>
          </cell>
          <cell r="M16">
            <v>592</v>
          </cell>
          <cell r="N16">
            <v>487</v>
          </cell>
          <cell r="O16">
            <v>551</v>
          </cell>
          <cell r="P16">
            <v>82</v>
          </cell>
          <cell r="Q16">
            <v>359</v>
          </cell>
          <cell r="R16">
            <v>1452</v>
          </cell>
          <cell r="S16">
            <v>143</v>
          </cell>
          <cell r="T16">
            <v>84</v>
          </cell>
          <cell r="U16">
            <v>209</v>
          </cell>
          <cell r="V16">
            <v>679</v>
          </cell>
          <cell r="W16">
            <v>10</v>
          </cell>
          <cell r="X16">
            <v>0</v>
          </cell>
          <cell r="Y16">
            <v>14</v>
          </cell>
          <cell r="Z16">
            <v>0</v>
          </cell>
          <cell r="AA16">
            <v>343</v>
          </cell>
          <cell r="AB16">
            <v>220</v>
          </cell>
          <cell r="AC16">
            <v>504</v>
          </cell>
          <cell r="AD16">
            <v>18</v>
          </cell>
          <cell r="AE16">
            <v>137</v>
          </cell>
          <cell r="AF16">
            <v>26</v>
          </cell>
          <cell r="AG16">
            <v>6</v>
          </cell>
          <cell r="AH16">
            <v>216</v>
          </cell>
          <cell r="AI16">
            <v>0</v>
          </cell>
          <cell r="AJ16">
            <v>3</v>
          </cell>
          <cell r="AK16">
            <v>0</v>
          </cell>
          <cell r="AL16">
            <v>52</v>
          </cell>
          <cell r="AM16">
            <v>0</v>
          </cell>
          <cell r="AN16">
            <v>0</v>
          </cell>
          <cell r="AO16">
            <v>2</v>
          </cell>
          <cell r="AP16">
            <v>31</v>
          </cell>
          <cell r="AQ16">
            <v>0</v>
          </cell>
          <cell r="AR16">
            <v>0</v>
          </cell>
          <cell r="AS16">
            <v>906</v>
          </cell>
          <cell r="AT16">
            <v>148</v>
          </cell>
          <cell r="AU16">
            <v>11</v>
          </cell>
          <cell r="AV16">
            <v>18</v>
          </cell>
          <cell r="AW16">
            <v>13</v>
          </cell>
          <cell r="AX16">
            <v>0</v>
          </cell>
          <cell r="AY16">
            <v>1</v>
          </cell>
          <cell r="AZ16">
            <v>0</v>
          </cell>
          <cell r="BA16">
            <v>196</v>
          </cell>
          <cell r="BB16">
            <v>0</v>
          </cell>
          <cell r="BC16">
            <v>7</v>
          </cell>
          <cell r="BD16">
            <v>848</v>
          </cell>
          <cell r="BE16">
            <v>16</v>
          </cell>
          <cell r="BF16">
            <v>186</v>
          </cell>
          <cell r="BG16">
            <v>118</v>
          </cell>
          <cell r="BH16">
            <v>35</v>
          </cell>
          <cell r="BI16">
            <v>441</v>
          </cell>
          <cell r="BJ16">
            <v>1618</v>
          </cell>
          <cell r="BK16">
            <v>46</v>
          </cell>
          <cell r="BL16">
            <v>118</v>
          </cell>
          <cell r="BM16">
            <v>1</v>
          </cell>
          <cell r="BN16">
            <v>37</v>
          </cell>
          <cell r="BO16">
            <v>14</v>
          </cell>
          <cell r="BP16">
            <v>868</v>
          </cell>
          <cell r="BQ16">
            <v>161</v>
          </cell>
          <cell r="BR16">
            <v>15</v>
          </cell>
          <cell r="BS16">
            <v>364</v>
          </cell>
          <cell r="BT16">
            <v>0</v>
          </cell>
          <cell r="BU16">
            <v>765</v>
          </cell>
          <cell r="BV16">
            <v>231</v>
          </cell>
          <cell r="BW16">
            <v>25830</v>
          </cell>
          <cell r="BX16">
            <v>6910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-88</v>
          </cell>
          <cell r="CD16">
            <v>0</v>
          </cell>
          <cell r="CE16">
            <v>-32651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  <cell r="CQ16">
            <v>0</v>
          </cell>
          <cell r="CR16">
            <v>-25830</v>
          </cell>
        </row>
        <row r="17">
          <cell r="A17" t="str">
            <v>31G</v>
          </cell>
          <cell r="D17">
            <v>49</v>
          </cell>
          <cell r="E17">
            <v>0</v>
          </cell>
          <cell r="F17">
            <v>1955</v>
          </cell>
          <cell r="G17">
            <v>118</v>
          </cell>
          <cell r="H17">
            <v>63</v>
          </cell>
          <cell r="I17">
            <v>0</v>
          </cell>
          <cell r="J17">
            <v>2473</v>
          </cell>
          <cell r="K17">
            <v>82</v>
          </cell>
          <cell r="L17">
            <v>483</v>
          </cell>
          <cell r="M17">
            <v>38989</v>
          </cell>
          <cell r="N17">
            <v>16129</v>
          </cell>
          <cell r="O17">
            <v>8378</v>
          </cell>
          <cell r="P17">
            <v>1879</v>
          </cell>
          <cell r="Q17">
            <v>6088</v>
          </cell>
          <cell r="R17">
            <v>11742</v>
          </cell>
          <cell r="S17">
            <v>2140</v>
          </cell>
          <cell r="T17">
            <v>881</v>
          </cell>
          <cell r="U17">
            <v>2044</v>
          </cell>
          <cell r="V17">
            <v>449</v>
          </cell>
          <cell r="W17">
            <v>9</v>
          </cell>
          <cell r="X17">
            <v>0</v>
          </cell>
          <cell r="Y17">
            <v>246</v>
          </cell>
          <cell r="Z17">
            <v>6</v>
          </cell>
          <cell r="AA17">
            <v>5</v>
          </cell>
          <cell r="AB17">
            <v>14</v>
          </cell>
          <cell r="AC17">
            <v>385</v>
          </cell>
          <cell r="AD17">
            <v>203</v>
          </cell>
          <cell r="AE17">
            <v>3</v>
          </cell>
          <cell r="AF17">
            <v>0</v>
          </cell>
          <cell r="AG17">
            <v>0</v>
          </cell>
          <cell r="AH17">
            <v>402</v>
          </cell>
          <cell r="AI17">
            <v>0</v>
          </cell>
          <cell r="AJ17">
            <v>58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6</v>
          </cell>
          <cell r="AP17">
            <v>0</v>
          </cell>
          <cell r="AQ17">
            <v>5</v>
          </cell>
          <cell r="AR17">
            <v>4</v>
          </cell>
          <cell r="AS17">
            <v>73</v>
          </cell>
          <cell r="AT17">
            <v>536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1409</v>
          </cell>
          <cell r="BA17">
            <v>69</v>
          </cell>
          <cell r="BB17">
            <v>0</v>
          </cell>
          <cell r="BC17">
            <v>0</v>
          </cell>
          <cell r="BD17">
            <v>777</v>
          </cell>
          <cell r="BE17">
            <v>21</v>
          </cell>
          <cell r="BF17">
            <v>300</v>
          </cell>
          <cell r="BG17">
            <v>108</v>
          </cell>
          <cell r="BH17">
            <v>130</v>
          </cell>
          <cell r="BI17">
            <v>76</v>
          </cell>
          <cell r="BJ17">
            <v>10</v>
          </cell>
          <cell r="BK17">
            <v>7</v>
          </cell>
          <cell r="BL17">
            <v>159</v>
          </cell>
          <cell r="BM17">
            <v>18</v>
          </cell>
          <cell r="BN17">
            <v>143</v>
          </cell>
          <cell r="BO17">
            <v>16</v>
          </cell>
          <cell r="BP17">
            <v>39</v>
          </cell>
          <cell r="BQ17">
            <v>417</v>
          </cell>
          <cell r="BR17">
            <v>157</v>
          </cell>
          <cell r="BS17">
            <v>397</v>
          </cell>
          <cell r="BT17">
            <v>0</v>
          </cell>
          <cell r="BU17">
            <v>22</v>
          </cell>
          <cell r="BV17">
            <v>281</v>
          </cell>
          <cell r="BW17">
            <v>100451</v>
          </cell>
          <cell r="BX17">
            <v>421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C17">
            <v>201</v>
          </cell>
          <cell r="CD17">
            <v>0</v>
          </cell>
          <cell r="CE17">
            <v>-101074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N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-100451</v>
          </cell>
        </row>
        <row r="18">
          <cell r="A18" t="str">
            <v>31G</v>
          </cell>
          <cell r="D18">
            <v>687</v>
          </cell>
          <cell r="E18">
            <v>59</v>
          </cell>
          <cell r="F18">
            <v>3619</v>
          </cell>
          <cell r="G18">
            <v>148</v>
          </cell>
          <cell r="H18">
            <v>78</v>
          </cell>
          <cell r="I18">
            <v>404</v>
          </cell>
          <cell r="J18">
            <v>21282</v>
          </cell>
          <cell r="K18">
            <v>526</v>
          </cell>
          <cell r="L18">
            <v>158</v>
          </cell>
          <cell r="M18">
            <v>390</v>
          </cell>
          <cell r="N18">
            <v>4062</v>
          </cell>
          <cell r="O18">
            <v>3861</v>
          </cell>
          <cell r="P18">
            <v>583</v>
          </cell>
          <cell r="Q18">
            <v>900</v>
          </cell>
          <cell r="R18">
            <v>4798</v>
          </cell>
          <cell r="S18">
            <v>1767</v>
          </cell>
          <cell r="T18">
            <v>609</v>
          </cell>
          <cell r="U18">
            <v>420</v>
          </cell>
          <cell r="V18">
            <v>2006</v>
          </cell>
          <cell r="W18">
            <v>50</v>
          </cell>
          <cell r="X18">
            <v>1</v>
          </cell>
          <cell r="Y18">
            <v>700</v>
          </cell>
          <cell r="Z18">
            <v>42</v>
          </cell>
          <cell r="AA18">
            <v>55</v>
          </cell>
          <cell r="AB18">
            <v>1470</v>
          </cell>
          <cell r="AC18">
            <v>929</v>
          </cell>
          <cell r="AD18">
            <v>414</v>
          </cell>
          <cell r="AE18">
            <v>94</v>
          </cell>
          <cell r="AF18">
            <v>71</v>
          </cell>
          <cell r="AG18">
            <v>28</v>
          </cell>
          <cell r="AH18">
            <v>963</v>
          </cell>
          <cell r="AI18">
            <v>1</v>
          </cell>
          <cell r="AJ18">
            <v>87</v>
          </cell>
          <cell r="AK18">
            <v>27</v>
          </cell>
          <cell r="AL18">
            <v>377</v>
          </cell>
          <cell r="AM18">
            <v>223</v>
          </cell>
          <cell r="AN18">
            <v>11</v>
          </cell>
          <cell r="AO18">
            <v>96</v>
          </cell>
          <cell r="AP18">
            <v>162</v>
          </cell>
          <cell r="AQ18">
            <v>36</v>
          </cell>
          <cell r="AR18">
            <v>4</v>
          </cell>
          <cell r="AS18">
            <v>3522</v>
          </cell>
          <cell r="AT18">
            <v>429</v>
          </cell>
          <cell r="AU18">
            <v>79</v>
          </cell>
          <cell r="AV18">
            <v>31</v>
          </cell>
          <cell r="AW18">
            <v>0</v>
          </cell>
          <cell r="AX18">
            <v>29</v>
          </cell>
          <cell r="AY18">
            <v>4</v>
          </cell>
          <cell r="AZ18">
            <v>851</v>
          </cell>
          <cell r="BA18">
            <v>491</v>
          </cell>
          <cell r="BB18">
            <v>12</v>
          </cell>
          <cell r="BC18">
            <v>389</v>
          </cell>
          <cell r="BD18">
            <v>1341</v>
          </cell>
          <cell r="BE18">
            <v>127</v>
          </cell>
          <cell r="BF18">
            <v>910</v>
          </cell>
          <cell r="BG18">
            <v>704</v>
          </cell>
          <cell r="BH18">
            <v>109</v>
          </cell>
          <cell r="BI18">
            <v>60</v>
          </cell>
          <cell r="BJ18">
            <v>268</v>
          </cell>
          <cell r="BK18">
            <v>7</v>
          </cell>
          <cell r="BL18">
            <v>1082</v>
          </cell>
          <cell r="BM18">
            <v>16</v>
          </cell>
          <cell r="BN18">
            <v>274</v>
          </cell>
          <cell r="BO18">
            <v>631</v>
          </cell>
          <cell r="BP18">
            <v>1117</v>
          </cell>
          <cell r="BQ18">
            <v>1143</v>
          </cell>
          <cell r="BR18">
            <v>2557</v>
          </cell>
          <cell r="BS18">
            <v>343</v>
          </cell>
          <cell r="BT18">
            <v>58</v>
          </cell>
          <cell r="BU18">
            <v>1294</v>
          </cell>
          <cell r="BV18">
            <v>1172</v>
          </cell>
          <cell r="BW18">
            <v>71246</v>
          </cell>
          <cell r="BX18">
            <v>12892</v>
          </cell>
          <cell r="BY18">
            <v>5407</v>
          </cell>
          <cell r="BZ18">
            <v>0</v>
          </cell>
          <cell r="CA18">
            <v>0</v>
          </cell>
          <cell r="CB18">
            <v>0</v>
          </cell>
          <cell r="CC18">
            <v>-167</v>
          </cell>
          <cell r="CD18">
            <v>0</v>
          </cell>
          <cell r="CE18">
            <v>-89621</v>
          </cell>
          <cell r="CF18">
            <v>0</v>
          </cell>
          <cell r="CG18">
            <v>168</v>
          </cell>
          <cell r="CH18">
            <v>0</v>
          </cell>
          <cell r="CI18">
            <v>0</v>
          </cell>
          <cell r="CJ18">
            <v>0</v>
          </cell>
          <cell r="CK18">
            <v>16</v>
          </cell>
          <cell r="CL18">
            <v>0</v>
          </cell>
          <cell r="CM18">
            <v>0</v>
          </cell>
          <cell r="CN18">
            <v>0</v>
          </cell>
          <cell r="CO18">
            <v>60</v>
          </cell>
          <cell r="CP18">
            <v>0</v>
          </cell>
          <cell r="CQ18">
            <v>0</v>
          </cell>
          <cell r="CR18">
            <v>-71246</v>
          </cell>
        </row>
        <row r="19">
          <cell r="A19" t="str">
            <v>31G</v>
          </cell>
          <cell r="D19">
            <v>2013</v>
          </cell>
          <cell r="E19">
            <v>17</v>
          </cell>
          <cell r="F19">
            <v>5628</v>
          </cell>
          <cell r="G19">
            <v>2035</v>
          </cell>
          <cell r="H19">
            <v>1093</v>
          </cell>
          <cell r="I19">
            <v>585</v>
          </cell>
          <cell r="J19">
            <v>13975</v>
          </cell>
          <cell r="K19">
            <v>180</v>
          </cell>
          <cell r="L19">
            <v>68</v>
          </cell>
          <cell r="M19">
            <v>391</v>
          </cell>
          <cell r="N19">
            <v>2063</v>
          </cell>
          <cell r="O19">
            <v>16646</v>
          </cell>
          <cell r="P19">
            <v>191</v>
          </cell>
          <cell r="Q19">
            <v>1264</v>
          </cell>
          <cell r="R19">
            <v>17424</v>
          </cell>
          <cell r="S19">
            <v>1589</v>
          </cell>
          <cell r="T19">
            <v>60</v>
          </cell>
          <cell r="U19">
            <v>362</v>
          </cell>
          <cell r="V19">
            <v>3568</v>
          </cell>
          <cell r="W19">
            <v>16</v>
          </cell>
          <cell r="X19">
            <v>-4</v>
          </cell>
          <cell r="Y19">
            <v>835</v>
          </cell>
          <cell r="Z19">
            <v>739</v>
          </cell>
          <cell r="AA19">
            <v>28</v>
          </cell>
          <cell r="AB19">
            <v>2800</v>
          </cell>
          <cell r="AC19">
            <v>1114</v>
          </cell>
          <cell r="AD19">
            <v>1368</v>
          </cell>
          <cell r="AE19">
            <v>103</v>
          </cell>
          <cell r="AF19">
            <v>51</v>
          </cell>
          <cell r="AG19">
            <v>29</v>
          </cell>
          <cell r="AH19">
            <v>364</v>
          </cell>
          <cell r="AI19">
            <v>1</v>
          </cell>
          <cell r="AJ19">
            <v>9</v>
          </cell>
          <cell r="AK19">
            <v>24</v>
          </cell>
          <cell r="AL19">
            <v>184</v>
          </cell>
          <cell r="AM19">
            <v>52</v>
          </cell>
          <cell r="AN19">
            <v>14</v>
          </cell>
          <cell r="AO19">
            <v>2998</v>
          </cell>
          <cell r="AP19">
            <v>506</v>
          </cell>
          <cell r="AQ19">
            <v>19</v>
          </cell>
          <cell r="AR19">
            <v>2</v>
          </cell>
          <cell r="AS19">
            <v>280</v>
          </cell>
          <cell r="AT19">
            <v>70</v>
          </cell>
          <cell r="AU19">
            <v>1</v>
          </cell>
          <cell r="AV19">
            <v>6</v>
          </cell>
          <cell r="AW19">
            <v>547</v>
          </cell>
          <cell r="AX19">
            <v>0</v>
          </cell>
          <cell r="AY19">
            <v>1</v>
          </cell>
          <cell r="AZ19">
            <v>3</v>
          </cell>
          <cell r="BA19">
            <v>303</v>
          </cell>
          <cell r="BB19">
            <v>2</v>
          </cell>
          <cell r="BC19">
            <v>1492</v>
          </cell>
          <cell r="BD19">
            <v>1807</v>
          </cell>
          <cell r="BE19">
            <v>275</v>
          </cell>
          <cell r="BF19">
            <v>3698</v>
          </cell>
          <cell r="BG19">
            <v>2956</v>
          </cell>
          <cell r="BH19">
            <v>538</v>
          </cell>
          <cell r="BI19">
            <v>872</v>
          </cell>
          <cell r="BJ19">
            <v>234</v>
          </cell>
          <cell r="BK19">
            <v>26</v>
          </cell>
          <cell r="BL19">
            <v>55</v>
          </cell>
          <cell r="BM19">
            <v>14</v>
          </cell>
          <cell r="BN19">
            <v>135</v>
          </cell>
          <cell r="BO19">
            <v>39</v>
          </cell>
          <cell r="BP19">
            <v>257</v>
          </cell>
          <cell r="BQ19">
            <v>3057</v>
          </cell>
          <cell r="BR19">
            <v>456</v>
          </cell>
          <cell r="BS19">
            <v>337</v>
          </cell>
          <cell r="BT19">
            <v>-44</v>
          </cell>
          <cell r="BU19">
            <v>3209</v>
          </cell>
          <cell r="BV19">
            <v>2356</v>
          </cell>
          <cell r="BW19">
            <v>103387</v>
          </cell>
          <cell r="BX19">
            <v>8746</v>
          </cell>
          <cell r="BY19">
            <v>115322</v>
          </cell>
          <cell r="BZ19">
            <v>0</v>
          </cell>
          <cell r="CA19">
            <v>0</v>
          </cell>
          <cell r="CB19">
            <v>0</v>
          </cell>
          <cell r="CC19">
            <v>164</v>
          </cell>
          <cell r="CD19">
            <v>0</v>
          </cell>
          <cell r="CE19">
            <v>-233266</v>
          </cell>
          <cell r="CF19">
            <v>0</v>
          </cell>
          <cell r="CG19">
            <v>648</v>
          </cell>
          <cell r="CH19">
            <v>0</v>
          </cell>
          <cell r="CI19">
            <v>0</v>
          </cell>
          <cell r="CJ19">
            <v>0</v>
          </cell>
          <cell r="CK19">
            <v>45</v>
          </cell>
          <cell r="CL19">
            <v>0</v>
          </cell>
          <cell r="CM19">
            <v>0</v>
          </cell>
          <cell r="CN19">
            <v>0</v>
          </cell>
          <cell r="CO19">
            <v>4954</v>
          </cell>
          <cell r="CP19">
            <v>0</v>
          </cell>
          <cell r="CQ19">
            <v>0</v>
          </cell>
          <cell r="CR19">
            <v>-103387</v>
          </cell>
        </row>
        <row r="20">
          <cell r="A20" t="str">
            <v>31G</v>
          </cell>
          <cell r="D20">
            <v>3</v>
          </cell>
          <cell r="E20">
            <v>0</v>
          </cell>
          <cell r="F20">
            <v>54</v>
          </cell>
          <cell r="G20">
            <v>14</v>
          </cell>
          <cell r="H20">
            <v>55</v>
          </cell>
          <cell r="I20">
            <v>31</v>
          </cell>
          <cell r="J20">
            <v>4071</v>
          </cell>
          <cell r="K20">
            <v>523</v>
          </cell>
          <cell r="L20">
            <v>235</v>
          </cell>
          <cell r="M20">
            <v>546</v>
          </cell>
          <cell r="N20">
            <v>2427</v>
          </cell>
          <cell r="O20">
            <v>2904</v>
          </cell>
          <cell r="P20">
            <v>16968</v>
          </cell>
          <cell r="Q20">
            <v>951</v>
          </cell>
          <cell r="R20">
            <v>15420</v>
          </cell>
          <cell r="S20">
            <v>12664</v>
          </cell>
          <cell r="T20">
            <v>320</v>
          </cell>
          <cell r="U20">
            <v>556</v>
          </cell>
          <cell r="V20">
            <v>1463</v>
          </cell>
          <cell r="W20">
            <v>133</v>
          </cell>
          <cell r="X20">
            <v>4</v>
          </cell>
          <cell r="Y20">
            <v>-88</v>
          </cell>
          <cell r="Z20">
            <v>290</v>
          </cell>
          <cell r="AA20">
            <v>159</v>
          </cell>
          <cell r="AB20">
            <v>1894</v>
          </cell>
          <cell r="AC20">
            <v>738</v>
          </cell>
          <cell r="AD20">
            <v>30584</v>
          </cell>
          <cell r="AE20">
            <v>831</v>
          </cell>
          <cell r="AF20">
            <v>340</v>
          </cell>
          <cell r="AG20">
            <v>446</v>
          </cell>
          <cell r="AH20">
            <v>1642</v>
          </cell>
          <cell r="AI20">
            <v>3</v>
          </cell>
          <cell r="AJ20">
            <v>15</v>
          </cell>
          <cell r="AK20">
            <v>0</v>
          </cell>
          <cell r="AL20">
            <v>221</v>
          </cell>
          <cell r="AM20">
            <v>2</v>
          </cell>
          <cell r="AN20">
            <v>3</v>
          </cell>
          <cell r="AO20">
            <v>44</v>
          </cell>
          <cell r="AP20">
            <v>117</v>
          </cell>
          <cell r="AQ20">
            <v>1829</v>
          </cell>
          <cell r="AR20">
            <v>300</v>
          </cell>
          <cell r="AS20">
            <v>17038</v>
          </cell>
          <cell r="AT20">
            <v>7812</v>
          </cell>
          <cell r="AU20">
            <v>874</v>
          </cell>
          <cell r="AV20">
            <v>1226</v>
          </cell>
          <cell r="AW20">
            <v>22</v>
          </cell>
          <cell r="AX20">
            <v>1229</v>
          </cell>
          <cell r="AY20">
            <v>0</v>
          </cell>
          <cell r="AZ20">
            <v>320</v>
          </cell>
          <cell r="BA20">
            <v>173</v>
          </cell>
          <cell r="BB20">
            <v>1120</v>
          </cell>
          <cell r="BC20">
            <v>3406</v>
          </cell>
          <cell r="BD20">
            <v>6783</v>
          </cell>
          <cell r="BE20">
            <v>8563</v>
          </cell>
          <cell r="BF20">
            <v>4371</v>
          </cell>
          <cell r="BG20">
            <v>508</v>
          </cell>
          <cell r="BH20">
            <v>371</v>
          </cell>
          <cell r="BI20">
            <v>3839</v>
          </cell>
          <cell r="BJ20">
            <v>659</v>
          </cell>
          <cell r="BK20">
            <v>92</v>
          </cell>
          <cell r="BL20">
            <v>528</v>
          </cell>
          <cell r="BM20">
            <v>24</v>
          </cell>
          <cell r="BN20">
            <v>189</v>
          </cell>
          <cell r="BO20">
            <v>137</v>
          </cell>
          <cell r="BP20">
            <v>170</v>
          </cell>
          <cell r="BQ20">
            <v>2605</v>
          </cell>
          <cell r="BR20">
            <v>4411</v>
          </cell>
          <cell r="BS20">
            <v>2979</v>
          </cell>
          <cell r="BT20">
            <v>0</v>
          </cell>
          <cell r="BU20">
            <v>1326</v>
          </cell>
          <cell r="BV20">
            <v>881</v>
          </cell>
          <cell r="BW20">
            <v>170368</v>
          </cell>
          <cell r="BX20">
            <v>105572</v>
          </cell>
          <cell r="BY20">
            <v>115838</v>
          </cell>
          <cell r="BZ20">
            <v>0</v>
          </cell>
          <cell r="CA20">
            <v>93</v>
          </cell>
          <cell r="CB20">
            <v>0</v>
          </cell>
          <cell r="CC20">
            <v>-2140</v>
          </cell>
          <cell r="CD20">
            <v>0</v>
          </cell>
          <cell r="CE20">
            <v>-398909</v>
          </cell>
          <cell r="CF20">
            <v>0</v>
          </cell>
          <cell r="CG20">
            <v>4742</v>
          </cell>
          <cell r="CH20">
            <v>0</v>
          </cell>
          <cell r="CI20">
            <v>0</v>
          </cell>
          <cell r="CJ20">
            <v>0</v>
          </cell>
          <cell r="CK20">
            <v>1066</v>
          </cell>
          <cell r="CL20">
            <v>0</v>
          </cell>
          <cell r="CM20">
            <v>0</v>
          </cell>
          <cell r="CN20">
            <v>0</v>
          </cell>
          <cell r="CO20">
            <v>3369</v>
          </cell>
          <cell r="CP20">
            <v>0</v>
          </cell>
          <cell r="CQ20">
            <v>0</v>
          </cell>
          <cell r="CR20">
            <v>-170368</v>
          </cell>
        </row>
        <row r="21">
          <cell r="A21" t="str">
            <v>31G</v>
          </cell>
          <cell r="D21">
            <v>5381</v>
          </cell>
          <cell r="E21">
            <v>26</v>
          </cell>
          <cell r="F21">
            <v>87</v>
          </cell>
          <cell r="G21">
            <v>40</v>
          </cell>
          <cell r="H21">
            <v>475</v>
          </cell>
          <cell r="I21">
            <v>10</v>
          </cell>
          <cell r="J21">
            <v>26880</v>
          </cell>
          <cell r="K21">
            <v>303</v>
          </cell>
          <cell r="L21">
            <v>115</v>
          </cell>
          <cell r="M21">
            <v>1025</v>
          </cell>
          <cell r="N21">
            <v>2133</v>
          </cell>
          <cell r="O21">
            <v>10434</v>
          </cell>
          <cell r="P21">
            <v>1409</v>
          </cell>
          <cell r="Q21">
            <v>6900</v>
          </cell>
          <cell r="R21">
            <v>3491</v>
          </cell>
          <cell r="S21">
            <v>1069</v>
          </cell>
          <cell r="T21">
            <v>101</v>
          </cell>
          <cell r="U21">
            <v>520</v>
          </cell>
          <cell r="V21">
            <v>1486</v>
          </cell>
          <cell r="W21">
            <v>55</v>
          </cell>
          <cell r="X21">
            <v>3</v>
          </cell>
          <cell r="Y21">
            <v>493</v>
          </cell>
          <cell r="Z21">
            <v>98</v>
          </cell>
          <cell r="AA21">
            <v>120</v>
          </cell>
          <cell r="AB21">
            <v>641</v>
          </cell>
          <cell r="AC21">
            <v>581</v>
          </cell>
          <cell r="AD21">
            <v>63</v>
          </cell>
          <cell r="AE21">
            <v>267</v>
          </cell>
          <cell r="AF21">
            <v>49</v>
          </cell>
          <cell r="AG21">
            <v>218</v>
          </cell>
          <cell r="AH21">
            <v>234</v>
          </cell>
          <cell r="AI21">
            <v>1</v>
          </cell>
          <cell r="AJ21">
            <v>65</v>
          </cell>
          <cell r="AK21">
            <v>0</v>
          </cell>
          <cell r="AL21">
            <v>46</v>
          </cell>
          <cell r="AM21">
            <v>115</v>
          </cell>
          <cell r="AN21">
            <v>1</v>
          </cell>
          <cell r="AO21">
            <v>14</v>
          </cell>
          <cell r="AP21">
            <v>65</v>
          </cell>
          <cell r="AQ21">
            <v>3</v>
          </cell>
          <cell r="AR21">
            <v>0</v>
          </cell>
          <cell r="AS21">
            <v>3329</v>
          </cell>
          <cell r="AT21">
            <v>130</v>
          </cell>
          <cell r="AU21">
            <v>100</v>
          </cell>
          <cell r="AV21">
            <v>65</v>
          </cell>
          <cell r="AW21">
            <v>66</v>
          </cell>
          <cell r="AX21">
            <v>0</v>
          </cell>
          <cell r="AY21">
            <v>1</v>
          </cell>
          <cell r="AZ21">
            <v>816</v>
          </cell>
          <cell r="BA21">
            <v>154</v>
          </cell>
          <cell r="BB21">
            <v>0</v>
          </cell>
          <cell r="BC21">
            <v>2014</v>
          </cell>
          <cell r="BD21">
            <v>3840</v>
          </cell>
          <cell r="BE21">
            <v>17</v>
          </cell>
          <cell r="BF21">
            <v>1017</v>
          </cell>
          <cell r="BG21">
            <v>695</v>
          </cell>
          <cell r="BH21">
            <v>75</v>
          </cell>
          <cell r="BI21">
            <v>5</v>
          </cell>
          <cell r="BJ21">
            <v>510</v>
          </cell>
          <cell r="BK21">
            <v>575</v>
          </cell>
          <cell r="BL21">
            <v>200</v>
          </cell>
          <cell r="BM21">
            <v>32</v>
          </cell>
          <cell r="BN21">
            <v>205</v>
          </cell>
          <cell r="BO21">
            <v>501</v>
          </cell>
          <cell r="BP21">
            <v>496</v>
          </cell>
          <cell r="BQ21">
            <v>1761</v>
          </cell>
          <cell r="BR21">
            <v>1563</v>
          </cell>
          <cell r="BS21">
            <v>2525</v>
          </cell>
          <cell r="BT21">
            <v>86</v>
          </cell>
          <cell r="BU21">
            <v>754</v>
          </cell>
          <cell r="BV21">
            <v>1799</v>
          </cell>
          <cell r="BW21">
            <v>88349</v>
          </cell>
          <cell r="BX21">
            <v>52063</v>
          </cell>
          <cell r="BY21">
            <v>23143</v>
          </cell>
          <cell r="BZ21">
            <v>0</v>
          </cell>
          <cell r="CA21">
            <v>4832</v>
          </cell>
          <cell r="CB21">
            <v>0</v>
          </cell>
          <cell r="CC21">
            <v>-430</v>
          </cell>
          <cell r="CD21">
            <v>0</v>
          </cell>
          <cell r="CE21">
            <v>-168788</v>
          </cell>
          <cell r="CF21">
            <v>0</v>
          </cell>
          <cell r="CG21">
            <v>294</v>
          </cell>
          <cell r="CH21">
            <v>0</v>
          </cell>
          <cell r="CI21">
            <v>0</v>
          </cell>
          <cell r="CJ21">
            <v>0</v>
          </cell>
          <cell r="CK21">
            <v>50</v>
          </cell>
          <cell r="CL21">
            <v>0</v>
          </cell>
          <cell r="CM21">
            <v>0</v>
          </cell>
          <cell r="CN21">
            <v>0</v>
          </cell>
          <cell r="CO21">
            <v>486</v>
          </cell>
          <cell r="CP21">
            <v>0</v>
          </cell>
          <cell r="CQ21">
            <v>0</v>
          </cell>
          <cell r="CR21">
            <v>-88349</v>
          </cell>
        </row>
        <row r="22">
          <cell r="A22" t="str">
            <v>31G</v>
          </cell>
          <cell r="D22">
            <v>512</v>
          </cell>
          <cell r="E22">
            <v>30</v>
          </cell>
          <cell r="F22">
            <v>521</v>
          </cell>
          <cell r="G22">
            <v>273</v>
          </cell>
          <cell r="H22">
            <v>107</v>
          </cell>
          <cell r="I22">
            <v>17</v>
          </cell>
          <cell r="J22">
            <v>1190</v>
          </cell>
          <cell r="K22">
            <v>1111</v>
          </cell>
          <cell r="L22">
            <v>271</v>
          </cell>
          <cell r="M22">
            <v>521</v>
          </cell>
          <cell r="N22">
            <v>622</v>
          </cell>
          <cell r="O22">
            <v>4707</v>
          </cell>
          <cell r="P22">
            <v>431</v>
          </cell>
          <cell r="Q22">
            <v>371</v>
          </cell>
          <cell r="R22">
            <v>74831</v>
          </cell>
          <cell r="S22">
            <v>1419</v>
          </cell>
          <cell r="T22">
            <v>230</v>
          </cell>
          <cell r="U22">
            <v>394</v>
          </cell>
          <cell r="V22">
            <v>2267</v>
          </cell>
          <cell r="W22">
            <v>36</v>
          </cell>
          <cell r="X22">
            <v>1</v>
          </cell>
          <cell r="Y22">
            <v>641</v>
          </cell>
          <cell r="Z22">
            <v>78</v>
          </cell>
          <cell r="AA22">
            <v>76</v>
          </cell>
          <cell r="AB22">
            <v>694</v>
          </cell>
          <cell r="AC22">
            <v>366</v>
          </cell>
          <cell r="AD22">
            <v>4356</v>
          </cell>
          <cell r="AE22">
            <v>2656</v>
          </cell>
          <cell r="AF22">
            <v>892</v>
          </cell>
          <cell r="AG22">
            <v>192</v>
          </cell>
          <cell r="AH22">
            <v>2875</v>
          </cell>
          <cell r="AI22">
            <v>0</v>
          </cell>
          <cell r="AJ22">
            <v>27</v>
          </cell>
          <cell r="AK22">
            <v>0</v>
          </cell>
          <cell r="AL22">
            <v>2991</v>
          </cell>
          <cell r="AM22">
            <v>366</v>
          </cell>
          <cell r="AN22">
            <v>0</v>
          </cell>
          <cell r="AO22">
            <v>49</v>
          </cell>
          <cell r="AP22">
            <v>738</v>
          </cell>
          <cell r="AQ22">
            <v>65</v>
          </cell>
          <cell r="AR22">
            <v>46</v>
          </cell>
          <cell r="AS22">
            <v>628</v>
          </cell>
          <cell r="AT22">
            <v>293</v>
          </cell>
          <cell r="AU22">
            <v>99</v>
          </cell>
          <cell r="AV22">
            <v>15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1607</v>
          </cell>
          <cell r="BB22">
            <v>0</v>
          </cell>
          <cell r="BC22">
            <v>50</v>
          </cell>
          <cell r="BD22">
            <v>1548</v>
          </cell>
          <cell r="BE22">
            <v>346</v>
          </cell>
          <cell r="BF22">
            <v>6335</v>
          </cell>
          <cell r="BG22">
            <v>743</v>
          </cell>
          <cell r="BH22">
            <v>426</v>
          </cell>
          <cell r="BI22">
            <v>379</v>
          </cell>
          <cell r="BJ22">
            <v>1215</v>
          </cell>
          <cell r="BK22">
            <v>86</v>
          </cell>
          <cell r="BL22">
            <v>1327</v>
          </cell>
          <cell r="BM22">
            <v>26</v>
          </cell>
          <cell r="BN22">
            <v>91</v>
          </cell>
          <cell r="BO22">
            <v>93</v>
          </cell>
          <cell r="BP22">
            <v>1023</v>
          </cell>
          <cell r="BQ22">
            <v>5384</v>
          </cell>
          <cell r="BR22">
            <v>4919</v>
          </cell>
          <cell r="BS22">
            <v>110</v>
          </cell>
          <cell r="BT22">
            <v>1438</v>
          </cell>
          <cell r="BU22">
            <v>3957</v>
          </cell>
          <cell r="BV22">
            <v>717</v>
          </cell>
          <cell r="BW22">
            <v>139822</v>
          </cell>
          <cell r="BX22">
            <v>89699</v>
          </cell>
          <cell r="BY22">
            <v>118001</v>
          </cell>
          <cell r="BZ22">
            <v>0</v>
          </cell>
          <cell r="CA22">
            <v>0</v>
          </cell>
          <cell r="CB22">
            <v>0</v>
          </cell>
          <cell r="CC22">
            <v>9875</v>
          </cell>
          <cell r="CD22">
            <v>0</v>
          </cell>
          <cell r="CE22">
            <v>-418772</v>
          </cell>
          <cell r="CF22">
            <v>0</v>
          </cell>
          <cell r="CG22">
            <v>12161</v>
          </cell>
          <cell r="CH22">
            <v>0</v>
          </cell>
          <cell r="CI22">
            <v>0</v>
          </cell>
          <cell r="CJ22">
            <v>0</v>
          </cell>
          <cell r="CK22">
            <v>12121</v>
          </cell>
          <cell r="CL22">
            <v>0</v>
          </cell>
          <cell r="CM22">
            <v>0</v>
          </cell>
          <cell r="CN22">
            <v>0</v>
          </cell>
          <cell r="CO22">
            <v>37093</v>
          </cell>
          <cell r="CP22">
            <v>0</v>
          </cell>
          <cell r="CQ22">
            <v>0</v>
          </cell>
          <cell r="CR22">
            <v>-139822</v>
          </cell>
        </row>
        <row r="23">
          <cell r="A23" t="str">
            <v>31G</v>
          </cell>
          <cell r="D23">
            <v>0</v>
          </cell>
          <cell r="E23">
            <v>0</v>
          </cell>
          <cell r="F23">
            <v>0</v>
          </cell>
          <cell r="G23">
            <v>3</v>
          </cell>
          <cell r="H23">
            <v>0</v>
          </cell>
          <cell r="I23">
            <v>0</v>
          </cell>
          <cell r="J23">
            <v>2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20543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1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87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558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-2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6</v>
          </cell>
          <cell r="BR23">
            <v>2016</v>
          </cell>
          <cell r="BS23">
            <v>546</v>
          </cell>
          <cell r="BT23">
            <v>0</v>
          </cell>
          <cell r="BU23">
            <v>0</v>
          </cell>
          <cell r="BV23">
            <v>17</v>
          </cell>
          <cell r="BW23">
            <v>23779</v>
          </cell>
          <cell r="BX23">
            <v>10697</v>
          </cell>
          <cell r="BY23">
            <v>16280</v>
          </cell>
          <cell r="BZ23">
            <v>0</v>
          </cell>
          <cell r="CA23">
            <v>0</v>
          </cell>
          <cell r="CB23">
            <v>0</v>
          </cell>
          <cell r="CC23">
            <v>6043</v>
          </cell>
          <cell r="CD23">
            <v>0</v>
          </cell>
          <cell r="CE23">
            <v>-57136</v>
          </cell>
          <cell r="CF23">
            <v>0</v>
          </cell>
          <cell r="CG23">
            <v>244</v>
          </cell>
          <cell r="CH23">
            <v>0</v>
          </cell>
          <cell r="CI23">
            <v>0</v>
          </cell>
          <cell r="CJ23">
            <v>0</v>
          </cell>
          <cell r="CK23">
            <v>48</v>
          </cell>
          <cell r="CL23">
            <v>0</v>
          </cell>
          <cell r="CM23">
            <v>0</v>
          </cell>
          <cell r="CN23">
            <v>0</v>
          </cell>
          <cell r="CO23">
            <v>45</v>
          </cell>
          <cell r="CP23">
            <v>0</v>
          </cell>
          <cell r="CQ23">
            <v>0</v>
          </cell>
          <cell r="CR23">
            <v>-23779</v>
          </cell>
        </row>
        <row r="24">
          <cell r="A24" t="str">
            <v>31G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24</v>
          </cell>
          <cell r="K24">
            <v>45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1677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607</v>
          </cell>
          <cell r="AE24">
            <v>89</v>
          </cell>
          <cell r="AF24">
            <v>0</v>
          </cell>
          <cell r="AG24">
            <v>0</v>
          </cell>
          <cell r="AH24">
            <v>1212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1364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407</v>
          </cell>
          <cell r="BE24">
            <v>4</v>
          </cell>
          <cell r="BF24">
            <v>0</v>
          </cell>
          <cell r="BG24">
            <v>0</v>
          </cell>
          <cell r="BH24">
            <v>0</v>
          </cell>
          <cell r="BI24">
            <v>148</v>
          </cell>
          <cell r="BJ24">
            <v>17</v>
          </cell>
          <cell r="BK24">
            <v>0</v>
          </cell>
          <cell r="BL24">
            <v>0</v>
          </cell>
          <cell r="BM24">
            <v>323</v>
          </cell>
          <cell r="BN24">
            <v>230</v>
          </cell>
          <cell r="BO24">
            <v>0</v>
          </cell>
          <cell r="BP24">
            <v>0</v>
          </cell>
          <cell r="BQ24">
            <v>153</v>
          </cell>
          <cell r="BR24">
            <v>0</v>
          </cell>
          <cell r="BS24">
            <v>0</v>
          </cell>
          <cell r="BT24">
            <v>10</v>
          </cell>
          <cell r="BU24">
            <v>0</v>
          </cell>
          <cell r="BV24">
            <v>963</v>
          </cell>
          <cell r="BW24">
            <v>7273</v>
          </cell>
          <cell r="BX24">
            <v>29461</v>
          </cell>
          <cell r="BY24">
            <v>12842</v>
          </cell>
          <cell r="BZ24">
            <v>0</v>
          </cell>
          <cell r="CA24">
            <v>252</v>
          </cell>
          <cell r="CB24">
            <v>0</v>
          </cell>
          <cell r="CC24">
            <v>-759</v>
          </cell>
          <cell r="CD24">
            <v>0</v>
          </cell>
          <cell r="CE24">
            <v>-49357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>
            <v>0</v>
          </cell>
          <cell r="CO24">
            <v>286</v>
          </cell>
          <cell r="CP24">
            <v>0</v>
          </cell>
          <cell r="CQ24">
            <v>0</v>
          </cell>
          <cell r="CR24">
            <v>-7273</v>
          </cell>
        </row>
        <row r="25">
          <cell r="A25" t="str">
            <v>31G</v>
          </cell>
          <cell r="D25">
            <v>8</v>
          </cell>
          <cell r="E25">
            <v>0</v>
          </cell>
          <cell r="F25">
            <v>27</v>
          </cell>
          <cell r="G25">
            <v>10</v>
          </cell>
          <cell r="H25">
            <v>4</v>
          </cell>
          <cell r="I25">
            <v>0</v>
          </cell>
          <cell r="J25">
            <v>263</v>
          </cell>
          <cell r="K25">
            <v>3</v>
          </cell>
          <cell r="L25">
            <v>4</v>
          </cell>
          <cell r="M25">
            <v>0</v>
          </cell>
          <cell r="N25">
            <v>16</v>
          </cell>
          <cell r="O25">
            <v>866</v>
          </cell>
          <cell r="P25">
            <v>0</v>
          </cell>
          <cell r="Q25">
            <v>219</v>
          </cell>
          <cell r="R25">
            <v>989</v>
          </cell>
          <cell r="S25">
            <v>3</v>
          </cell>
          <cell r="T25">
            <v>0</v>
          </cell>
          <cell r="U25">
            <v>1370</v>
          </cell>
          <cell r="V25">
            <v>0</v>
          </cell>
          <cell r="W25">
            <v>2</v>
          </cell>
          <cell r="X25">
            <v>38</v>
          </cell>
          <cell r="Y25">
            <v>0</v>
          </cell>
          <cell r="Z25">
            <v>1</v>
          </cell>
          <cell r="AA25">
            <v>0</v>
          </cell>
          <cell r="AB25">
            <v>115</v>
          </cell>
          <cell r="AC25">
            <v>12</v>
          </cell>
          <cell r="AD25">
            <v>239</v>
          </cell>
          <cell r="AE25">
            <v>213</v>
          </cell>
          <cell r="AF25">
            <v>52</v>
          </cell>
          <cell r="AG25">
            <v>0</v>
          </cell>
          <cell r="AH25">
            <v>433</v>
          </cell>
          <cell r="AI25">
            <v>0</v>
          </cell>
          <cell r="AJ25">
            <v>0</v>
          </cell>
          <cell r="AK25">
            <v>0</v>
          </cell>
          <cell r="AL25">
            <v>4</v>
          </cell>
          <cell r="AM25">
            <v>4</v>
          </cell>
          <cell r="AN25">
            <v>0</v>
          </cell>
          <cell r="AO25">
            <v>25</v>
          </cell>
          <cell r="AP25">
            <v>46</v>
          </cell>
          <cell r="AQ25">
            <v>1</v>
          </cell>
          <cell r="AR25">
            <v>1</v>
          </cell>
          <cell r="AS25">
            <v>22</v>
          </cell>
          <cell r="AT25">
            <v>18</v>
          </cell>
          <cell r="AU25">
            <v>19</v>
          </cell>
          <cell r="AV25">
            <v>12</v>
          </cell>
          <cell r="AW25">
            <v>8</v>
          </cell>
          <cell r="AX25">
            <v>0</v>
          </cell>
          <cell r="AY25">
            <v>0</v>
          </cell>
          <cell r="AZ25">
            <v>123</v>
          </cell>
          <cell r="BA25">
            <v>23</v>
          </cell>
          <cell r="BB25">
            <v>2</v>
          </cell>
          <cell r="BC25">
            <v>4</v>
          </cell>
          <cell r="BD25">
            <v>1009</v>
          </cell>
          <cell r="BE25">
            <v>2</v>
          </cell>
          <cell r="BF25">
            <v>739</v>
          </cell>
          <cell r="BG25">
            <v>22</v>
          </cell>
          <cell r="BH25">
            <v>141</v>
          </cell>
          <cell r="BI25">
            <v>5401</v>
          </cell>
          <cell r="BJ25">
            <v>9901</v>
          </cell>
          <cell r="BK25">
            <v>191</v>
          </cell>
          <cell r="BL25">
            <v>625</v>
          </cell>
          <cell r="BM25">
            <v>41</v>
          </cell>
          <cell r="BN25">
            <v>89</v>
          </cell>
          <cell r="BO25">
            <v>12</v>
          </cell>
          <cell r="BP25">
            <v>441</v>
          </cell>
          <cell r="BQ25">
            <v>509</v>
          </cell>
          <cell r="BR25">
            <v>403</v>
          </cell>
          <cell r="BS25">
            <v>262</v>
          </cell>
          <cell r="BT25">
            <v>0</v>
          </cell>
          <cell r="BU25">
            <v>2494</v>
          </cell>
          <cell r="BV25">
            <v>6</v>
          </cell>
          <cell r="BW25">
            <v>27489</v>
          </cell>
          <cell r="BX25">
            <v>79595</v>
          </cell>
          <cell r="BY25">
            <v>18749</v>
          </cell>
          <cell r="BZ25">
            <v>0</v>
          </cell>
          <cell r="CA25">
            <v>0</v>
          </cell>
          <cell r="CB25">
            <v>0</v>
          </cell>
          <cell r="CC25">
            <v>-1026</v>
          </cell>
          <cell r="CD25">
            <v>0</v>
          </cell>
          <cell r="CE25">
            <v>-124903</v>
          </cell>
          <cell r="CF25">
            <v>0</v>
          </cell>
          <cell r="CG25">
            <v>16</v>
          </cell>
          <cell r="CH25">
            <v>0</v>
          </cell>
          <cell r="CI25">
            <v>0</v>
          </cell>
          <cell r="CJ25">
            <v>0</v>
          </cell>
          <cell r="CK25">
            <v>3</v>
          </cell>
          <cell r="CL25">
            <v>0</v>
          </cell>
          <cell r="CM25">
            <v>0</v>
          </cell>
          <cell r="CN25">
            <v>0</v>
          </cell>
          <cell r="CO25">
            <v>77</v>
          </cell>
          <cell r="CP25">
            <v>0</v>
          </cell>
          <cell r="CQ25">
            <v>0</v>
          </cell>
          <cell r="CR25">
            <v>-27489</v>
          </cell>
        </row>
        <row r="26">
          <cell r="A26" t="str">
            <v>31G</v>
          </cell>
          <cell r="D26">
            <v>1352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</v>
          </cell>
          <cell r="L26">
            <v>182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10</v>
          </cell>
          <cell r="V26">
            <v>21061</v>
          </cell>
          <cell r="W26">
            <v>5</v>
          </cell>
          <cell r="X26">
            <v>-2</v>
          </cell>
          <cell r="Y26">
            <v>74</v>
          </cell>
          <cell r="Z26">
            <v>3</v>
          </cell>
          <cell r="AA26">
            <v>166</v>
          </cell>
          <cell r="AB26">
            <v>2117</v>
          </cell>
          <cell r="AC26">
            <v>60</v>
          </cell>
          <cell r="AD26">
            <v>145</v>
          </cell>
          <cell r="AE26">
            <v>0</v>
          </cell>
          <cell r="AF26">
            <v>262</v>
          </cell>
          <cell r="AG26">
            <v>70</v>
          </cell>
          <cell r="AH26">
            <v>89</v>
          </cell>
          <cell r="AI26">
            <v>76</v>
          </cell>
          <cell r="AJ26">
            <v>0</v>
          </cell>
          <cell r="AK26">
            <v>34</v>
          </cell>
          <cell r="AL26">
            <v>8</v>
          </cell>
          <cell r="AM26">
            <v>0</v>
          </cell>
          <cell r="AN26">
            <v>0</v>
          </cell>
          <cell r="AO26">
            <v>1</v>
          </cell>
          <cell r="AP26">
            <v>0</v>
          </cell>
          <cell r="AQ26">
            <v>6</v>
          </cell>
          <cell r="AR26">
            <v>1</v>
          </cell>
          <cell r="AS26">
            <v>0</v>
          </cell>
          <cell r="AT26">
            <v>96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263</v>
          </cell>
          <cell r="BE26">
            <v>1</v>
          </cell>
          <cell r="BF26">
            <v>0</v>
          </cell>
          <cell r="BG26">
            <v>0</v>
          </cell>
          <cell r="BH26">
            <v>434</v>
          </cell>
          <cell r="BI26">
            <v>2</v>
          </cell>
          <cell r="BJ26">
            <v>699</v>
          </cell>
          <cell r="BK26">
            <v>326</v>
          </cell>
          <cell r="BL26">
            <v>1357</v>
          </cell>
          <cell r="BM26">
            <v>31</v>
          </cell>
          <cell r="BN26">
            <v>631</v>
          </cell>
          <cell r="BO26">
            <v>667</v>
          </cell>
          <cell r="BP26">
            <v>13535</v>
          </cell>
          <cell r="BQ26">
            <v>165</v>
          </cell>
          <cell r="BR26">
            <v>385</v>
          </cell>
          <cell r="BS26">
            <v>3</v>
          </cell>
          <cell r="BT26">
            <v>92</v>
          </cell>
          <cell r="BU26">
            <v>6924</v>
          </cell>
          <cell r="BV26">
            <v>0</v>
          </cell>
          <cell r="BW26">
            <v>51331</v>
          </cell>
          <cell r="BX26">
            <v>94545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C26">
            <v>-107</v>
          </cell>
          <cell r="CD26">
            <v>0</v>
          </cell>
          <cell r="CE26">
            <v>-145770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-51331</v>
          </cell>
        </row>
        <row r="27">
          <cell r="A27" t="str">
            <v>31G</v>
          </cell>
          <cell r="D27">
            <v>6</v>
          </cell>
          <cell r="E27">
            <v>4</v>
          </cell>
          <cell r="F27">
            <v>0</v>
          </cell>
          <cell r="G27">
            <v>1</v>
          </cell>
          <cell r="H27">
            <v>0</v>
          </cell>
          <cell r="I27">
            <v>0</v>
          </cell>
          <cell r="J27">
            <v>389</v>
          </cell>
          <cell r="K27">
            <v>151</v>
          </cell>
          <cell r="L27">
            <v>87</v>
          </cell>
          <cell r="M27">
            <v>0</v>
          </cell>
          <cell r="N27">
            <v>0</v>
          </cell>
          <cell r="O27">
            <v>77</v>
          </cell>
          <cell r="P27">
            <v>0</v>
          </cell>
          <cell r="Q27">
            <v>0</v>
          </cell>
          <cell r="R27">
            <v>452</v>
          </cell>
          <cell r="S27">
            <v>113</v>
          </cell>
          <cell r="T27">
            <v>1450</v>
          </cell>
          <cell r="U27">
            <v>110</v>
          </cell>
          <cell r="V27">
            <v>47</v>
          </cell>
          <cell r="W27">
            <v>2178</v>
          </cell>
          <cell r="X27">
            <v>718</v>
          </cell>
          <cell r="Y27">
            <v>610</v>
          </cell>
          <cell r="Z27">
            <v>42</v>
          </cell>
          <cell r="AA27">
            <v>11</v>
          </cell>
          <cell r="AB27">
            <v>0</v>
          </cell>
          <cell r="AC27">
            <v>1407</v>
          </cell>
          <cell r="AD27">
            <v>821</v>
          </cell>
          <cell r="AE27">
            <v>6</v>
          </cell>
          <cell r="AF27">
            <v>27</v>
          </cell>
          <cell r="AG27">
            <v>2933</v>
          </cell>
          <cell r="AH27">
            <v>277</v>
          </cell>
          <cell r="AI27">
            <v>0</v>
          </cell>
          <cell r="AJ27">
            <v>0</v>
          </cell>
          <cell r="AK27">
            <v>0</v>
          </cell>
          <cell r="AL27">
            <v>2</v>
          </cell>
          <cell r="AM27">
            <v>0</v>
          </cell>
          <cell r="AN27">
            <v>0</v>
          </cell>
          <cell r="AO27">
            <v>2</v>
          </cell>
          <cell r="AP27">
            <v>1</v>
          </cell>
          <cell r="AQ27">
            <v>0</v>
          </cell>
          <cell r="AR27">
            <v>104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10</v>
          </cell>
          <cell r="BA27">
            <v>105</v>
          </cell>
          <cell r="BB27">
            <v>0</v>
          </cell>
          <cell r="BC27">
            <v>0</v>
          </cell>
          <cell r="BD27">
            <v>182</v>
          </cell>
          <cell r="BE27">
            <v>3</v>
          </cell>
          <cell r="BF27">
            <v>128</v>
          </cell>
          <cell r="BG27">
            <v>148</v>
          </cell>
          <cell r="BH27">
            <v>3</v>
          </cell>
          <cell r="BI27">
            <v>59</v>
          </cell>
          <cell r="BJ27">
            <v>278</v>
          </cell>
          <cell r="BK27">
            <v>1460</v>
          </cell>
          <cell r="BL27">
            <v>1051</v>
          </cell>
          <cell r="BM27">
            <v>0</v>
          </cell>
          <cell r="BN27">
            <v>36</v>
          </cell>
          <cell r="BO27">
            <v>1068</v>
          </cell>
          <cell r="BP27">
            <v>316</v>
          </cell>
          <cell r="BQ27">
            <v>396</v>
          </cell>
          <cell r="BR27">
            <v>99</v>
          </cell>
          <cell r="BS27">
            <v>200</v>
          </cell>
          <cell r="BT27">
            <v>0</v>
          </cell>
          <cell r="BU27">
            <v>1370</v>
          </cell>
          <cell r="BV27">
            <v>24</v>
          </cell>
          <cell r="BW27">
            <v>18960</v>
          </cell>
          <cell r="BX27">
            <v>16931</v>
          </cell>
          <cell r="BY27">
            <v>20</v>
          </cell>
          <cell r="BZ27">
            <v>0</v>
          </cell>
          <cell r="CA27">
            <v>99</v>
          </cell>
          <cell r="CB27">
            <v>0</v>
          </cell>
          <cell r="CC27">
            <v>-462</v>
          </cell>
          <cell r="CD27">
            <v>0</v>
          </cell>
          <cell r="CE27">
            <v>-35552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3</v>
          </cell>
          <cell r="CL27">
            <v>0</v>
          </cell>
          <cell r="CM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R27">
            <v>-18960</v>
          </cell>
        </row>
        <row r="28">
          <cell r="A28" t="str">
            <v>31G</v>
          </cell>
          <cell r="D28">
            <v>3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925</v>
          </cell>
          <cell r="S28">
            <v>0</v>
          </cell>
          <cell r="T28">
            <v>0</v>
          </cell>
          <cell r="U28">
            <v>19</v>
          </cell>
          <cell r="V28">
            <v>8</v>
          </cell>
          <cell r="W28">
            <v>0</v>
          </cell>
          <cell r="X28">
            <v>477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28</v>
          </cell>
          <cell r="AE28">
            <v>14</v>
          </cell>
          <cell r="AF28">
            <v>0</v>
          </cell>
          <cell r="AG28">
            <v>7</v>
          </cell>
          <cell r="AH28">
            <v>25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3</v>
          </cell>
          <cell r="BK28">
            <v>0</v>
          </cell>
          <cell r="BL28">
            <v>0</v>
          </cell>
          <cell r="BM28">
            <v>2</v>
          </cell>
          <cell r="BN28">
            <v>4</v>
          </cell>
          <cell r="BO28">
            <v>1</v>
          </cell>
          <cell r="BP28">
            <v>0</v>
          </cell>
          <cell r="BQ28">
            <v>52</v>
          </cell>
          <cell r="BR28">
            <v>48</v>
          </cell>
          <cell r="BS28">
            <v>15</v>
          </cell>
          <cell r="BT28">
            <v>-115</v>
          </cell>
          <cell r="BU28">
            <v>736</v>
          </cell>
          <cell r="BV28">
            <v>0</v>
          </cell>
          <cell r="BW28">
            <v>2252</v>
          </cell>
          <cell r="BX28">
            <v>145721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C28">
            <v>-1917</v>
          </cell>
          <cell r="CD28">
            <v>0</v>
          </cell>
          <cell r="CE28">
            <v>-146055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R28">
            <v>-2252</v>
          </cell>
        </row>
        <row r="29">
          <cell r="A29" t="str">
            <v>31G</v>
          </cell>
          <cell r="D29">
            <v>158</v>
          </cell>
          <cell r="E29">
            <v>0</v>
          </cell>
          <cell r="F29">
            <v>12</v>
          </cell>
          <cell r="G29">
            <v>17</v>
          </cell>
          <cell r="H29">
            <v>3</v>
          </cell>
          <cell r="I29">
            <v>1</v>
          </cell>
          <cell r="J29">
            <v>535</v>
          </cell>
          <cell r="K29">
            <v>46</v>
          </cell>
          <cell r="L29">
            <v>95</v>
          </cell>
          <cell r="M29">
            <v>68</v>
          </cell>
          <cell r="N29">
            <v>74</v>
          </cell>
          <cell r="O29">
            <v>94</v>
          </cell>
          <cell r="P29">
            <v>19</v>
          </cell>
          <cell r="Q29">
            <v>89</v>
          </cell>
          <cell r="R29">
            <v>256</v>
          </cell>
          <cell r="S29">
            <v>22</v>
          </cell>
          <cell r="T29">
            <v>52</v>
          </cell>
          <cell r="U29">
            <v>112</v>
          </cell>
          <cell r="V29">
            <v>3206</v>
          </cell>
          <cell r="W29">
            <v>28</v>
          </cell>
          <cell r="X29">
            <v>2</v>
          </cell>
          <cell r="Y29">
            <v>8931</v>
          </cell>
          <cell r="Z29">
            <v>2055</v>
          </cell>
          <cell r="AA29">
            <v>32</v>
          </cell>
          <cell r="AB29">
            <v>371</v>
          </cell>
          <cell r="AC29">
            <v>494</v>
          </cell>
          <cell r="AD29">
            <v>1739</v>
          </cell>
          <cell r="AE29">
            <v>31</v>
          </cell>
          <cell r="AF29">
            <v>169</v>
          </cell>
          <cell r="AG29">
            <v>48</v>
          </cell>
          <cell r="AH29">
            <v>325</v>
          </cell>
          <cell r="AI29">
            <v>1</v>
          </cell>
          <cell r="AJ29">
            <v>5</v>
          </cell>
          <cell r="AK29">
            <v>0</v>
          </cell>
          <cell r="AL29">
            <v>13</v>
          </cell>
          <cell r="AM29">
            <v>220</v>
          </cell>
          <cell r="AN29">
            <v>2</v>
          </cell>
          <cell r="AO29">
            <v>104</v>
          </cell>
          <cell r="AP29">
            <v>19</v>
          </cell>
          <cell r="AQ29">
            <v>203</v>
          </cell>
          <cell r="AR29">
            <v>5</v>
          </cell>
          <cell r="AS29">
            <v>16</v>
          </cell>
          <cell r="AT29">
            <v>29</v>
          </cell>
          <cell r="AU29">
            <v>93</v>
          </cell>
          <cell r="AV29">
            <v>28</v>
          </cell>
          <cell r="AW29">
            <v>172</v>
          </cell>
          <cell r="AX29">
            <v>0</v>
          </cell>
          <cell r="AY29">
            <v>0</v>
          </cell>
          <cell r="AZ29">
            <v>83</v>
          </cell>
          <cell r="BA29">
            <v>106</v>
          </cell>
          <cell r="BB29">
            <v>15</v>
          </cell>
          <cell r="BC29">
            <v>39</v>
          </cell>
          <cell r="BD29">
            <v>229</v>
          </cell>
          <cell r="BE29">
            <v>68</v>
          </cell>
          <cell r="BF29">
            <v>499</v>
          </cell>
          <cell r="BG29">
            <v>42</v>
          </cell>
          <cell r="BH29">
            <v>33</v>
          </cell>
          <cell r="BI29">
            <v>133</v>
          </cell>
          <cell r="BJ29">
            <v>273</v>
          </cell>
          <cell r="BK29">
            <v>124</v>
          </cell>
          <cell r="BL29">
            <v>147</v>
          </cell>
          <cell r="BM29">
            <v>4</v>
          </cell>
          <cell r="BN29">
            <v>21</v>
          </cell>
          <cell r="BO29">
            <v>544</v>
          </cell>
          <cell r="BP29">
            <v>902</v>
          </cell>
          <cell r="BQ29">
            <v>89</v>
          </cell>
          <cell r="BR29">
            <v>33</v>
          </cell>
          <cell r="BS29">
            <v>335</v>
          </cell>
          <cell r="BT29">
            <v>8</v>
          </cell>
          <cell r="BU29">
            <v>1890</v>
          </cell>
          <cell r="BV29">
            <v>12</v>
          </cell>
          <cell r="BW29">
            <v>25626</v>
          </cell>
          <cell r="BX29">
            <v>2669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C29">
            <v>-172</v>
          </cell>
          <cell r="CD29">
            <v>0</v>
          </cell>
          <cell r="CE29">
            <v>-28123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R29">
            <v>-25626</v>
          </cell>
        </row>
        <row r="30">
          <cell r="A30" t="str">
            <v>31G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13</v>
          </cell>
          <cell r="K30">
            <v>0</v>
          </cell>
          <cell r="L30">
            <v>0</v>
          </cell>
          <cell r="M30">
            <v>0</v>
          </cell>
          <cell r="N30">
            <v>2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2</v>
          </cell>
          <cell r="W30">
            <v>0</v>
          </cell>
          <cell r="X30">
            <v>0</v>
          </cell>
          <cell r="Y30">
            <v>0</v>
          </cell>
          <cell r="Z30">
            <v>31</v>
          </cell>
          <cell r="AA30">
            <v>0</v>
          </cell>
          <cell r="AB30">
            <v>6</v>
          </cell>
          <cell r="AC30">
            <v>0</v>
          </cell>
          <cell r="AD30">
            <v>159</v>
          </cell>
          <cell r="AE30">
            <v>5</v>
          </cell>
          <cell r="AF30">
            <v>5</v>
          </cell>
          <cell r="AG30">
            <v>4</v>
          </cell>
          <cell r="AH30">
            <v>199</v>
          </cell>
          <cell r="AI30">
            <v>0</v>
          </cell>
          <cell r="AJ30">
            <v>0</v>
          </cell>
          <cell r="AK30">
            <v>0</v>
          </cell>
          <cell r="AL30">
            <v>4</v>
          </cell>
          <cell r="AM30">
            <v>0</v>
          </cell>
          <cell r="AN30">
            <v>0</v>
          </cell>
          <cell r="AO30">
            <v>1</v>
          </cell>
          <cell r="AP30">
            <v>1</v>
          </cell>
          <cell r="AQ30">
            <v>28</v>
          </cell>
          <cell r="AR30">
            <v>10</v>
          </cell>
          <cell r="AS30">
            <v>79</v>
          </cell>
          <cell r="AT30">
            <v>105</v>
          </cell>
          <cell r="AU30">
            <v>39</v>
          </cell>
          <cell r="AV30">
            <v>80</v>
          </cell>
          <cell r="AW30">
            <v>159</v>
          </cell>
          <cell r="AX30">
            <v>0</v>
          </cell>
          <cell r="AY30">
            <v>0</v>
          </cell>
          <cell r="AZ30">
            <v>14</v>
          </cell>
          <cell r="BA30">
            <v>5</v>
          </cell>
          <cell r="BB30">
            <v>4</v>
          </cell>
          <cell r="BC30">
            <v>7</v>
          </cell>
          <cell r="BD30">
            <v>75</v>
          </cell>
          <cell r="BE30">
            <v>6</v>
          </cell>
          <cell r="BF30">
            <v>510</v>
          </cell>
          <cell r="BG30">
            <v>0</v>
          </cell>
          <cell r="BH30">
            <v>14</v>
          </cell>
          <cell r="BI30">
            <v>31</v>
          </cell>
          <cell r="BJ30">
            <v>79</v>
          </cell>
          <cell r="BK30">
            <v>2</v>
          </cell>
          <cell r="BL30">
            <v>37</v>
          </cell>
          <cell r="BM30">
            <v>15</v>
          </cell>
          <cell r="BN30">
            <v>3</v>
          </cell>
          <cell r="BO30">
            <v>321</v>
          </cell>
          <cell r="BP30">
            <v>65</v>
          </cell>
          <cell r="BQ30">
            <v>28</v>
          </cell>
          <cell r="BR30">
            <v>42</v>
          </cell>
          <cell r="BS30">
            <v>102</v>
          </cell>
          <cell r="BT30">
            <v>0</v>
          </cell>
          <cell r="BU30">
            <v>374</v>
          </cell>
          <cell r="BV30">
            <v>7</v>
          </cell>
          <cell r="BW30">
            <v>2672</v>
          </cell>
          <cell r="BX30">
            <v>396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-18</v>
          </cell>
          <cell r="CD30">
            <v>0</v>
          </cell>
          <cell r="CE30">
            <v>-3050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-2672</v>
          </cell>
        </row>
        <row r="31">
          <cell r="A31" t="str">
            <v>31G</v>
          </cell>
          <cell r="D31">
            <v>1780</v>
          </cell>
          <cell r="E31">
            <v>39</v>
          </cell>
          <cell r="F31">
            <v>596</v>
          </cell>
          <cell r="G31">
            <v>416</v>
          </cell>
          <cell r="H31">
            <v>123</v>
          </cell>
          <cell r="I31">
            <v>6232</v>
          </cell>
          <cell r="J31">
            <v>2860</v>
          </cell>
          <cell r="K31">
            <v>121</v>
          </cell>
          <cell r="L31">
            <v>66</v>
          </cell>
          <cell r="M31">
            <v>296</v>
          </cell>
          <cell r="N31">
            <v>680</v>
          </cell>
          <cell r="O31">
            <v>361</v>
          </cell>
          <cell r="P31">
            <v>43</v>
          </cell>
          <cell r="Q31">
            <v>41</v>
          </cell>
          <cell r="R31">
            <v>31</v>
          </cell>
          <cell r="S31">
            <v>30</v>
          </cell>
          <cell r="T31">
            <v>9</v>
          </cell>
          <cell r="U31">
            <v>44</v>
          </cell>
          <cell r="V31">
            <v>241</v>
          </cell>
          <cell r="W31">
            <v>10</v>
          </cell>
          <cell r="X31">
            <v>1</v>
          </cell>
          <cell r="Y31">
            <v>392</v>
          </cell>
          <cell r="Z31">
            <v>156</v>
          </cell>
          <cell r="AA31">
            <v>4363</v>
          </cell>
          <cell r="AB31">
            <v>3168</v>
          </cell>
          <cell r="AC31">
            <v>94</v>
          </cell>
          <cell r="AD31">
            <v>505</v>
          </cell>
          <cell r="AE31">
            <v>125</v>
          </cell>
          <cell r="AF31">
            <v>44</v>
          </cell>
          <cell r="AG31">
            <v>34</v>
          </cell>
          <cell r="AH31">
            <v>195</v>
          </cell>
          <cell r="AI31">
            <v>8059</v>
          </cell>
          <cell r="AJ31">
            <v>1135</v>
          </cell>
          <cell r="AK31">
            <v>1513</v>
          </cell>
          <cell r="AL31">
            <v>1413</v>
          </cell>
          <cell r="AM31">
            <v>154</v>
          </cell>
          <cell r="AN31">
            <v>17</v>
          </cell>
          <cell r="AO31">
            <v>2073</v>
          </cell>
          <cell r="AP31">
            <v>477</v>
          </cell>
          <cell r="AQ31">
            <v>35</v>
          </cell>
          <cell r="AR31">
            <v>6</v>
          </cell>
          <cell r="AS31">
            <v>70</v>
          </cell>
          <cell r="AT31">
            <v>28</v>
          </cell>
          <cell r="AU31">
            <v>132</v>
          </cell>
          <cell r="AV31">
            <v>105</v>
          </cell>
          <cell r="AW31">
            <v>3</v>
          </cell>
          <cell r="AX31">
            <v>93</v>
          </cell>
          <cell r="AY31">
            <v>1</v>
          </cell>
          <cell r="AZ31">
            <v>172</v>
          </cell>
          <cell r="BA31">
            <v>82</v>
          </cell>
          <cell r="BB31">
            <v>3</v>
          </cell>
          <cell r="BC31">
            <v>50</v>
          </cell>
          <cell r="BD31">
            <v>202</v>
          </cell>
          <cell r="BE31">
            <v>136</v>
          </cell>
          <cell r="BF31">
            <v>563</v>
          </cell>
          <cell r="BG31">
            <v>435</v>
          </cell>
          <cell r="BH31">
            <v>273</v>
          </cell>
          <cell r="BI31">
            <v>60</v>
          </cell>
          <cell r="BJ31">
            <v>162</v>
          </cell>
          <cell r="BK31">
            <v>90</v>
          </cell>
          <cell r="BL31">
            <v>85</v>
          </cell>
          <cell r="BM31">
            <v>45</v>
          </cell>
          <cell r="BN31">
            <v>77</v>
          </cell>
          <cell r="BO31">
            <v>131</v>
          </cell>
          <cell r="BP31">
            <v>700</v>
          </cell>
          <cell r="BQ31">
            <v>397</v>
          </cell>
          <cell r="BR31">
            <v>3023</v>
          </cell>
          <cell r="BS31">
            <v>262</v>
          </cell>
          <cell r="BT31">
            <v>205</v>
          </cell>
          <cell r="BU31">
            <v>16511</v>
          </cell>
          <cell r="BV31">
            <v>4641</v>
          </cell>
          <cell r="BW31">
            <v>66715</v>
          </cell>
          <cell r="BX31">
            <v>13049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C31">
            <v>952</v>
          </cell>
          <cell r="CD31">
            <v>0</v>
          </cell>
          <cell r="CE31">
            <v>-80716</v>
          </cell>
          <cell r="CF31">
            <v>0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R31">
            <v>-66715</v>
          </cell>
        </row>
        <row r="32">
          <cell r="A32" t="str">
            <v>31G</v>
          </cell>
          <cell r="D32">
            <v>4529</v>
          </cell>
          <cell r="E32">
            <v>391</v>
          </cell>
          <cell r="F32">
            <v>2668</v>
          </cell>
          <cell r="G32">
            <v>455</v>
          </cell>
          <cell r="H32">
            <v>405</v>
          </cell>
          <cell r="I32">
            <v>90</v>
          </cell>
          <cell r="J32">
            <v>3315</v>
          </cell>
          <cell r="K32">
            <v>450</v>
          </cell>
          <cell r="L32">
            <v>1077</v>
          </cell>
          <cell r="M32">
            <v>418</v>
          </cell>
          <cell r="N32">
            <v>2164</v>
          </cell>
          <cell r="O32">
            <v>285</v>
          </cell>
          <cell r="P32">
            <v>339</v>
          </cell>
          <cell r="Q32">
            <v>411</v>
          </cell>
          <cell r="R32">
            <v>1690</v>
          </cell>
          <cell r="S32">
            <v>282</v>
          </cell>
          <cell r="T32">
            <v>170</v>
          </cell>
          <cell r="U32">
            <v>1265</v>
          </cell>
          <cell r="V32">
            <v>2371</v>
          </cell>
          <cell r="W32">
            <v>2270</v>
          </cell>
          <cell r="X32">
            <v>26</v>
          </cell>
          <cell r="Y32">
            <v>1752</v>
          </cell>
          <cell r="Z32">
            <v>209</v>
          </cell>
          <cell r="AA32">
            <v>4806</v>
          </cell>
          <cell r="AB32">
            <v>83600</v>
          </cell>
          <cell r="AC32">
            <v>16177</v>
          </cell>
          <cell r="AD32">
            <v>669</v>
          </cell>
          <cell r="AE32">
            <v>24</v>
          </cell>
          <cell r="AF32">
            <v>11</v>
          </cell>
          <cell r="AG32">
            <v>13</v>
          </cell>
          <cell r="AH32">
            <v>42</v>
          </cell>
          <cell r="AI32">
            <v>0</v>
          </cell>
          <cell r="AJ32">
            <v>13</v>
          </cell>
          <cell r="AK32">
            <v>1</v>
          </cell>
          <cell r="AL32">
            <v>44</v>
          </cell>
          <cell r="AM32">
            <v>1</v>
          </cell>
          <cell r="AN32">
            <v>0</v>
          </cell>
          <cell r="AO32">
            <v>10</v>
          </cell>
          <cell r="AP32">
            <v>56</v>
          </cell>
          <cell r="AQ32">
            <v>16</v>
          </cell>
          <cell r="AR32">
            <v>81</v>
          </cell>
          <cell r="AS32">
            <v>225</v>
          </cell>
          <cell r="AT32">
            <v>98</v>
          </cell>
          <cell r="AU32">
            <v>11</v>
          </cell>
          <cell r="AV32">
            <v>25</v>
          </cell>
          <cell r="AW32">
            <v>19</v>
          </cell>
          <cell r="AX32">
            <v>0</v>
          </cell>
          <cell r="AY32">
            <v>82</v>
          </cell>
          <cell r="AZ32">
            <v>4277</v>
          </cell>
          <cell r="BA32">
            <v>9</v>
          </cell>
          <cell r="BB32">
            <v>17</v>
          </cell>
          <cell r="BC32">
            <v>47</v>
          </cell>
          <cell r="BD32">
            <v>37806</v>
          </cell>
          <cell r="BE32">
            <v>1752</v>
          </cell>
          <cell r="BF32">
            <v>2535</v>
          </cell>
          <cell r="BG32">
            <v>357</v>
          </cell>
          <cell r="BH32">
            <v>161</v>
          </cell>
          <cell r="BI32">
            <v>12020</v>
          </cell>
          <cell r="BJ32">
            <v>774</v>
          </cell>
          <cell r="BK32">
            <v>111</v>
          </cell>
          <cell r="BL32">
            <v>104</v>
          </cell>
          <cell r="BM32">
            <v>2</v>
          </cell>
          <cell r="BN32">
            <v>133</v>
          </cell>
          <cell r="BO32">
            <v>16</v>
          </cell>
          <cell r="BP32">
            <v>817</v>
          </cell>
          <cell r="BQ32">
            <v>1230</v>
          </cell>
          <cell r="BR32">
            <v>2277</v>
          </cell>
          <cell r="BS32">
            <v>1284</v>
          </cell>
          <cell r="BT32">
            <v>25</v>
          </cell>
          <cell r="BU32">
            <v>12338</v>
          </cell>
          <cell r="BV32">
            <v>296</v>
          </cell>
          <cell r="BW32">
            <v>211441</v>
          </cell>
          <cell r="BX32">
            <v>137337</v>
          </cell>
          <cell r="BY32">
            <v>2606</v>
          </cell>
          <cell r="BZ32">
            <v>0</v>
          </cell>
          <cell r="CA32">
            <v>0</v>
          </cell>
          <cell r="CB32">
            <v>0</v>
          </cell>
          <cell r="CC32">
            <v>-644</v>
          </cell>
          <cell r="CD32">
            <v>0</v>
          </cell>
          <cell r="CE32">
            <v>-350741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  <cell r="CM32">
            <v>0</v>
          </cell>
          <cell r="CN32">
            <v>0</v>
          </cell>
          <cell r="CO32">
            <v>0</v>
          </cell>
          <cell r="CP32">
            <v>0</v>
          </cell>
          <cell r="CQ32">
            <v>0</v>
          </cell>
          <cell r="CR32">
            <v>-211441</v>
          </cell>
        </row>
        <row r="33">
          <cell r="A33" t="str">
            <v>31G</v>
          </cell>
          <cell r="D33">
            <v>383</v>
          </cell>
          <cell r="E33">
            <v>6</v>
          </cell>
          <cell r="F33">
            <v>19</v>
          </cell>
          <cell r="G33">
            <v>390</v>
          </cell>
          <cell r="H33">
            <v>152</v>
          </cell>
          <cell r="I33">
            <v>4</v>
          </cell>
          <cell r="J33">
            <v>7886</v>
          </cell>
          <cell r="K33">
            <v>321</v>
          </cell>
          <cell r="L33">
            <v>261</v>
          </cell>
          <cell r="M33">
            <v>204</v>
          </cell>
          <cell r="N33">
            <v>547</v>
          </cell>
          <cell r="O33">
            <v>2471</v>
          </cell>
          <cell r="P33">
            <v>358</v>
          </cell>
          <cell r="Q33">
            <v>350</v>
          </cell>
          <cell r="R33">
            <v>6461</v>
          </cell>
          <cell r="S33">
            <v>452</v>
          </cell>
          <cell r="T33">
            <v>328</v>
          </cell>
          <cell r="U33">
            <v>546</v>
          </cell>
          <cell r="V33">
            <v>2205</v>
          </cell>
          <cell r="W33">
            <v>61</v>
          </cell>
          <cell r="X33">
            <v>28</v>
          </cell>
          <cell r="Y33">
            <v>346</v>
          </cell>
          <cell r="Z33">
            <v>869</v>
          </cell>
          <cell r="AA33">
            <v>77</v>
          </cell>
          <cell r="AB33">
            <v>1622</v>
          </cell>
          <cell r="AC33">
            <v>2855</v>
          </cell>
          <cell r="AD33">
            <v>2704</v>
          </cell>
          <cell r="AE33">
            <v>180</v>
          </cell>
          <cell r="AF33">
            <v>144</v>
          </cell>
          <cell r="AG33">
            <v>80</v>
          </cell>
          <cell r="AH33">
            <v>599</v>
          </cell>
          <cell r="AI33">
            <v>274</v>
          </cell>
          <cell r="AJ33">
            <v>0</v>
          </cell>
          <cell r="AK33">
            <v>0</v>
          </cell>
          <cell r="AL33">
            <v>330</v>
          </cell>
          <cell r="AM33">
            <v>98</v>
          </cell>
          <cell r="AN33">
            <v>23</v>
          </cell>
          <cell r="AO33">
            <v>34</v>
          </cell>
          <cell r="AP33">
            <v>86</v>
          </cell>
          <cell r="AQ33">
            <v>54</v>
          </cell>
          <cell r="AR33">
            <v>18</v>
          </cell>
          <cell r="AS33">
            <v>496</v>
          </cell>
          <cell r="AT33">
            <v>99</v>
          </cell>
          <cell r="AU33">
            <v>7</v>
          </cell>
          <cell r="AV33">
            <v>21</v>
          </cell>
          <cell r="AW33">
            <v>403</v>
          </cell>
          <cell r="AX33">
            <v>0</v>
          </cell>
          <cell r="AY33">
            <v>2</v>
          </cell>
          <cell r="AZ33">
            <v>395</v>
          </cell>
          <cell r="BA33">
            <v>983</v>
          </cell>
          <cell r="BB33">
            <v>4</v>
          </cell>
          <cell r="BC33">
            <v>89</v>
          </cell>
          <cell r="BD33">
            <v>1159</v>
          </cell>
          <cell r="BE33">
            <v>24</v>
          </cell>
          <cell r="BF33">
            <v>385</v>
          </cell>
          <cell r="BG33">
            <v>39</v>
          </cell>
          <cell r="BH33">
            <v>365</v>
          </cell>
          <cell r="BI33">
            <v>803</v>
          </cell>
          <cell r="BJ33">
            <v>1116</v>
          </cell>
          <cell r="BK33">
            <v>137</v>
          </cell>
          <cell r="BL33">
            <v>430</v>
          </cell>
          <cell r="BM33">
            <v>7</v>
          </cell>
          <cell r="BN33">
            <v>73</v>
          </cell>
          <cell r="BO33">
            <v>23</v>
          </cell>
          <cell r="BP33">
            <v>519</v>
          </cell>
          <cell r="BQ33">
            <v>590</v>
          </cell>
          <cell r="BR33">
            <v>512</v>
          </cell>
          <cell r="BS33">
            <v>468</v>
          </cell>
          <cell r="BT33">
            <v>22</v>
          </cell>
          <cell r="BU33">
            <v>5008</v>
          </cell>
          <cell r="BV33">
            <v>273</v>
          </cell>
          <cell r="BW33">
            <v>48280</v>
          </cell>
          <cell r="BX33">
            <v>25214</v>
          </cell>
          <cell r="BY33">
            <v>31</v>
          </cell>
          <cell r="BZ33">
            <v>0</v>
          </cell>
          <cell r="CA33">
            <v>0</v>
          </cell>
          <cell r="CB33">
            <v>0</v>
          </cell>
          <cell r="CC33">
            <v>276</v>
          </cell>
          <cell r="CD33">
            <v>0</v>
          </cell>
          <cell r="CE33">
            <v>-73802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1</v>
          </cell>
          <cell r="CL33">
            <v>0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-48280</v>
          </cell>
        </row>
        <row r="34">
          <cell r="A34" t="str">
            <v>42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  <cell r="CC34">
            <v>0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0</v>
          </cell>
          <cell r="CO34">
            <v>0</v>
          </cell>
          <cell r="CP34">
            <v>0</v>
          </cell>
          <cell r="CQ34">
            <v>0</v>
          </cell>
          <cell r="CR34">
            <v>0</v>
          </cell>
        </row>
        <row r="35">
          <cell r="A35" t="str">
            <v>44RT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</row>
        <row r="36">
          <cell r="A36" t="str">
            <v>44RT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  <cell r="CC36">
            <v>0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L36">
            <v>0</v>
          </cell>
          <cell r="CM36">
            <v>0</v>
          </cell>
          <cell r="CN36">
            <v>0</v>
          </cell>
          <cell r="CO36">
            <v>0</v>
          </cell>
          <cell r="CP36">
            <v>0</v>
          </cell>
          <cell r="CQ36">
            <v>0</v>
          </cell>
          <cell r="CR36">
            <v>0</v>
          </cell>
        </row>
        <row r="37">
          <cell r="A37" t="str">
            <v>44RT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>
            <v>0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</row>
        <row r="38">
          <cell r="A38" t="str">
            <v>44RT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</row>
        <row r="39">
          <cell r="A39" t="str">
            <v>48TW</v>
          </cell>
          <cell r="D39">
            <v>0</v>
          </cell>
          <cell r="E39">
            <v>0</v>
          </cell>
          <cell r="F39">
            <v>0</v>
          </cell>
          <cell r="G39">
            <v>2</v>
          </cell>
          <cell r="H39">
            <v>28</v>
          </cell>
          <cell r="I39">
            <v>142</v>
          </cell>
          <cell r="J39">
            <v>85</v>
          </cell>
          <cell r="K39">
            <v>44</v>
          </cell>
          <cell r="L39">
            <v>52</v>
          </cell>
          <cell r="M39">
            <v>47</v>
          </cell>
          <cell r="N39">
            <v>76</v>
          </cell>
          <cell r="O39">
            <v>51</v>
          </cell>
          <cell r="P39">
            <v>5</v>
          </cell>
          <cell r="Q39">
            <v>6</v>
          </cell>
          <cell r="R39">
            <v>57</v>
          </cell>
          <cell r="S39">
            <v>16</v>
          </cell>
          <cell r="T39">
            <v>22</v>
          </cell>
          <cell r="U39">
            <v>32</v>
          </cell>
          <cell r="V39">
            <v>110</v>
          </cell>
          <cell r="W39">
            <v>3</v>
          </cell>
          <cell r="X39">
            <v>1</v>
          </cell>
          <cell r="Y39">
            <v>36</v>
          </cell>
          <cell r="Z39">
            <v>37</v>
          </cell>
          <cell r="AA39">
            <v>19</v>
          </cell>
          <cell r="AB39">
            <v>37</v>
          </cell>
          <cell r="AC39">
            <v>77</v>
          </cell>
          <cell r="AD39">
            <v>1396</v>
          </cell>
          <cell r="AE39">
            <v>40</v>
          </cell>
          <cell r="AF39">
            <v>3</v>
          </cell>
          <cell r="AG39">
            <v>10</v>
          </cell>
          <cell r="AH39">
            <v>5</v>
          </cell>
          <cell r="AI39">
            <v>0</v>
          </cell>
          <cell r="AJ39">
            <v>10</v>
          </cell>
          <cell r="AK39">
            <v>0</v>
          </cell>
          <cell r="AL39">
            <v>0</v>
          </cell>
          <cell r="AM39">
            <v>0</v>
          </cell>
          <cell r="AN39">
            <v>3</v>
          </cell>
          <cell r="AO39">
            <v>16</v>
          </cell>
          <cell r="AP39">
            <v>3</v>
          </cell>
          <cell r="AQ39">
            <v>108</v>
          </cell>
          <cell r="AR39">
            <v>48</v>
          </cell>
          <cell r="AS39">
            <v>136</v>
          </cell>
          <cell r="AT39">
            <v>615</v>
          </cell>
          <cell r="AU39">
            <v>1892</v>
          </cell>
          <cell r="AV39">
            <v>720</v>
          </cell>
          <cell r="AW39">
            <v>40</v>
          </cell>
          <cell r="AX39">
            <v>98</v>
          </cell>
          <cell r="AY39">
            <v>2</v>
          </cell>
          <cell r="AZ39">
            <v>3189</v>
          </cell>
          <cell r="BA39">
            <v>449</v>
          </cell>
          <cell r="BB39">
            <v>200</v>
          </cell>
          <cell r="BC39">
            <v>1182</v>
          </cell>
          <cell r="BD39">
            <v>1086</v>
          </cell>
          <cell r="BE39">
            <v>89</v>
          </cell>
          <cell r="BF39">
            <v>1022</v>
          </cell>
          <cell r="BG39">
            <v>107</v>
          </cell>
          <cell r="BH39">
            <v>194</v>
          </cell>
          <cell r="BI39">
            <v>909</v>
          </cell>
          <cell r="BJ39">
            <v>56</v>
          </cell>
          <cell r="BK39">
            <v>67</v>
          </cell>
          <cell r="BL39">
            <v>193</v>
          </cell>
          <cell r="BM39">
            <v>29</v>
          </cell>
          <cell r="BN39">
            <v>48</v>
          </cell>
          <cell r="BO39">
            <v>44</v>
          </cell>
          <cell r="BP39">
            <v>792</v>
          </cell>
          <cell r="BQ39">
            <v>166</v>
          </cell>
          <cell r="BR39">
            <v>0</v>
          </cell>
          <cell r="BS39">
            <v>967</v>
          </cell>
          <cell r="BT39">
            <v>23</v>
          </cell>
          <cell r="BU39">
            <v>777</v>
          </cell>
          <cell r="BV39">
            <v>19</v>
          </cell>
          <cell r="BW39">
            <v>17740</v>
          </cell>
          <cell r="BX39">
            <v>47059</v>
          </cell>
          <cell r="BY39">
            <v>0</v>
          </cell>
          <cell r="BZ39">
            <v>0</v>
          </cell>
          <cell r="CA39">
            <v>0</v>
          </cell>
          <cell r="CB39">
            <v>0</v>
          </cell>
          <cell r="CC39">
            <v>0</v>
          </cell>
          <cell r="CD39">
            <v>0</v>
          </cell>
          <cell r="CE39">
            <v>-64800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N39">
            <v>0</v>
          </cell>
          <cell r="CO39">
            <v>0</v>
          </cell>
          <cell r="CP39">
            <v>0</v>
          </cell>
          <cell r="CQ39">
            <v>0</v>
          </cell>
          <cell r="CR39">
            <v>-17740</v>
          </cell>
        </row>
        <row r="40">
          <cell r="A40" t="str">
            <v>48TW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</row>
        <row r="41">
          <cell r="A41" t="str">
            <v>48TW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>
            <v>0</v>
          </cell>
          <cell r="CO41">
            <v>0</v>
          </cell>
          <cell r="CP41">
            <v>0</v>
          </cell>
          <cell r="CQ41">
            <v>0</v>
          </cell>
          <cell r="CR41">
            <v>0</v>
          </cell>
        </row>
        <row r="42">
          <cell r="A42" t="str">
            <v>48TW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</row>
        <row r="43">
          <cell r="A43" t="str">
            <v>48TW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>
            <v>0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</row>
        <row r="44">
          <cell r="A44" t="str">
            <v>48TW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</row>
        <row r="45">
          <cell r="A45" t="str">
            <v>48TW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14</v>
          </cell>
          <cell r="AE45">
            <v>0</v>
          </cell>
          <cell r="AF45">
            <v>0</v>
          </cell>
          <cell r="AG45">
            <v>0</v>
          </cell>
          <cell r="AH45">
            <v>3</v>
          </cell>
          <cell r="AI45">
            <v>0</v>
          </cell>
          <cell r="AJ45">
            <v>0</v>
          </cell>
          <cell r="AK45">
            <v>0</v>
          </cell>
          <cell r="AL45">
            <v>6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1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2</v>
          </cell>
          <cell r="BB45">
            <v>0</v>
          </cell>
          <cell r="BC45">
            <v>0</v>
          </cell>
          <cell r="BD45">
            <v>1</v>
          </cell>
          <cell r="BE45">
            <v>0</v>
          </cell>
          <cell r="BF45">
            <v>1</v>
          </cell>
          <cell r="BG45">
            <v>0</v>
          </cell>
          <cell r="BH45">
            <v>0</v>
          </cell>
          <cell r="BI45">
            <v>0</v>
          </cell>
          <cell r="BJ45">
            <v>1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1</v>
          </cell>
          <cell r="BV45">
            <v>0</v>
          </cell>
          <cell r="BW45">
            <v>34</v>
          </cell>
          <cell r="BX45">
            <v>1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-35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0</v>
          </cell>
          <cell r="CQ45">
            <v>0</v>
          </cell>
          <cell r="CR45">
            <v>-34</v>
          </cell>
        </row>
        <row r="46">
          <cell r="A46" t="str">
            <v>48TW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</row>
        <row r="47">
          <cell r="A47" t="str">
            <v>51</v>
          </cell>
          <cell r="D47">
            <v>4</v>
          </cell>
          <cell r="E47">
            <v>0</v>
          </cell>
          <cell r="F47">
            <v>2</v>
          </cell>
          <cell r="G47">
            <v>0</v>
          </cell>
          <cell r="H47">
            <v>0</v>
          </cell>
          <cell r="I47">
            <v>18</v>
          </cell>
          <cell r="J47">
            <v>86</v>
          </cell>
          <cell r="K47">
            <v>2</v>
          </cell>
          <cell r="L47">
            <v>0</v>
          </cell>
          <cell r="M47">
            <v>1</v>
          </cell>
          <cell r="N47">
            <v>5</v>
          </cell>
          <cell r="O47">
            <v>3</v>
          </cell>
          <cell r="P47">
            <v>1</v>
          </cell>
          <cell r="Q47">
            <v>0</v>
          </cell>
          <cell r="R47">
            <v>2</v>
          </cell>
          <cell r="S47">
            <v>18</v>
          </cell>
          <cell r="T47">
            <v>1</v>
          </cell>
          <cell r="U47">
            <v>2</v>
          </cell>
          <cell r="V47">
            <v>1</v>
          </cell>
          <cell r="W47">
            <v>0</v>
          </cell>
          <cell r="X47">
            <v>0</v>
          </cell>
          <cell r="Y47">
            <v>0</v>
          </cell>
          <cell r="Z47">
            <v>3</v>
          </cell>
          <cell r="AA47">
            <v>0</v>
          </cell>
          <cell r="AB47">
            <v>1</v>
          </cell>
          <cell r="AC47">
            <v>1</v>
          </cell>
          <cell r="AD47">
            <v>265</v>
          </cell>
          <cell r="AE47">
            <v>43</v>
          </cell>
          <cell r="AF47">
            <v>4</v>
          </cell>
          <cell r="AG47">
            <v>18</v>
          </cell>
          <cell r="AH47">
            <v>60</v>
          </cell>
          <cell r="AI47">
            <v>1</v>
          </cell>
          <cell r="AJ47">
            <v>4</v>
          </cell>
          <cell r="AK47">
            <v>0</v>
          </cell>
          <cell r="AL47">
            <v>2</v>
          </cell>
          <cell r="AM47">
            <v>3</v>
          </cell>
          <cell r="AN47">
            <v>0</v>
          </cell>
          <cell r="AO47">
            <v>36</v>
          </cell>
          <cell r="AP47">
            <v>9</v>
          </cell>
          <cell r="AQ47">
            <v>24</v>
          </cell>
          <cell r="AR47">
            <v>3</v>
          </cell>
          <cell r="AS47">
            <v>43</v>
          </cell>
          <cell r="AT47">
            <v>219</v>
          </cell>
          <cell r="AU47">
            <v>40</v>
          </cell>
          <cell r="AV47">
            <v>77</v>
          </cell>
          <cell r="AW47">
            <v>53</v>
          </cell>
          <cell r="AX47">
            <v>6</v>
          </cell>
          <cell r="AY47">
            <v>0</v>
          </cell>
          <cell r="AZ47">
            <v>71</v>
          </cell>
          <cell r="BA47">
            <v>41</v>
          </cell>
          <cell r="BB47">
            <v>76</v>
          </cell>
          <cell r="BC47">
            <v>77</v>
          </cell>
          <cell r="BD47">
            <v>176</v>
          </cell>
          <cell r="BE47">
            <v>27</v>
          </cell>
          <cell r="BF47">
            <v>176</v>
          </cell>
          <cell r="BG47">
            <v>3</v>
          </cell>
          <cell r="BH47">
            <v>61</v>
          </cell>
          <cell r="BI47">
            <v>84</v>
          </cell>
          <cell r="BJ47">
            <v>152</v>
          </cell>
          <cell r="BK47">
            <v>9</v>
          </cell>
          <cell r="BL47">
            <v>61</v>
          </cell>
          <cell r="BM47">
            <v>4</v>
          </cell>
          <cell r="BN47">
            <v>8</v>
          </cell>
          <cell r="BO47">
            <v>10</v>
          </cell>
          <cell r="BP47">
            <v>16</v>
          </cell>
          <cell r="BQ47">
            <v>42</v>
          </cell>
          <cell r="BR47">
            <v>1</v>
          </cell>
          <cell r="BS47">
            <v>110</v>
          </cell>
          <cell r="BT47">
            <v>1</v>
          </cell>
          <cell r="BU47">
            <v>743</v>
          </cell>
          <cell r="BV47">
            <v>30</v>
          </cell>
          <cell r="BW47">
            <v>3042</v>
          </cell>
          <cell r="BX47">
            <v>2722</v>
          </cell>
          <cell r="BY47">
            <v>0</v>
          </cell>
          <cell r="BZ47">
            <v>-38</v>
          </cell>
          <cell r="CA47">
            <v>0</v>
          </cell>
          <cell r="CB47">
            <v>0</v>
          </cell>
          <cell r="CC47">
            <v>-41</v>
          </cell>
          <cell r="CD47">
            <v>0</v>
          </cell>
          <cell r="CE47">
            <v>-5676</v>
          </cell>
          <cell r="CF47">
            <v>0</v>
          </cell>
          <cell r="CG47">
            <v>0</v>
          </cell>
          <cell r="CH47">
            <v>-2</v>
          </cell>
          <cell r="CI47">
            <v>0</v>
          </cell>
          <cell r="CJ47">
            <v>0</v>
          </cell>
          <cell r="CK47">
            <v>0</v>
          </cell>
          <cell r="CL47">
            <v>-2</v>
          </cell>
          <cell r="CM47">
            <v>0</v>
          </cell>
          <cell r="CN47">
            <v>0</v>
          </cell>
          <cell r="CO47">
            <v>0</v>
          </cell>
          <cell r="CP47">
            <v>-4</v>
          </cell>
          <cell r="CQ47">
            <v>0</v>
          </cell>
          <cell r="CR47">
            <v>-3042</v>
          </cell>
        </row>
        <row r="48">
          <cell r="A48" t="str">
            <v>51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14</v>
          </cell>
          <cell r="AE48">
            <v>61</v>
          </cell>
          <cell r="AF48">
            <v>31</v>
          </cell>
          <cell r="AG48">
            <v>0</v>
          </cell>
          <cell r="AH48">
            <v>18</v>
          </cell>
          <cell r="AI48">
            <v>1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6</v>
          </cell>
          <cell r="AO48">
            <v>3</v>
          </cell>
          <cell r="AP48">
            <v>0</v>
          </cell>
          <cell r="AQ48">
            <v>30</v>
          </cell>
          <cell r="AR48">
            <v>4985</v>
          </cell>
          <cell r="AS48">
            <v>6563</v>
          </cell>
          <cell r="AT48">
            <v>50</v>
          </cell>
          <cell r="AU48">
            <v>8</v>
          </cell>
          <cell r="AV48">
            <v>6</v>
          </cell>
          <cell r="AW48">
            <v>0</v>
          </cell>
          <cell r="AX48">
            <v>0</v>
          </cell>
          <cell r="AY48">
            <v>0</v>
          </cell>
          <cell r="AZ48">
            <v>18</v>
          </cell>
          <cell r="BA48">
            <v>37</v>
          </cell>
          <cell r="BB48">
            <v>1</v>
          </cell>
          <cell r="BC48">
            <v>11</v>
          </cell>
          <cell r="BD48">
            <v>261</v>
          </cell>
          <cell r="BE48">
            <v>38</v>
          </cell>
          <cell r="BF48">
            <v>15</v>
          </cell>
          <cell r="BG48">
            <v>0</v>
          </cell>
          <cell r="BH48">
            <v>140</v>
          </cell>
          <cell r="BI48">
            <v>12</v>
          </cell>
          <cell r="BJ48">
            <v>4</v>
          </cell>
          <cell r="BK48">
            <v>215</v>
          </cell>
          <cell r="BL48">
            <v>333</v>
          </cell>
          <cell r="BM48">
            <v>43</v>
          </cell>
          <cell r="BN48">
            <v>16</v>
          </cell>
          <cell r="BO48">
            <v>160</v>
          </cell>
          <cell r="BP48">
            <v>534</v>
          </cell>
          <cell r="BQ48">
            <v>41</v>
          </cell>
          <cell r="BR48">
            <v>3</v>
          </cell>
          <cell r="BS48">
            <v>66</v>
          </cell>
          <cell r="BT48">
            <v>0</v>
          </cell>
          <cell r="BU48">
            <v>78</v>
          </cell>
          <cell r="BV48">
            <v>0</v>
          </cell>
          <cell r="BW48">
            <v>13806</v>
          </cell>
          <cell r="BX48">
            <v>1123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  <cell r="CC48">
            <v>-57</v>
          </cell>
          <cell r="CD48">
            <v>0</v>
          </cell>
          <cell r="CE48">
            <v>-14872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-13806</v>
          </cell>
        </row>
        <row r="49">
          <cell r="A49" t="str">
            <v>51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2</v>
          </cell>
          <cell r="AE49">
            <v>0</v>
          </cell>
          <cell r="AF49">
            <v>0</v>
          </cell>
          <cell r="AG49">
            <v>0</v>
          </cell>
          <cell r="AH49">
            <v>1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17</v>
          </cell>
          <cell r="AT49">
            <v>4</v>
          </cell>
          <cell r="AU49">
            <v>1</v>
          </cell>
          <cell r="AV49">
            <v>1</v>
          </cell>
          <cell r="AW49">
            <v>0</v>
          </cell>
          <cell r="AX49">
            <v>0</v>
          </cell>
          <cell r="AY49">
            <v>0</v>
          </cell>
          <cell r="AZ49">
            <v>3</v>
          </cell>
          <cell r="BA49">
            <v>1</v>
          </cell>
          <cell r="BB49">
            <v>0</v>
          </cell>
          <cell r="BC49">
            <v>1</v>
          </cell>
          <cell r="BD49">
            <v>2</v>
          </cell>
          <cell r="BE49">
            <v>0</v>
          </cell>
          <cell r="BF49">
            <v>2</v>
          </cell>
          <cell r="BG49">
            <v>0</v>
          </cell>
          <cell r="BH49">
            <v>0</v>
          </cell>
          <cell r="BI49">
            <v>1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1</v>
          </cell>
          <cell r="BR49">
            <v>0</v>
          </cell>
          <cell r="BS49">
            <v>1</v>
          </cell>
          <cell r="BT49">
            <v>0</v>
          </cell>
          <cell r="BU49">
            <v>19</v>
          </cell>
          <cell r="BV49">
            <v>1</v>
          </cell>
          <cell r="BW49">
            <v>65</v>
          </cell>
          <cell r="BX49">
            <v>67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-132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-65</v>
          </cell>
        </row>
        <row r="50">
          <cell r="A50" t="str">
            <v>51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15</v>
          </cell>
          <cell r="J50">
            <v>13</v>
          </cell>
          <cell r="K50">
            <v>2</v>
          </cell>
          <cell r="L50">
            <v>3</v>
          </cell>
          <cell r="M50">
            <v>2</v>
          </cell>
          <cell r="N50">
            <v>4</v>
          </cell>
          <cell r="O50">
            <v>4</v>
          </cell>
          <cell r="P50">
            <v>0</v>
          </cell>
          <cell r="Q50">
            <v>1</v>
          </cell>
          <cell r="R50">
            <v>1</v>
          </cell>
          <cell r="S50">
            <v>6</v>
          </cell>
          <cell r="T50">
            <v>1</v>
          </cell>
          <cell r="U50">
            <v>1</v>
          </cell>
          <cell r="V50">
            <v>5</v>
          </cell>
          <cell r="W50">
            <v>0</v>
          </cell>
          <cell r="X50">
            <v>0</v>
          </cell>
          <cell r="Y50">
            <v>2</v>
          </cell>
          <cell r="Z50">
            <v>1</v>
          </cell>
          <cell r="AA50">
            <v>0</v>
          </cell>
          <cell r="AB50">
            <v>1</v>
          </cell>
          <cell r="AC50">
            <v>1</v>
          </cell>
          <cell r="AD50">
            <v>17</v>
          </cell>
          <cell r="AE50">
            <v>35</v>
          </cell>
          <cell r="AF50">
            <v>10</v>
          </cell>
          <cell r="AG50">
            <v>14</v>
          </cell>
          <cell r="AH50">
            <v>66</v>
          </cell>
          <cell r="AI50">
            <v>2</v>
          </cell>
          <cell r="AJ50">
            <v>0</v>
          </cell>
          <cell r="AK50">
            <v>0</v>
          </cell>
          <cell r="AL50">
            <v>1</v>
          </cell>
          <cell r="AM50">
            <v>2</v>
          </cell>
          <cell r="AN50">
            <v>0</v>
          </cell>
          <cell r="AO50">
            <v>7</v>
          </cell>
          <cell r="AP50">
            <v>1</v>
          </cell>
          <cell r="AQ50">
            <v>15</v>
          </cell>
          <cell r="AR50">
            <v>1</v>
          </cell>
          <cell r="AS50">
            <v>21</v>
          </cell>
          <cell r="AT50">
            <v>145</v>
          </cell>
          <cell r="AU50">
            <v>74</v>
          </cell>
          <cell r="AV50">
            <v>23</v>
          </cell>
          <cell r="AW50">
            <v>28</v>
          </cell>
          <cell r="AX50">
            <v>22</v>
          </cell>
          <cell r="AY50">
            <v>0</v>
          </cell>
          <cell r="AZ50">
            <v>7</v>
          </cell>
          <cell r="BA50">
            <v>27</v>
          </cell>
          <cell r="BB50">
            <v>29</v>
          </cell>
          <cell r="BC50">
            <v>38</v>
          </cell>
          <cell r="BD50">
            <v>186</v>
          </cell>
          <cell r="BE50">
            <v>15</v>
          </cell>
          <cell r="BF50">
            <v>217</v>
          </cell>
          <cell r="BG50">
            <v>11</v>
          </cell>
          <cell r="BH50">
            <v>107</v>
          </cell>
          <cell r="BI50">
            <v>24</v>
          </cell>
          <cell r="BJ50">
            <v>33</v>
          </cell>
          <cell r="BK50">
            <v>4</v>
          </cell>
          <cell r="BL50">
            <v>12</v>
          </cell>
          <cell r="BM50">
            <v>12</v>
          </cell>
          <cell r="BN50">
            <v>22</v>
          </cell>
          <cell r="BO50">
            <v>9</v>
          </cell>
          <cell r="BP50">
            <v>125</v>
          </cell>
          <cell r="BQ50">
            <v>100</v>
          </cell>
          <cell r="BR50">
            <v>1</v>
          </cell>
          <cell r="BS50">
            <v>22</v>
          </cell>
          <cell r="BT50">
            <v>0</v>
          </cell>
          <cell r="BU50">
            <v>152</v>
          </cell>
          <cell r="BV50">
            <v>26</v>
          </cell>
          <cell r="BW50">
            <v>1728</v>
          </cell>
          <cell r="BX50">
            <v>785</v>
          </cell>
          <cell r="BY50">
            <v>0</v>
          </cell>
          <cell r="BZ50">
            <v>14</v>
          </cell>
          <cell r="CA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-2531</v>
          </cell>
          <cell r="CF50">
            <v>0</v>
          </cell>
          <cell r="CG50">
            <v>0</v>
          </cell>
          <cell r="CH50">
            <v>1</v>
          </cell>
          <cell r="CI50">
            <v>0</v>
          </cell>
          <cell r="CJ50">
            <v>0</v>
          </cell>
          <cell r="CK50">
            <v>0</v>
          </cell>
          <cell r="CL50">
            <v>1</v>
          </cell>
          <cell r="CM50">
            <v>0</v>
          </cell>
          <cell r="CN50">
            <v>0</v>
          </cell>
          <cell r="CO50">
            <v>0</v>
          </cell>
          <cell r="CP50">
            <v>2</v>
          </cell>
          <cell r="CQ50">
            <v>0</v>
          </cell>
          <cell r="CR50">
            <v>-1728</v>
          </cell>
        </row>
        <row r="51">
          <cell r="A51" t="str">
            <v>FIRE</v>
          </cell>
          <cell r="D51">
            <v>75</v>
          </cell>
          <cell r="E51">
            <v>6</v>
          </cell>
          <cell r="F51">
            <v>36</v>
          </cell>
          <cell r="G51">
            <v>8</v>
          </cell>
          <cell r="H51">
            <v>6</v>
          </cell>
          <cell r="I51">
            <v>126</v>
          </cell>
          <cell r="J51">
            <v>216</v>
          </cell>
          <cell r="K51">
            <v>15</v>
          </cell>
          <cell r="L51">
            <v>12</v>
          </cell>
          <cell r="M51">
            <v>23</v>
          </cell>
          <cell r="N51">
            <v>29</v>
          </cell>
          <cell r="O51">
            <v>24</v>
          </cell>
          <cell r="P51">
            <v>51</v>
          </cell>
          <cell r="Q51">
            <v>19</v>
          </cell>
          <cell r="R51">
            <v>57</v>
          </cell>
          <cell r="S51">
            <v>24</v>
          </cell>
          <cell r="T51">
            <v>9</v>
          </cell>
          <cell r="U51">
            <v>35</v>
          </cell>
          <cell r="V51">
            <v>96</v>
          </cell>
          <cell r="W51">
            <v>5</v>
          </cell>
          <cell r="X51">
            <v>14</v>
          </cell>
          <cell r="Y51">
            <v>16</v>
          </cell>
          <cell r="Z51">
            <v>9</v>
          </cell>
          <cell r="AA51">
            <v>24</v>
          </cell>
          <cell r="AB51">
            <v>95</v>
          </cell>
          <cell r="AC51">
            <v>30</v>
          </cell>
          <cell r="AD51">
            <v>224</v>
          </cell>
          <cell r="AE51">
            <v>80</v>
          </cell>
          <cell r="AF51">
            <v>15</v>
          </cell>
          <cell r="AG51">
            <v>13</v>
          </cell>
          <cell r="AH51">
            <v>62</v>
          </cell>
          <cell r="AI51">
            <v>22</v>
          </cell>
          <cell r="AJ51">
            <v>25</v>
          </cell>
          <cell r="AK51">
            <v>2</v>
          </cell>
          <cell r="AL51">
            <v>29</v>
          </cell>
          <cell r="AM51">
            <v>9</v>
          </cell>
          <cell r="AN51">
            <v>75</v>
          </cell>
          <cell r="AO51">
            <v>39</v>
          </cell>
          <cell r="AP51">
            <v>4</v>
          </cell>
          <cell r="AQ51">
            <v>124</v>
          </cell>
          <cell r="AR51">
            <v>192</v>
          </cell>
          <cell r="AS51">
            <v>140</v>
          </cell>
          <cell r="AT51">
            <v>149</v>
          </cell>
          <cell r="AU51">
            <v>314</v>
          </cell>
          <cell r="AV51">
            <v>676</v>
          </cell>
          <cell r="AW51">
            <v>14</v>
          </cell>
          <cell r="AX51">
            <v>165</v>
          </cell>
          <cell r="AY51">
            <v>1317</v>
          </cell>
          <cell r="AZ51">
            <v>1285</v>
          </cell>
          <cell r="BA51">
            <v>79</v>
          </cell>
          <cell r="BB51">
            <v>16</v>
          </cell>
          <cell r="BC51">
            <v>47</v>
          </cell>
          <cell r="BD51">
            <v>238</v>
          </cell>
          <cell r="BE51">
            <v>176</v>
          </cell>
          <cell r="BF51">
            <v>91</v>
          </cell>
          <cell r="BG51">
            <v>17</v>
          </cell>
          <cell r="BH51">
            <v>13</v>
          </cell>
          <cell r="BI51">
            <v>64</v>
          </cell>
          <cell r="BJ51">
            <v>26</v>
          </cell>
          <cell r="BK51">
            <v>6</v>
          </cell>
          <cell r="BL51">
            <v>11</v>
          </cell>
          <cell r="BM51">
            <v>16</v>
          </cell>
          <cell r="BN51">
            <v>21</v>
          </cell>
          <cell r="BO51">
            <v>78</v>
          </cell>
          <cell r="BP51">
            <v>79</v>
          </cell>
          <cell r="BQ51">
            <v>58</v>
          </cell>
          <cell r="BR51">
            <v>0</v>
          </cell>
          <cell r="BS51">
            <v>124</v>
          </cell>
          <cell r="BT51">
            <v>0</v>
          </cell>
          <cell r="BU51">
            <v>244</v>
          </cell>
          <cell r="BV51">
            <v>0</v>
          </cell>
          <cell r="BW51">
            <v>7439</v>
          </cell>
          <cell r="BX51">
            <v>4152</v>
          </cell>
          <cell r="BY51">
            <v>0</v>
          </cell>
          <cell r="BZ51">
            <v>0</v>
          </cell>
          <cell r="CA51">
            <v>0</v>
          </cell>
          <cell r="CB51">
            <v>0</v>
          </cell>
          <cell r="CC51">
            <v>0</v>
          </cell>
          <cell r="CD51">
            <v>0</v>
          </cell>
          <cell r="CE51">
            <v>-11591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>
            <v>0</v>
          </cell>
          <cell r="CO51">
            <v>0</v>
          </cell>
          <cell r="CP51">
            <v>0</v>
          </cell>
          <cell r="CQ51">
            <v>0</v>
          </cell>
          <cell r="CR51">
            <v>-7439</v>
          </cell>
        </row>
        <row r="52">
          <cell r="A52" t="str">
            <v>FIRE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1</v>
          </cell>
          <cell r="P52">
            <v>0</v>
          </cell>
          <cell r="Q52">
            <v>0</v>
          </cell>
          <cell r="R52">
            <v>1</v>
          </cell>
          <cell r="S52">
            <v>0</v>
          </cell>
          <cell r="T52">
            <v>0</v>
          </cell>
          <cell r="U52">
            <v>1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1</v>
          </cell>
          <cell r="AL52">
            <v>0</v>
          </cell>
          <cell r="AM52">
            <v>2</v>
          </cell>
          <cell r="AN52">
            <v>0</v>
          </cell>
          <cell r="AO52">
            <v>1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16</v>
          </cell>
          <cell r="AW52">
            <v>0</v>
          </cell>
          <cell r="AX52">
            <v>2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6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1</v>
          </cell>
          <cell r="BN52">
            <v>0</v>
          </cell>
          <cell r="BO52">
            <v>0</v>
          </cell>
          <cell r="BP52">
            <v>1</v>
          </cell>
          <cell r="BQ52">
            <v>1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41</v>
          </cell>
          <cell r="BX52">
            <v>6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-48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>
            <v>0</v>
          </cell>
          <cell r="CO52">
            <v>0</v>
          </cell>
          <cell r="CP52">
            <v>0</v>
          </cell>
          <cell r="CQ52">
            <v>0</v>
          </cell>
          <cell r="CR52">
            <v>-41</v>
          </cell>
        </row>
        <row r="53">
          <cell r="A53" t="str">
            <v>FIRE</v>
          </cell>
          <cell r="D53">
            <v>18</v>
          </cell>
          <cell r="E53">
            <v>11</v>
          </cell>
          <cell r="F53">
            <v>128</v>
          </cell>
          <cell r="G53">
            <v>7</v>
          </cell>
          <cell r="H53">
            <v>39</v>
          </cell>
          <cell r="I53">
            <v>16</v>
          </cell>
          <cell r="J53">
            <v>7</v>
          </cell>
          <cell r="K53">
            <v>1</v>
          </cell>
          <cell r="L53">
            <v>9</v>
          </cell>
          <cell r="M53">
            <v>6</v>
          </cell>
          <cell r="N53">
            <v>7</v>
          </cell>
          <cell r="O53">
            <v>8</v>
          </cell>
          <cell r="P53">
            <v>2</v>
          </cell>
          <cell r="Q53">
            <v>7</v>
          </cell>
          <cell r="R53">
            <v>37</v>
          </cell>
          <cell r="S53">
            <v>27</v>
          </cell>
          <cell r="T53">
            <v>2</v>
          </cell>
          <cell r="U53">
            <v>4</v>
          </cell>
          <cell r="V53">
            <v>41</v>
          </cell>
          <cell r="W53">
            <v>1</v>
          </cell>
          <cell r="X53">
            <v>1</v>
          </cell>
          <cell r="Y53">
            <v>2</v>
          </cell>
          <cell r="Z53">
            <v>1</v>
          </cell>
          <cell r="AA53">
            <v>2</v>
          </cell>
          <cell r="AB53">
            <v>18</v>
          </cell>
          <cell r="AC53">
            <v>5</v>
          </cell>
          <cell r="AD53">
            <v>965</v>
          </cell>
          <cell r="AE53">
            <v>84</v>
          </cell>
          <cell r="AF53">
            <v>24</v>
          </cell>
          <cell r="AG53">
            <v>29</v>
          </cell>
          <cell r="AH53">
            <v>129</v>
          </cell>
          <cell r="AI53">
            <v>27</v>
          </cell>
          <cell r="AJ53">
            <v>0</v>
          </cell>
          <cell r="AK53">
            <v>23</v>
          </cell>
          <cell r="AL53">
            <v>626</v>
          </cell>
          <cell r="AM53">
            <v>79</v>
          </cell>
          <cell r="AN53">
            <v>9</v>
          </cell>
          <cell r="AO53">
            <v>45</v>
          </cell>
          <cell r="AP53">
            <v>50</v>
          </cell>
          <cell r="AQ53">
            <v>9</v>
          </cell>
          <cell r="AR53">
            <v>17</v>
          </cell>
          <cell r="AS53">
            <v>20</v>
          </cell>
          <cell r="AT53">
            <v>27</v>
          </cell>
          <cell r="AU53">
            <v>1</v>
          </cell>
          <cell r="AV53">
            <v>197</v>
          </cell>
          <cell r="AW53">
            <v>55751</v>
          </cell>
          <cell r="AX53">
            <v>5</v>
          </cell>
          <cell r="AY53">
            <v>1</v>
          </cell>
          <cell r="AZ53">
            <v>1164</v>
          </cell>
          <cell r="BA53">
            <v>330</v>
          </cell>
          <cell r="BB53">
            <v>59</v>
          </cell>
          <cell r="BC53">
            <v>63</v>
          </cell>
          <cell r="BD53">
            <v>220</v>
          </cell>
          <cell r="BE53">
            <v>3</v>
          </cell>
          <cell r="BF53">
            <v>165</v>
          </cell>
          <cell r="BG53">
            <v>32</v>
          </cell>
          <cell r="BH53">
            <v>48</v>
          </cell>
          <cell r="BI53">
            <v>381</v>
          </cell>
          <cell r="BJ53">
            <v>522</v>
          </cell>
          <cell r="BK53">
            <v>120</v>
          </cell>
          <cell r="BL53">
            <v>339</v>
          </cell>
          <cell r="BM53">
            <v>58</v>
          </cell>
          <cell r="BN53">
            <v>57</v>
          </cell>
          <cell r="BO53">
            <v>35</v>
          </cell>
          <cell r="BP53">
            <v>265</v>
          </cell>
          <cell r="BQ53">
            <v>78</v>
          </cell>
          <cell r="BR53">
            <v>0</v>
          </cell>
          <cell r="BS53">
            <v>49</v>
          </cell>
          <cell r="BT53">
            <v>2</v>
          </cell>
          <cell r="BU53">
            <v>128</v>
          </cell>
          <cell r="BV53">
            <v>68</v>
          </cell>
          <cell r="BW53">
            <v>62715</v>
          </cell>
          <cell r="BX53">
            <v>1996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-64711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  <cell r="CM53">
            <v>0</v>
          </cell>
          <cell r="CN53">
            <v>0</v>
          </cell>
          <cell r="CO53">
            <v>0</v>
          </cell>
          <cell r="CP53">
            <v>0</v>
          </cell>
          <cell r="CQ53">
            <v>0</v>
          </cell>
          <cell r="CR53">
            <v>-62715</v>
          </cell>
        </row>
        <row r="54">
          <cell r="A54" t="str">
            <v>FIRE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N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</row>
        <row r="55">
          <cell r="A55" t="str">
            <v>FIRE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</row>
        <row r="56">
          <cell r="A56" t="str">
            <v>FIRE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  <cell r="CM56">
            <v>0</v>
          </cell>
          <cell r="CN56">
            <v>0</v>
          </cell>
          <cell r="CO56">
            <v>0</v>
          </cell>
          <cell r="CP56">
            <v>0</v>
          </cell>
          <cell r="CQ56">
            <v>0</v>
          </cell>
          <cell r="CR56">
            <v>0</v>
          </cell>
        </row>
        <row r="57">
          <cell r="A57" t="str">
            <v>FIRE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>
            <v>0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L57">
            <v>0</v>
          </cell>
          <cell r="CM57">
            <v>0</v>
          </cell>
          <cell r="CN57">
            <v>0</v>
          </cell>
          <cell r="CO57">
            <v>0</v>
          </cell>
          <cell r="CP57">
            <v>0</v>
          </cell>
          <cell r="CQ57">
            <v>0</v>
          </cell>
          <cell r="CR57">
            <v>0</v>
          </cell>
        </row>
        <row r="58">
          <cell r="A58" t="str">
            <v>PROF</v>
          </cell>
          <cell r="D58">
            <v>3</v>
          </cell>
          <cell r="E58">
            <v>1</v>
          </cell>
          <cell r="F58">
            <v>16</v>
          </cell>
          <cell r="G58">
            <v>5</v>
          </cell>
          <cell r="H58">
            <v>1</v>
          </cell>
          <cell r="I58">
            <v>76</v>
          </cell>
          <cell r="J58">
            <v>119</v>
          </cell>
          <cell r="K58">
            <v>7</v>
          </cell>
          <cell r="L58">
            <v>8</v>
          </cell>
          <cell r="M58">
            <v>11</v>
          </cell>
          <cell r="N58">
            <v>27</v>
          </cell>
          <cell r="O58">
            <v>23</v>
          </cell>
          <cell r="P58">
            <v>47</v>
          </cell>
          <cell r="Q58">
            <v>5</v>
          </cell>
          <cell r="R58">
            <v>45</v>
          </cell>
          <cell r="S58">
            <v>19</v>
          </cell>
          <cell r="T58">
            <v>4</v>
          </cell>
          <cell r="U58">
            <v>26</v>
          </cell>
          <cell r="V58">
            <v>23</v>
          </cell>
          <cell r="W58">
            <v>2</v>
          </cell>
          <cell r="X58">
            <v>2</v>
          </cell>
          <cell r="Y58">
            <v>12</v>
          </cell>
          <cell r="Z58">
            <v>5</v>
          </cell>
          <cell r="AA58">
            <v>7</v>
          </cell>
          <cell r="AB58">
            <v>98</v>
          </cell>
          <cell r="AC58">
            <v>19</v>
          </cell>
          <cell r="AD58">
            <v>284</v>
          </cell>
          <cell r="AE58">
            <v>12</v>
          </cell>
          <cell r="AF58">
            <v>10</v>
          </cell>
          <cell r="AG58">
            <v>10</v>
          </cell>
          <cell r="AH58">
            <v>93</v>
          </cell>
          <cell r="AI58">
            <v>4</v>
          </cell>
          <cell r="AJ58">
            <v>5</v>
          </cell>
          <cell r="AK58">
            <v>3</v>
          </cell>
          <cell r="AL58">
            <v>5</v>
          </cell>
          <cell r="AM58">
            <v>6</v>
          </cell>
          <cell r="AN58">
            <v>1</v>
          </cell>
          <cell r="AO58">
            <v>9</v>
          </cell>
          <cell r="AP58">
            <v>4</v>
          </cell>
          <cell r="AQ58">
            <v>66</v>
          </cell>
          <cell r="AR58">
            <v>14</v>
          </cell>
          <cell r="AS58">
            <v>47</v>
          </cell>
          <cell r="AT58">
            <v>122</v>
          </cell>
          <cell r="AU58">
            <v>85</v>
          </cell>
          <cell r="AV58">
            <v>224</v>
          </cell>
          <cell r="AW58">
            <v>195</v>
          </cell>
          <cell r="AX58">
            <v>37</v>
          </cell>
          <cell r="AY58">
            <v>34</v>
          </cell>
          <cell r="AZ58">
            <v>186</v>
          </cell>
          <cell r="BA58">
            <v>23</v>
          </cell>
          <cell r="BB58">
            <v>35</v>
          </cell>
          <cell r="BC58">
            <v>63</v>
          </cell>
          <cell r="BD58">
            <v>233</v>
          </cell>
          <cell r="BE58">
            <v>151</v>
          </cell>
          <cell r="BF58">
            <v>117</v>
          </cell>
          <cell r="BG58">
            <v>8</v>
          </cell>
          <cell r="BH58">
            <v>9</v>
          </cell>
          <cell r="BI58">
            <v>75</v>
          </cell>
          <cell r="BJ58">
            <v>311</v>
          </cell>
          <cell r="BK58">
            <v>21</v>
          </cell>
          <cell r="BL58">
            <v>19</v>
          </cell>
          <cell r="BM58">
            <v>40</v>
          </cell>
          <cell r="BN58">
            <v>45</v>
          </cell>
          <cell r="BO58">
            <v>21</v>
          </cell>
          <cell r="BP58">
            <v>50</v>
          </cell>
          <cell r="BQ58">
            <v>98</v>
          </cell>
          <cell r="BR58">
            <v>0</v>
          </cell>
          <cell r="BS58">
            <v>3</v>
          </cell>
          <cell r="BT58">
            <v>1</v>
          </cell>
          <cell r="BU58">
            <v>296</v>
          </cell>
          <cell r="BV58">
            <v>16</v>
          </cell>
          <cell r="BW58">
            <v>3702</v>
          </cell>
          <cell r="BX58">
            <v>1764</v>
          </cell>
          <cell r="BY58">
            <v>0</v>
          </cell>
          <cell r="BZ58">
            <v>0</v>
          </cell>
          <cell r="CA58">
            <v>117</v>
          </cell>
          <cell r="CB58">
            <v>0</v>
          </cell>
          <cell r="CC58">
            <v>0</v>
          </cell>
          <cell r="CD58">
            <v>0</v>
          </cell>
          <cell r="CE58">
            <v>-5583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  <cell r="CM58">
            <v>0</v>
          </cell>
          <cell r="CN58">
            <v>0</v>
          </cell>
          <cell r="CO58">
            <v>0</v>
          </cell>
          <cell r="CP58">
            <v>0</v>
          </cell>
          <cell r="CQ58">
            <v>0</v>
          </cell>
          <cell r="CR58">
            <v>-3702</v>
          </cell>
        </row>
        <row r="59">
          <cell r="A59" t="str">
            <v>PROF</v>
          </cell>
          <cell r="D59">
            <v>35</v>
          </cell>
          <cell r="E59">
            <v>2</v>
          </cell>
          <cell r="F59">
            <v>420</v>
          </cell>
          <cell r="G59">
            <v>24</v>
          </cell>
          <cell r="H59">
            <v>3</v>
          </cell>
          <cell r="I59">
            <v>189</v>
          </cell>
          <cell r="J59">
            <v>682</v>
          </cell>
          <cell r="K59">
            <v>25</v>
          </cell>
          <cell r="L59">
            <v>25</v>
          </cell>
          <cell r="M59">
            <v>25</v>
          </cell>
          <cell r="N59">
            <v>102</v>
          </cell>
          <cell r="O59">
            <v>123</v>
          </cell>
          <cell r="P59">
            <v>20</v>
          </cell>
          <cell r="Q59">
            <v>8</v>
          </cell>
          <cell r="R59">
            <v>42</v>
          </cell>
          <cell r="S59">
            <v>214</v>
          </cell>
          <cell r="T59">
            <v>15</v>
          </cell>
          <cell r="U59">
            <v>31</v>
          </cell>
          <cell r="V59">
            <v>114</v>
          </cell>
          <cell r="W59">
            <v>5</v>
          </cell>
          <cell r="X59">
            <v>2</v>
          </cell>
          <cell r="Y59">
            <v>21</v>
          </cell>
          <cell r="Z59">
            <v>28</v>
          </cell>
          <cell r="AA59">
            <v>35</v>
          </cell>
          <cell r="AB59">
            <v>22</v>
          </cell>
          <cell r="AC59">
            <v>36</v>
          </cell>
          <cell r="AD59">
            <v>2080</v>
          </cell>
          <cell r="AE59">
            <v>473</v>
          </cell>
          <cell r="AF59">
            <v>66</v>
          </cell>
          <cell r="AG59">
            <v>162</v>
          </cell>
          <cell r="AH59">
            <v>628</v>
          </cell>
          <cell r="AI59">
            <v>19</v>
          </cell>
          <cell r="AJ59">
            <v>75</v>
          </cell>
          <cell r="AK59">
            <v>5</v>
          </cell>
          <cell r="AL59">
            <v>77</v>
          </cell>
          <cell r="AM59">
            <v>48</v>
          </cell>
          <cell r="AN59">
            <v>1</v>
          </cell>
          <cell r="AO59">
            <v>28</v>
          </cell>
          <cell r="AP59">
            <v>27</v>
          </cell>
          <cell r="AQ59">
            <v>624</v>
          </cell>
          <cell r="AR59">
            <v>47</v>
          </cell>
          <cell r="AS59">
            <v>345</v>
          </cell>
          <cell r="AT59">
            <v>1537</v>
          </cell>
          <cell r="AU59">
            <v>763</v>
          </cell>
          <cell r="AV59">
            <v>827</v>
          </cell>
          <cell r="AW59">
            <v>653</v>
          </cell>
          <cell r="AX59">
            <v>108</v>
          </cell>
          <cell r="AY59">
            <v>71</v>
          </cell>
          <cell r="AZ59">
            <v>469</v>
          </cell>
          <cell r="BA59">
            <v>80</v>
          </cell>
          <cell r="BB59">
            <v>390</v>
          </cell>
          <cell r="BC59">
            <v>1113</v>
          </cell>
          <cell r="BD59">
            <v>1295</v>
          </cell>
          <cell r="BE59">
            <v>166</v>
          </cell>
          <cell r="BF59">
            <v>1487</v>
          </cell>
          <cell r="BG59">
            <v>54</v>
          </cell>
          <cell r="BH59">
            <v>325</v>
          </cell>
          <cell r="BI59">
            <v>428</v>
          </cell>
          <cell r="BJ59">
            <v>595</v>
          </cell>
          <cell r="BK59">
            <v>104</v>
          </cell>
          <cell r="BL59">
            <v>217</v>
          </cell>
          <cell r="BM59">
            <v>57</v>
          </cell>
          <cell r="BN59">
            <v>141</v>
          </cell>
          <cell r="BO59">
            <v>96</v>
          </cell>
          <cell r="BP59">
            <v>581</v>
          </cell>
          <cell r="BQ59">
            <v>363</v>
          </cell>
          <cell r="BR59">
            <v>468</v>
          </cell>
          <cell r="BS59">
            <v>1203</v>
          </cell>
          <cell r="BT59">
            <v>17</v>
          </cell>
          <cell r="BU59">
            <v>3036</v>
          </cell>
          <cell r="BV59">
            <v>410</v>
          </cell>
          <cell r="BW59">
            <v>24007</v>
          </cell>
          <cell r="BX59">
            <v>0</v>
          </cell>
          <cell r="BY59">
            <v>6002</v>
          </cell>
          <cell r="BZ59">
            <v>14144</v>
          </cell>
          <cell r="CA59">
            <v>0</v>
          </cell>
          <cell r="CB59">
            <v>0</v>
          </cell>
          <cell r="CC59">
            <v>0</v>
          </cell>
          <cell r="CD59">
            <v>0</v>
          </cell>
          <cell r="CE59">
            <v>-47177</v>
          </cell>
          <cell r="CF59">
            <v>0</v>
          </cell>
          <cell r="CG59">
            <v>62</v>
          </cell>
          <cell r="CH59">
            <v>632</v>
          </cell>
          <cell r="CI59">
            <v>0</v>
          </cell>
          <cell r="CJ59">
            <v>0</v>
          </cell>
          <cell r="CK59">
            <v>0</v>
          </cell>
          <cell r="CL59">
            <v>1901</v>
          </cell>
          <cell r="CM59">
            <v>0</v>
          </cell>
          <cell r="CN59">
            <v>0</v>
          </cell>
          <cell r="CO59">
            <v>33</v>
          </cell>
          <cell r="CP59">
            <v>394</v>
          </cell>
          <cell r="CQ59">
            <v>0</v>
          </cell>
          <cell r="CR59">
            <v>-24007</v>
          </cell>
        </row>
        <row r="60">
          <cell r="A60" t="str">
            <v>PROF</v>
          </cell>
          <cell r="D60">
            <v>35</v>
          </cell>
          <cell r="E60">
            <v>7</v>
          </cell>
          <cell r="F60">
            <v>200</v>
          </cell>
          <cell r="G60">
            <v>57</v>
          </cell>
          <cell r="H60">
            <v>32</v>
          </cell>
          <cell r="I60">
            <v>337</v>
          </cell>
          <cell r="J60">
            <v>2815</v>
          </cell>
          <cell r="K60">
            <v>87</v>
          </cell>
          <cell r="L60">
            <v>70</v>
          </cell>
          <cell r="M60">
            <v>114</v>
          </cell>
          <cell r="N60">
            <v>156</v>
          </cell>
          <cell r="O60">
            <v>223</v>
          </cell>
          <cell r="P60">
            <v>536</v>
          </cell>
          <cell r="Q60">
            <v>99</v>
          </cell>
          <cell r="R60">
            <v>470</v>
          </cell>
          <cell r="S60">
            <v>211</v>
          </cell>
          <cell r="T60">
            <v>68</v>
          </cell>
          <cell r="U60">
            <v>224</v>
          </cell>
          <cell r="V60">
            <v>510</v>
          </cell>
          <cell r="W60">
            <v>30</v>
          </cell>
          <cell r="X60">
            <v>13</v>
          </cell>
          <cell r="Y60">
            <v>112</v>
          </cell>
          <cell r="Z60">
            <v>47</v>
          </cell>
          <cell r="AA60">
            <v>96</v>
          </cell>
          <cell r="AB60">
            <v>1198</v>
          </cell>
          <cell r="AC60">
            <v>154</v>
          </cell>
          <cell r="AD60">
            <v>7724</v>
          </cell>
          <cell r="AE60">
            <v>1000</v>
          </cell>
          <cell r="AF60">
            <v>388</v>
          </cell>
          <cell r="AG60">
            <v>171</v>
          </cell>
          <cell r="AH60">
            <v>3701</v>
          </cell>
          <cell r="AI60">
            <v>21</v>
          </cell>
          <cell r="AJ60">
            <v>66</v>
          </cell>
          <cell r="AK60">
            <v>81</v>
          </cell>
          <cell r="AL60">
            <v>224</v>
          </cell>
          <cell r="AM60">
            <v>179</v>
          </cell>
          <cell r="AN60">
            <v>8</v>
          </cell>
          <cell r="AO60">
            <v>162</v>
          </cell>
          <cell r="AP60">
            <v>142</v>
          </cell>
          <cell r="AQ60">
            <v>1386</v>
          </cell>
          <cell r="AR60">
            <v>260</v>
          </cell>
          <cell r="AS60">
            <v>1531</v>
          </cell>
          <cell r="AT60">
            <v>3426</v>
          </cell>
          <cell r="AU60">
            <v>3500</v>
          </cell>
          <cell r="AV60">
            <v>4958</v>
          </cell>
          <cell r="AW60">
            <v>2011</v>
          </cell>
          <cell r="AX60">
            <v>218</v>
          </cell>
          <cell r="AY60">
            <v>84</v>
          </cell>
          <cell r="AZ60">
            <v>2178</v>
          </cell>
          <cell r="BA60">
            <v>762</v>
          </cell>
          <cell r="BB60">
            <v>433</v>
          </cell>
          <cell r="BC60">
            <v>1847</v>
          </cell>
          <cell r="BD60">
            <v>9480</v>
          </cell>
          <cell r="BE60">
            <v>3056</v>
          </cell>
          <cell r="BF60">
            <v>2783</v>
          </cell>
          <cell r="BG60">
            <v>221</v>
          </cell>
          <cell r="BH60">
            <v>387</v>
          </cell>
          <cell r="BI60">
            <v>2099</v>
          </cell>
          <cell r="BJ60">
            <v>3358</v>
          </cell>
          <cell r="BK60">
            <v>747</v>
          </cell>
          <cell r="BL60">
            <v>590</v>
          </cell>
          <cell r="BM60">
            <v>777</v>
          </cell>
          <cell r="BN60">
            <v>576</v>
          </cell>
          <cell r="BO60">
            <v>383</v>
          </cell>
          <cell r="BP60">
            <v>1291</v>
          </cell>
          <cell r="BQ60">
            <v>2786</v>
          </cell>
          <cell r="BR60">
            <v>2992</v>
          </cell>
          <cell r="BS60">
            <v>2282</v>
          </cell>
          <cell r="BT60">
            <v>79</v>
          </cell>
          <cell r="BU60">
            <v>4433</v>
          </cell>
          <cell r="BV60">
            <v>959</v>
          </cell>
          <cell r="BW60">
            <v>83640</v>
          </cell>
          <cell r="BX60">
            <v>853</v>
          </cell>
          <cell r="BY60">
            <v>2167</v>
          </cell>
          <cell r="BZ60">
            <v>30165</v>
          </cell>
          <cell r="CA60">
            <v>33</v>
          </cell>
          <cell r="CB60">
            <v>0</v>
          </cell>
          <cell r="CC60">
            <v>0</v>
          </cell>
          <cell r="CD60">
            <v>0</v>
          </cell>
          <cell r="CE60">
            <v>-120252</v>
          </cell>
          <cell r="CF60">
            <v>0</v>
          </cell>
          <cell r="CG60">
            <v>0</v>
          </cell>
          <cell r="CH60">
            <v>1914</v>
          </cell>
          <cell r="CI60">
            <v>0</v>
          </cell>
          <cell r="CJ60">
            <v>0</v>
          </cell>
          <cell r="CK60">
            <v>0</v>
          </cell>
          <cell r="CL60">
            <v>1473</v>
          </cell>
          <cell r="CM60">
            <v>0</v>
          </cell>
          <cell r="CN60">
            <v>0</v>
          </cell>
          <cell r="CO60">
            <v>0</v>
          </cell>
          <cell r="CP60">
            <v>6</v>
          </cell>
          <cell r="CQ60">
            <v>0</v>
          </cell>
          <cell r="CR60">
            <v>-83640</v>
          </cell>
        </row>
        <row r="61">
          <cell r="A61" t="str">
            <v>PROF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>
            <v>0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</row>
        <row r="62">
          <cell r="A62" t="str">
            <v>PROF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4</v>
          </cell>
          <cell r="I62">
            <v>47</v>
          </cell>
          <cell r="J62">
            <v>48</v>
          </cell>
          <cell r="K62">
            <v>1</v>
          </cell>
          <cell r="L62">
            <v>5</v>
          </cell>
          <cell r="M62">
            <v>21</v>
          </cell>
          <cell r="N62">
            <v>40</v>
          </cell>
          <cell r="O62">
            <v>12</v>
          </cell>
          <cell r="P62">
            <v>12</v>
          </cell>
          <cell r="Q62">
            <v>2</v>
          </cell>
          <cell r="R62">
            <v>16</v>
          </cell>
          <cell r="S62">
            <v>36</v>
          </cell>
          <cell r="T62">
            <v>0</v>
          </cell>
          <cell r="U62">
            <v>9</v>
          </cell>
          <cell r="V62">
            <v>10</v>
          </cell>
          <cell r="W62">
            <v>1</v>
          </cell>
          <cell r="X62">
            <v>3</v>
          </cell>
          <cell r="Y62">
            <v>3</v>
          </cell>
          <cell r="Z62">
            <v>14</v>
          </cell>
          <cell r="AA62">
            <v>5</v>
          </cell>
          <cell r="AB62">
            <v>24</v>
          </cell>
          <cell r="AC62">
            <v>6</v>
          </cell>
          <cell r="AD62">
            <v>320</v>
          </cell>
          <cell r="AE62">
            <v>31</v>
          </cell>
          <cell r="AF62">
            <v>9</v>
          </cell>
          <cell r="AG62">
            <v>12</v>
          </cell>
          <cell r="AH62">
            <v>110</v>
          </cell>
          <cell r="AI62">
            <v>10</v>
          </cell>
          <cell r="AJ62">
            <v>0</v>
          </cell>
          <cell r="AK62">
            <v>3</v>
          </cell>
          <cell r="AL62">
            <v>51</v>
          </cell>
          <cell r="AM62">
            <v>52</v>
          </cell>
          <cell r="AN62">
            <v>8</v>
          </cell>
          <cell r="AO62">
            <v>40</v>
          </cell>
          <cell r="AP62">
            <v>30</v>
          </cell>
          <cell r="AQ62">
            <v>119</v>
          </cell>
          <cell r="AR62">
            <v>8</v>
          </cell>
          <cell r="AS62">
            <v>235</v>
          </cell>
          <cell r="AT62">
            <v>204</v>
          </cell>
          <cell r="AU62">
            <v>94</v>
          </cell>
          <cell r="AV62">
            <v>100</v>
          </cell>
          <cell r="AW62">
            <v>73</v>
          </cell>
          <cell r="AX62">
            <v>0</v>
          </cell>
          <cell r="AY62">
            <v>2</v>
          </cell>
          <cell r="AZ62">
            <v>132</v>
          </cell>
          <cell r="BA62">
            <v>97</v>
          </cell>
          <cell r="BB62">
            <v>23</v>
          </cell>
          <cell r="BC62">
            <v>216</v>
          </cell>
          <cell r="BD62">
            <v>282</v>
          </cell>
          <cell r="BE62">
            <v>64</v>
          </cell>
          <cell r="BF62">
            <v>495</v>
          </cell>
          <cell r="BG62">
            <v>25</v>
          </cell>
          <cell r="BH62">
            <v>31</v>
          </cell>
          <cell r="BI62">
            <v>153</v>
          </cell>
          <cell r="BJ62">
            <v>327</v>
          </cell>
          <cell r="BK62">
            <v>65</v>
          </cell>
          <cell r="BL62">
            <v>22</v>
          </cell>
          <cell r="BM62">
            <v>12</v>
          </cell>
          <cell r="BN62">
            <v>15</v>
          </cell>
          <cell r="BO62">
            <v>18</v>
          </cell>
          <cell r="BP62">
            <v>58</v>
          </cell>
          <cell r="BQ62">
            <v>90</v>
          </cell>
          <cell r="BR62">
            <v>21</v>
          </cell>
          <cell r="BS62">
            <v>1</v>
          </cell>
          <cell r="BT62">
            <v>2</v>
          </cell>
          <cell r="BU62">
            <v>117</v>
          </cell>
          <cell r="BV62">
            <v>22</v>
          </cell>
          <cell r="BW62">
            <v>4118</v>
          </cell>
          <cell r="BX62">
            <v>236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-4354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N62">
            <v>0</v>
          </cell>
          <cell r="CO62">
            <v>0</v>
          </cell>
          <cell r="CP62">
            <v>0</v>
          </cell>
          <cell r="CQ62">
            <v>0</v>
          </cell>
          <cell r="CR62">
            <v>-4118</v>
          </cell>
        </row>
        <row r="63">
          <cell r="A63" t="str">
            <v>PROF</v>
          </cell>
          <cell r="D63">
            <v>0</v>
          </cell>
          <cell r="E63">
            <v>0</v>
          </cell>
          <cell r="F63">
            <v>7</v>
          </cell>
          <cell r="G63">
            <v>0</v>
          </cell>
          <cell r="H63">
            <v>0</v>
          </cell>
          <cell r="I63">
            <v>2</v>
          </cell>
          <cell r="J63">
            <v>9</v>
          </cell>
          <cell r="K63">
            <v>1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0</v>
          </cell>
          <cell r="Q63">
            <v>0</v>
          </cell>
          <cell r="R63">
            <v>1</v>
          </cell>
          <cell r="S63">
            <v>1</v>
          </cell>
          <cell r="T63">
            <v>0</v>
          </cell>
          <cell r="U63">
            <v>0</v>
          </cell>
          <cell r="V63">
            <v>5</v>
          </cell>
          <cell r="W63">
            <v>0</v>
          </cell>
          <cell r="X63">
            <v>0</v>
          </cell>
          <cell r="Y63">
            <v>1</v>
          </cell>
          <cell r="Z63">
            <v>0</v>
          </cell>
          <cell r="AA63">
            <v>1</v>
          </cell>
          <cell r="AB63">
            <v>5</v>
          </cell>
          <cell r="AC63">
            <v>1</v>
          </cell>
          <cell r="AD63">
            <v>6</v>
          </cell>
          <cell r="AE63">
            <v>3</v>
          </cell>
          <cell r="AF63">
            <v>1</v>
          </cell>
          <cell r="AG63">
            <v>1</v>
          </cell>
          <cell r="AH63">
            <v>4</v>
          </cell>
          <cell r="AI63">
            <v>0</v>
          </cell>
          <cell r="AJ63">
            <v>0</v>
          </cell>
          <cell r="AK63">
            <v>0</v>
          </cell>
          <cell r="AL63">
            <v>5</v>
          </cell>
          <cell r="AM63">
            <v>0</v>
          </cell>
          <cell r="AN63">
            <v>0</v>
          </cell>
          <cell r="AO63">
            <v>1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1</v>
          </cell>
          <cell r="AV63">
            <v>1</v>
          </cell>
          <cell r="AW63">
            <v>3</v>
          </cell>
          <cell r="AX63">
            <v>0</v>
          </cell>
          <cell r="AY63">
            <v>0</v>
          </cell>
          <cell r="AZ63">
            <v>72</v>
          </cell>
          <cell r="BA63">
            <v>10</v>
          </cell>
          <cell r="BB63">
            <v>1</v>
          </cell>
          <cell r="BC63">
            <v>0</v>
          </cell>
          <cell r="BD63">
            <v>7</v>
          </cell>
          <cell r="BE63">
            <v>2</v>
          </cell>
          <cell r="BF63">
            <v>6</v>
          </cell>
          <cell r="BG63">
            <v>85</v>
          </cell>
          <cell r="BH63">
            <v>1</v>
          </cell>
          <cell r="BI63">
            <v>13</v>
          </cell>
          <cell r="BJ63">
            <v>14</v>
          </cell>
          <cell r="BK63">
            <v>4</v>
          </cell>
          <cell r="BL63">
            <v>5</v>
          </cell>
          <cell r="BM63">
            <v>0</v>
          </cell>
          <cell r="BN63">
            <v>3</v>
          </cell>
          <cell r="BO63">
            <v>4</v>
          </cell>
          <cell r="BP63">
            <v>8</v>
          </cell>
          <cell r="BQ63">
            <v>5</v>
          </cell>
          <cell r="BR63">
            <v>1</v>
          </cell>
          <cell r="BS63">
            <v>6</v>
          </cell>
          <cell r="BT63">
            <v>0</v>
          </cell>
          <cell r="BU63">
            <v>200</v>
          </cell>
          <cell r="BV63">
            <v>7</v>
          </cell>
          <cell r="BW63">
            <v>525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-525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-525</v>
          </cell>
        </row>
        <row r="64">
          <cell r="A64" t="str">
            <v>6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8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555</v>
          </cell>
          <cell r="BV64">
            <v>0</v>
          </cell>
          <cell r="BW64">
            <v>563</v>
          </cell>
          <cell r="BX64">
            <v>1943</v>
          </cell>
          <cell r="BY64">
            <v>0</v>
          </cell>
          <cell r="BZ64">
            <v>0</v>
          </cell>
          <cell r="CA64">
            <v>0</v>
          </cell>
          <cell r="CB64">
            <v>0</v>
          </cell>
          <cell r="CC64">
            <v>0</v>
          </cell>
          <cell r="CD64">
            <v>0</v>
          </cell>
          <cell r="CE64">
            <v>-2506</v>
          </cell>
          <cell r="CF64">
            <v>0</v>
          </cell>
          <cell r="CG64">
            <v>0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  <cell r="CM64">
            <v>0</v>
          </cell>
          <cell r="CN64">
            <v>0</v>
          </cell>
          <cell r="CO64">
            <v>0</v>
          </cell>
          <cell r="CP64">
            <v>0</v>
          </cell>
          <cell r="CQ64">
            <v>0</v>
          </cell>
          <cell r="CR64">
            <v>-563</v>
          </cell>
        </row>
        <row r="65">
          <cell r="A65" t="str">
            <v>6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3</v>
          </cell>
          <cell r="BJ65">
            <v>2</v>
          </cell>
          <cell r="BK65">
            <v>0</v>
          </cell>
          <cell r="BL65">
            <v>0</v>
          </cell>
          <cell r="BM65">
            <v>1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7</v>
          </cell>
          <cell r="BX65">
            <v>434</v>
          </cell>
          <cell r="BY65">
            <v>0</v>
          </cell>
          <cell r="BZ65">
            <v>0</v>
          </cell>
          <cell r="CA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-441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>
            <v>0</v>
          </cell>
          <cell r="CO65">
            <v>0</v>
          </cell>
          <cell r="CP65">
            <v>0</v>
          </cell>
          <cell r="CQ65">
            <v>0</v>
          </cell>
          <cell r="CR65">
            <v>-7</v>
          </cell>
        </row>
        <row r="66">
          <cell r="A66" t="str">
            <v>6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10011</v>
          </cell>
          <cell r="BY66">
            <v>0</v>
          </cell>
          <cell r="BZ66">
            <v>0</v>
          </cell>
          <cell r="CA66">
            <v>0</v>
          </cell>
          <cell r="CB66">
            <v>0</v>
          </cell>
          <cell r="CC66">
            <v>0</v>
          </cell>
          <cell r="CD66">
            <v>0</v>
          </cell>
          <cell r="CE66">
            <v>-10011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0</v>
          </cell>
          <cell r="CN66">
            <v>0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</row>
        <row r="67">
          <cell r="A67" t="str">
            <v>6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BR67">
            <v>0</v>
          </cell>
          <cell r="BS67">
            <v>2</v>
          </cell>
          <cell r="BT67">
            <v>0</v>
          </cell>
          <cell r="BU67">
            <v>1</v>
          </cell>
          <cell r="BV67">
            <v>0</v>
          </cell>
          <cell r="BW67">
            <v>2</v>
          </cell>
          <cell r="BX67">
            <v>124</v>
          </cell>
          <cell r="BY67">
            <v>0</v>
          </cell>
          <cell r="BZ67">
            <v>0</v>
          </cell>
          <cell r="CA67">
            <v>0</v>
          </cell>
          <cell r="CB67">
            <v>0</v>
          </cell>
          <cell r="CC67">
            <v>0</v>
          </cell>
          <cell r="CD67">
            <v>0</v>
          </cell>
          <cell r="CE67">
            <v>-126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>
            <v>0</v>
          </cell>
          <cell r="CO67">
            <v>0</v>
          </cell>
          <cell r="CP67">
            <v>0</v>
          </cell>
          <cell r="CQ67">
            <v>0</v>
          </cell>
          <cell r="CR67">
            <v>-2</v>
          </cell>
        </row>
        <row r="68">
          <cell r="A68" t="str">
            <v>6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0</v>
          </cell>
          <cell r="BV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0</v>
          </cell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  <cell r="CM68">
            <v>0</v>
          </cell>
          <cell r="CN68">
            <v>0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</row>
        <row r="69">
          <cell r="A69" t="str">
            <v>7</v>
          </cell>
          <cell r="D69">
            <v>2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1</v>
          </cell>
          <cell r="J69">
            <v>8</v>
          </cell>
          <cell r="K69">
            <v>0</v>
          </cell>
          <cell r="L69">
            <v>0</v>
          </cell>
          <cell r="M69">
            <v>1</v>
          </cell>
          <cell r="N69">
            <v>1</v>
          </cell>
          <cell r="O69">
            <v>1</v>
          </cell>
          <cell r="P69">
            <v>0</v>
          </cell>
          <cell r="Q69">
            <v>0</v>
          </cell>
          <cell r="R69">
            <v>1</v>
          </cell>
          <cell r="S69">
            <v>0</v>
          </cell>
          <cell r="T69">
            <v>0</v>
          </cell>
          <cell r="U69">
            <v>0</v>
          </cell>
          <cell r="V69">
            <v>2</v>
          </cell>
          <cell r="W69">
            <v>0</v>
          </cell>
          <cell r="X69">
            <v>0</v>
          </cell>
          <cell r="Y69">
            <v>1</v>
          </cell>
          <cell r="Z69">
            <v>1</v>
          </cell>
          <cell r="AA69">
            <v>0</v>
          </cell>
          <cell r="AB69">
            <v>1</v>
          </cell>
          <cell r="AC69">
            <v>2</v>
          </cell>
          <cell r="AD69">
            <v>51</v>
          </cell>
          <cell r="AE69">
            <v>1</v>
          </cell>
          <cell r="AF69">
            <v>1</v>
          </cell>
          <cell r="AG69">
            <v>0</v>
          </cell>
          <cell r="AH69">
            <v>11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3</v>
          </cell>
          <cell r="AR69">
            <v>79</v>
          </cell>
          <cell r="AS69">
            <v>9</v>
          </cell>
          <cell r="AT69">
            <v>15</v>
          </cell>
          <cell r="AU69">
            <v>43</v>
          </cell>
          <cell r="AV69">
            <v>17</v>
          </cell>
          <cell r="AW69">
            <v>3</v>
          </cell>
          <cell r="AX69">
            <v>4</v>
          </cell>
          <cell r="AY69">
            <v>0</v>
          </cell>
          <cell r="AZ69">
            <v>90</v>
          </cell>
          <cell r="BA69">
            <v>10</v>
          </cell>
          <cell r="BB69">
            <v>6</v>
          </cell>
          <cell r="BC69">
            <v>29</v>
          </cell>
          <cell r="BD69">
            <v>32</v>
          </cell>
          <cell r="BE69">
            <v>2</v>
          </cell>
          <cell r="BF69">
            <v>32</v>
          </cell>
          <cell r="BG69">
            <v>2</v>
          </cell>
          <cell r="BH69">
            <v>33</v>
          </cell>
          <cell r="BI69">
            <v>23</v>
          </cell>
          <cell r="BJ69">
            <v>5</v>
          </cell>
          <cell r="BK69">
            <v>2</v>
          </cell>
          <cell r="BL69">
            <v>5</v>
          </cell>
          <cell r="BM69">
            <v>220</v>
          </cell>
          <cell r="BN69">
            <v>1</v>
          </cell>
          <cell r="BO69">
            <v>1</v>
          </cell>
          <cell r="BP69">
            <v>24</v>
          </cell>
          <cell r="BQ69">
            <v>5</v>
          </cell>
          <cell r="BR69">
            <v>0</v>
          </cell>
          <cell r="BS69">
            <v>0</v>
          </cell>
          <cell r="BT69">
            <v>1</v>
          </cell>
          <cell r="BU69">
            <v>25</v>
          </cell>
          <cell r="BV69">
            <v>1</v>
          </cell>
          <cell r="BW69">
            <v>809</v>
          </cell>
          <cell r="BX69">
            <v>1341</v>
          </cell>
          <cell r="BY69">
            <v>0</v>
          </cell>
          <cell r="BZ69">
            <v>0</v>
          </cell>
          <cell r="CA69">
            <v>0</v>
          </cell>
          <cell r="CB69">
            <v>0</v>
          </cell>
          <cell r="CC69">
            <v>0</v>
          </cell>
          <cell r="CD69">
            <v>0</v>
          </cell>
          <cell r="CE69">
            <v>-2150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0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-809</v>
          </cell>
        </row>
        <row r="70">
          <cell r="A70" t="str">
            <v>7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0</v>
          </cell>
          <cell r="BV70">
            <v>0</v>
          </cell>
          <cell r="BW70">
            <v>0</v>
          </cell>
          <cell r="BX70">
            <v>2</v>
          </cell>
          <cell r="BY70">
            <v>0</v>
          </cell>
          <cell r="BZ70">
            <v>0</v>
          </cell>
          <cell r="CA70">
            <v>0</v>
          </cell>
          <cell r="CB70">
            <v>0</v>
          </cell>
          <cell r="CC70">
            <v>0</v>
          </cell>
          <cell r="CD70">
            <v>0</v>
          </cell>
          <cell r="CE70">
            <v>-2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N70">
            <v>0</v>
          </cell>
          <cell r="CO70">
            <v>0</v>
          </cell>
          <cell r="CP70">
            <v>0</v>
          </cell>
          <cell r="CQ70">
            <v>0</v>
          </cell>
          <cell r="CR70">
            <v>0</v>
          </cell>
        </row>
        <row r="71">
          <cell r="A71" t="str">
            <v>7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0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  <cell r="CM71">
            <v>0</v>
          </cell>
          <cell r="CN71">
            <v>0</v>
          </cell>
          <cell r="CO71">
            <v>0</v>
          </cell>
          <cell r="CP71">
            <v>0</v>
          </cell>
          <cell r="CQ71">
            <v>0</v>
          </cell>
          <cell r="CR71">
            <v>0</v>
          </cell>
        </row>
        <row r="72">
          <cell r="A72" t="str">
            <v>7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  <cell r="CM72">
            <v>0</v>
          </cell>
          <cell r="CN72">
            <v>0</v>
          </cell>
          <cell r="CO72">
            <v>0</v>
          </cell>
          <cell r="CP72">
            <v>0</v>
          </cell>
          <cell r="CQ72">
            <v>0</v>
          </cell>
          <cell r="CR72">
            <v>0</v>
          </cell>
        </row>
        <row r="73">
          <cell r="A73" t="str">
            <v>81</v>
          </cell>
          <cell r="D73">
            <v>0</v>
          </cell>
          <cell r="E73">
            <v>1</v>
          </cell>
          <cell r="F73">
            <v>7</v>
          </cell>
          <cell r="G73">
            <v>4</v>
          </cell>
          <cell r="H73">
            <v>1</v>
          </cell>
          <cell r="I73">
            <v>26</v>
          </cell>
          <cell r="J73">
            <v>197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257</v>
          </cell>
          <cell r="AE73">
            <v>31</v>
          </cell>
          <cell r="AF73">
            <v>35</v>
          </cell>
          <cell r="AG73">
            <v>37</v>
          </cell>
          <cell r="AH73">
            <v>101</v>
          </cell>
          <cell r="AI73">
            <v>0</v>
          </cell>
          <cell r="AJ73">
            <v>1</v>
          </cell>
          <cell r="AK73">
            <v>0</v>
          </cell>
          <cell r="AL73">
            <v>96</v>
          </cell>
          <cell r="AM73">
            <v>0</v>
          </cell>
          <cell r="AN73">
            <v>1</v>
          </cell>
          <cell r="AO73">
            <v>46</v>
          </cell>
          <cell r="AP73">
            <v>11</v>
          </cell>
          <cell r="AQ73">
            <v>19</v>
          </cell>
          <cell r="AR73">
            <v>3</v>
          </cell>
          <cell r="AS73">
            <v>68</v>
          </cell>
          <cell r="AT73">
            <v>32</v>
          </cell>
          <cell r="AU73">
            <v>11</v>
          </cell>
          <cell r="AV73">
            <v>60</v>
          </cell>
          <cell r="AW73">
            <v>49</v>
          </cell>
          <cell r="AX73">
            <v>0</v>
          </cell>
          <cell r="AY73">
            <v>0</v>
          </cell>
          <cell r="AZ73">
            <v>8</v>
          </cell>
          <cell r="BA73">
            <v>122</v>
          </cell>
          <cell r="BB73">
            <v>26</v>
          </cell>
          <cell r="BC73">
            <v>77</v>
          </cell>
          <cell r="BD73">
            <v>109</v>
          </cell>
          <cell r="BE73">
            <v>116</v>
          </cell>
          <cell r="BF73">
            <v>683</v>
          </cell>
          <cell r="BG73">
            <v>149</v>
          </cell>
          <cell r="BH73">
            <v>81</v>
          </cell>
          <cell r="BI73">
            <v>55</v>
          </cell>
          <cell r="BJ73">
            <v>162</v>
          </cell>
          <cell r="BK73">
            <v>11</v>
          </cell>
          <cell r="BL73">
            <v>13</v>
          </cell>
          <cell r="BM73">
            <v>11</v>
          </cell>
          <cell r="BN73">
            <v>27</v>
          </cell>
          <cell r="BO73">
            <v>17</v>
          </cell>
          <cell r="BP73">
            <v>163</v>
          </cell>
          <cell r="BQ73">
            <v>64</v>
          </cell>
          <cell r="BR73">
            <v>0</v>
          </cell>
          <cell r="BS73">
            <v>0</v>
          </cell>
          <cell r="BT73">
            <v>11</v>
          </cell>
          <cell r="BU73">
            <v>440</v>
          </cell>
          <cell r="BV73">
            <v>380</v>
          </cell>
          <cell r="BW73">
            <v>3815</v>
          </cell>
          <cell r="BX73">
            <v>687</v>
          </cell>
          <cell r="BY73">
            <v>0</v>
          </cell>
          <cell r="BZ73">
            <v>0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-4502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>
            <v>0</v>
          </cell>
          <cell r="CO73">
            <v>0</v>
          </cell>
          <cell r="CP73">
            <v>0</v>
          </cell>
          <cell r="CQ73">
            <v>0</v>
          </cell>
          <cell r="CR73">
            <v>-3815</v>
          </cell>
        </row>
        <row r="74">
          <cell r="A74" t="str">
            <v>G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0</v>
          </cell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  <cell r="CM74">
            <v>0</v>
          </cell>
          <cell r="CN74">
            <v>0</v>
          </cell>
          <cell r="CO74">
            <v>0</v>
          </cell>
          <cell r="CP74">
            <v>0</v>
          </cell>
          <cell r="CQ74">
            <v>0</v>
          </cell>
          <cell r="CR74">
            <v>0</v>
          </cell>
        </row>
        <row r="75">
          <cell r="A75" t="str">
            <v>G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N75">
            <v>0</v>
          </cell>
          <cell r="CO75">
            <v>0</v>
          </cell>
          <cell r="CP75">
            <v>0</v>
          </cell>
          <cell r="CQ75">
            <v>0</v>
          </cell>
          <cell r="CR75">
            <v>0</v>
          </cell>
        </row>
        <row r="76">
          <cell r="A76" t="str">
            <v>G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1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63</v>
          </cell>
          <cell r="AE76">
            <v>3</v>
          </cell>
          <cell r="AF76">
            <v>2</v>
          </cell>
          <cell r="AG76">
            <v>1</v>
          </cell>
          <cell r="AH76">
            <v>17</v>
          </cell>
          <cell r="AI76">
            <v>0</v>
          </cell>
          <cell r="AJ76">
            <v>0</v>
          </cell>
          <cell r="AK76">
            <v>7</v>
          </cell>
          <cell r="AL76">
            <v>13</v>
          </cell>
          <cell r="AM76">
            <v>2</v>
          </cell>
          <cell r="AN76">
            <v>0</v>
          </cell>
          <cell r="AO76">
            <v>2</v>
          </cell>
          <cell r="AP76">
            <v>2</v>
          </cell>
          <cell r="AQ76">
            <v>1</v>
          </cell>
          <cell r="AR76">
            <v>1</v>
          </cell>
          <cell r="AS76">
            <v>0</v>
          </cell>
          <cell r="AT76">
            <v>5</v>
          </cell>
          <cell r="AU76">
            <v>4</v>
          </cell>
          <cell r="AV76">
            <v>7</v>
          </cell>
          <cell r="AW76">
            <v>0</v>
          </cell>
          <cell r="AX76">
            <v>0</v>
          </cell>
          <cell r="AY76">
            <v>0</v>
          </cell>
          <cell r="AZ76">
            <v>2</v>
          </cell>
          <cell r="BA76">
            <v>8</v>
          </cell>
          <cell r="BB76">
            <v>1</v>
          </cell>
          <cell r="BC76">
            <v>2</v>
          </cell>
          <cell r="BD76">
            <v>7</v>
          </cell>
          <cell r="BE76">
            <v>1</v>
          </cell>
          <cell r="BF76">
            <v>4</v>
          </cell>
          <cell r="BG76">
            <v>0</v>
          </cell>
          <cell r="BH76">
            <v>2</v>
          </cell>
          <cell r="BI76">
            <v>4</v>
          </cell>
          <cell r="BJ76">
            <v>10</v>
          </cell>
          <cell r="BK76">
            <v>1</v>
          </cell>
          <cell r="BL76">
            <v>2</v>
          </cell>
          <cell r="BM76">
            <v>0</v>
          </cell>
          <cell r="BN76">
            <v>0</v>
          </cell>
          <cell r="BO76">
            <v>3</v>
          </cell>
          <cell r="BP76">
            <v>27</v>
          </cell>
          <cell r="BQ76">
            <v>2</v>
          </cell>
          <cell r="BR76">
            <v>0</v>
          </cell>
          <cell r="BS76">
            <v>0</v>
          </cell>
          <cell r="BT76">
            <v>0</v>
          </cell>
          <cell r="BU76">
            <v>7</v>
          </cell>
          <cell r="BV76">
            <v>0</v>
          </cell>
          <cell r="BW76">
            <v>217</v>
          </cell>
          <cell r="BX76">
            <v>16</v>
          </cell>
          <cell r="BY76">
            <v>0</v>
          </cell>
          <cell r="BZ76">
            <v>0</v>
          </cell>
          <cell r="CA76">
            <v>0</v>
          </cell>
          <cell r="CB76">
            <v>0</v>
          </cell>
          <cell r="CC76">
            <v>0</v>
          </cell>
          <cell r="CD76">
            <v>0</v>
          </cell>
          <cell r="CE76">
            <v>-233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0</v>
          </cell>
          <cell r="CR76">
            <v>-217</v>
          </cell>
        </row>
        <row r="77">
          <cell r="A77" t="str">
            <v>G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0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CR77">
            <v>0</v>
          </cell>
        </row>
        <row r="78">
          <cell r="A78" t="str">
            <v>G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0</v>
          </cell>
          <cell r="CR78">
            <v>0</v>
          </cell>
        </row>
        <row r="79">
          <cell r="A79" t="str">
            <v>Used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10</v>
          </cell>
          <cell r="J79">
            <v>177</v>
          </cell>
          <cell r="K79">
            <v>0</v>
          </cell>
          <cell r="L79">
            <v>0</v>
          </cell>
          <cell r="M79">
            <v>2216</v>
          </cell>
          <cell r="N79">
            <v>33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1</v>
          </cell>
          <cell r="AD79">
            <v>0</v>
          </cell>
          <cell r="AE79">
            <v>40</v>
          </cell>
          <cell r="AF79">
            <v>0</v>
          </cell>
          <cell r="AG79">
            <v>0</v>
          </cell>
          <cell r="AH79">
            <v>0</v>
          </cell>
          <cell r="AI79">
            <v>-3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-57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43</v>
          </cell>
          <cell r="BF79">
            <v>0</v>
          </cell>
          <cell r="BG79">
            <v>0</v>
          </cell>
          <cell r="BH79">
            <v>-52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1</v>
          </cell>
          <cell r="BN79">
            <v>35</v>
          </cell>
          <cell r="BO79">
            <v>0</v>
          </cell>
          <cell r="BP79">
            <v>0</v>
          </cell>
          <cell r="BQ79">
            <v>142</v>
          </cell>
          <cell r="BR79">
            <v>53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2638</v>
          </cell>
          <cell r="BX79">
            <v>17070</v>
          </cell>
          <cell r="BY79">
            <v>-79</v>
          </cell>
          <cell r="BZ79">
            <v>0</v>
          </cell>
          <cell r="CA79">
            <v>0</v>
          </cell>
          <cell r="CB79">
            <v>0</v>
          </cell>
          <cell r="CC79">
            <v>-19</v>
          </cell>
          <cell r="CD79">
            <v>0</v>
          </cell>
          <cell r="CE79">
            <v>-19610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>
            <v>0</v>
          </cell>
          <cell r="CO79">
            <v>0</v>
          </cell>
          <cell r="CP79">
            <v>0</v>
          </cell>
          <cell r="CQ79">
            <v>0</v>
          </cell>
          <cell r="CR79">
            <v>-2638</v>
          </cell>
        </row>
        <row r="80">
          <cell r="A80" t="str">
            <v>Other</v>
          </cell>
          <cell r="D80">
            <v>752</v>
          </cell>
          <cell r="E80">
            <v>26</v>
          </cell>
          <cell r="F80">
            <v>1119</v>
          </cell>
          <cell r="G80">
            <v>11</v>
          </cell>
          <cell r="H80">
            <v>139</v>
          </cell>
          <cell r="I80">
            <v>998</v>
          </cell>
          <cell r="J80">
            <v>2178</v>
          </cell>
          <cell r="K80">
            <v>313</v>
          </cell>
          <cell r="L80">
            <v>282</v>
          </cell>
          <cell r="M80">
            <v>792</v>
          </cell>
          <cell r="N80">
            <v>613</v>
          </cell>
          <cell r="O80">
            <v>1127</v>
          </cell>
          <cell r="P80">
            <v>2090</v>
          </cell>
          <cell r="Q80">
            <v>325</v>
          </cell>
          <cell r="R80">
            <v>2343</v>
          </cell>
          <cell r="S80">
            <v>556</v>
          </cell>
          <cell r="T80">
            <v>109</v>
          </cell>
          <cell r="U80">
            <v>352</v>
          </cell>
          <cell r="V80">
            <v>2489</v>
          </cell>
          <cell r="W80">
            <v>83</v>
          </cell>
          <cell r="X80">
            <v>22</v>
          </cell>
          <cell r="Y80">
            <v>552</v>
          </cell>
          <cell r="Z80">
            <v>236</v>
          </cell>
          <cell r="AA80">
            <v>4284</v>
          </cell>
          <cell r="AB80">
            <v>2031</v>
          </cell>
          <cell r="AC80">
            <v>721</v>
          </cell>
          <cell r="AD80">
            <v>8124</v>
          </cell>
          <cell r="AE80">
            <v>99</v>
          </cell>
          <cell r="AF80">
            <v>461</v>
          </cell>
          <cell r="AG80">
            <v>910</v>
          </cell>
          <cell r="AH80">
            <v>4089</v>
          </cell>
          <cell r="AI80">
            <v>20799</v>
          </cell>
          <cell r="AJ80">
            <v>114</v>
          </cell>
          <cell r="AK80">
            <v>2647</v>
          </cell>
          <cell r="AL80">
            <v>1054</v>
          </cell>
          <cell r="AM80">
            <v>16</v>
          </cell>
          <cell r="AN80">
            <v>143</v>
          </cell>
          <cell r="AO80">
            <v>663</v>
          </cell>
          <cell r="AP80">
            <v>101</v>
          </cell>
          <cell r="AQ80">
            <v>778</v>
          </cell>
          <cell r="AR80">
            <v>390</v>
          </cell>
          <cell r="AS80">
            <v>8137</v>
          </cell>
          <cell r="AT80">
            <v>1006</v>
          </cell>
          <cell r="AU80">
            <v>3940</v>
          </cell>
          <cell r="AV80">
            <v>52605</v>
          </cell>
          <cell r="AW80">
            <v>1655</v>
          </cell>
          <cell r="AX80">
            <v>125</v>
          </cell>
          <cell r="AY80">
            <v>40</v>
          </cell>
          <cell r="AZ80">
            <v>915</v>
          </cell>
          <cell r="BA80">
            <v>3039</v>
          </cell>
          <cell r="BB80">
            <v>122</v>
          </cell>
          <cell r="BC80">
            <v>2651</v>
          </cell>
          <cell r="BD80">
            <v>3322</v>
          </cell>
          <cell r="BE80">
            <v>1841</v>
          </cell>
          <cell r="BF80">
            <v>1364</v>
          </cell>
          <cell r="BG80">
            <v>77</v>
          </cell>
          <cell r="BH80">
            <v>597</v>
          </cell>
          <cell r="BI80">
            <v>0</v>
          </cell>
          <cell r="BJ80">
            <v>0</v>
          </cell>
          <cell r="BK80">
            <v>362</v>
          </cell>
          <cell r="BL80">
            <v>0</v>
          </cell>
          <cell r="BM80">
            <v>372</v>
          </cell>
          <cell r="BN80">
            <v>465</v>
          </cell>
          <cell r="BO80">
            <v>959</v>
          </cell>
          <cell r="BP80">
            <v>3290</v>
          </cell>
          <cell r="BQ80">
            <v>4345</v>
          </cell>
          <cell r="BR80">
            <v>9220</v>
          </cell>
          <cell r="BS80">
            <v>2113</v>
          </cell>
          <cell r="BT80">
            <v>5</v>
          </cell>
          <cell r="BU80">
            <v>0</v>
          </cell>
          <cell r="BV80">
            <v>0</v>
          </cell>
          <cell r="BW80">
            <v>167503</v>
          </cell>
          <cell r="BX80">
            <v>159498</v>
          </cell>
          <cell r="BY80">
            <v>0</v>
          </cell>
          <cell r="BZ80">
            <v>12955</v>
          </cell>
          <cell r="CA80">
            <v>0</v>
          </cell>
          <cell r="CB80">
            <v>0</v>
          </cell>
          <cell r="CC80">
            <v>0</v>
          </cell>
          <cell r="CD80">
            <v>0</v>
          </cell>
          <cell r="CE80">
            <v>-339956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N80">
            <v>0</v>
          </cell>
          <cell r="CO80">
            <v>0</v>
          </cell>
          <cell r="CP80">
            <v>0</v>
          </cell>
          <cell r="CQ80">
            <v>0</v>
          </cell>
          <cell r="CR80">
            <v>-167503</v>
          </cell>
        </row>
      </sheetData>
      <sheetData sheetId="6">
        <row r="2">
          <cell r="A2" t="str">
            <v>11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140417.83478123811</v>
          </cell>
          <cell r="W2">
            <v>0</v>
          </cell>
          <cell r="X2">
            <v>238.51039260969981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55795.820782787821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1977.66554054054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  <cell r="BY2">
            <v>0</v>
          </cell>
          <cell r="BZ2">
            <v>0</v>
          </cell>
          <cell r="CA2">
            <v>0</v>
          </cell>
          <cell r="CB2">
            <v>0</v>
          </cell>
        </row>
        <row r="3">
          <cell r="A3" t="str">
            <v>11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12604.16521876188</v>
          </cell>
          <cell r="W3">
            <v>0</v>
          </cell>
          <cell r="X3">
            <v>436.48960739030019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21678.179217212171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451.33445945945942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0</v>
          </cell>
          <cell r="BY3">
            <v>0</v>
          </cell>
          <cell r="BZ3">
            <v>0</v>
          </cell>
          <cell r="CA3">
            <v>0</v>
          </cell>
          <cell r="CB3">
            <v>0</v>
          </cell>
        </row>
        <row r="4">
          <cell r="A4" t="str">
            <v>11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</row>
        <row r="5">
          <cell r="A5" t="str">
            <v>11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</row>
        <row r="6">
          <cell r="A6" t="str">
            <v>11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8830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3411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342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</row>
        <row r="7">
          <cell r="A7" t="str">
            <v>11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304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</row>
        <row r="8">
          <cell r="A8" t="str">
            <v>21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</row>
        <row r="9">
          <cell r="A9" t="str">
            <v>21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154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</row>
        <row r="10">
          <cell r="A10" t="str">
            <v>21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</row>
        <row r="11">
          <cell r="A11" t="str">
            <v>21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25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67</v>
          </cell>
          <cell r="AG11">
            <v>78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</row>
        <row r="12">
          <cell r="A12" t="str">
            <v>21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</row>
        <row r="13">
          <cell r="A13" t="str">
            <v>22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234797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</row>
        <row r="14">
          <cell r="A14" t="str">
            <v>22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79001.059281983253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</row>
        <row r="15">
          <cell r="A15" t="str">
            <v>22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44935</v>
          </cell>
          <cell r="AQ15">
            <v>0</v>
          </cell>
          <cell r="AR15">
            <v>150.94071801674821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</row>
        <row r="16">
          <cell r="A16" t="str">
            <v>23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</row>
        <row r="17">
          <cell r="A17" t="str">
            <v>31G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64131.304715033482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</row>
        <row r="18">
          <cell r="A18" t="str">
            <v>31G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45202.024747170813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734.49127270452345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2036.9340188517569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</row>
        <row r="19">
          <cell r="A19" t="str">
            <v>31G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63344.65679679859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775.53521850899745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</row>
        <row r="20">
          <cell r="A20" t="str">
            <v>31G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127024.18357687761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2665.9023136246792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</row>
        <row r="21">
          <cell r="A21" t="str">
            <v>31G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118134.53790736559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2935.954755784061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</row>
        <row r="22">
          <cell r="A22" t="str">
            <v>31G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229048.35706594051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1339.204012262006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6353.1568123393317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</row>
        <row r="23">
          <cell r="A23" t="str">
            <v>31G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13698.487089331869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436.23856041131091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</row>
        <row r="24">
          <cell r="A24" t="str">
            <v>31G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155040.73501205599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3852.2865467009442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</row>
        <row r="25">
          <cell r="A25" t="str">
            <v>31G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165318.66757581549</v>
          </cell>
          <cell r="W25">
            <v>3512.597534179688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5301.798800342759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</row>
        <row r="26">
          <cell r="A26" t="str">
            <v>31G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99212.350228643787</v>
          </cell>
          <cell r="W26">
            <v>210429.40246582031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122447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2578.1929734361611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</row>
        <row r="27">
          <cell r="A27" t="str">
            <v>31G</v>
          </cell>
          <cell r="E27">
            <v>0</v>
          </cell>
          <cell r="F27">
            <v>0</v>
          </cell>
          <cell r="G27">
            <v>0</v>
          </cell>
          <cell r="H27">
            <v>39658</v>
          </cell>
          <cell r="I27">
            <v>0</v>
          </cell>
          <cell r="J27">
            <v>0</v>
          </cell>
          <cell r="K27">
            <v>43</v>
          </cell>
          <cell r="L27">
            <v>0</v>
          </cell>
          <cell r="M27">
            <v>7164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320</v>
          </cell>
          <cell r="Z27">
            <v>6</v>
          </cell>
          <cell r="AA27">
            <v>1714</v>
          </cell>
          <cell r="AB27">
            <v>2575</v>
          </cell>
          <cell r="AC27">
            <v>0</v>
          </cell>
          <cell r="AD27">
            <v>0</v>
          </cell>
          <cell r="AE27">
            <v>0</v>
          </cell>
          <cell r="AF27">
            <v>172</v>
          </cell>
          <cell r="AG27">
            <v>48625</v>
          </cell>
          <cell r="AH27">
            <v>1550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</row>
        <row r="28">
          <cell r="A28" t="str">
            <v>31G</v>
          </cell>
          <cell r="E28">
            <v>0</v>
          </cell>
          <cell r="F28">
            <v>0</v>
          </cell>
          <cell r="G28">
            <v>0</v>
          </cell>
          <cell r="H28">
            <v>168</v>
          </cell>
          <cell r="I28">
            <v>0</v>
          </cell>
          <cell r="J28">
            <v>0</v>
          </cell>
          <cell r="K28">
            <v>0</v>
          </cell>
          <cell r="L28">
            <v>36</v>
          </cell>
          <cell r="M28">
            <v>2034</v>
          </cell>
          <cell r="N28">
            <v>0</v>
          </cell>
          <cell r="O28">
            <v>0</v>
          </cell>
          <cell r="P28">
            <v>1037</v>
          </cell>
          <cell r="Q28">
            <v>0</v>
          </cell>
          <cell r="R28">
            <v>0</v>
          </cell>
          <cell r="S28">
            <v>0</v>
          </cell>
          <cell r="T28">
            <v>38117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221064</v>
          </cell>
          <cell r="Z28">
            <v>135924</v>
          </cell>
          <cell r="AA28">
            <v>10558</v>
          </cell>
          <cell r="AB28">
            <v>110196</v>
          </cell>
          <cell r="AC28">
            <v>0</v>
          </cell>
          <cell r="AD28">
            <v>0</v>
          </cell>
          <cell r="AE28">
            <v>0</v>
          </cell>
          <cell r="AF28">
            <v>3496</v>
          </cell>
          <cell r="AG28">
            <v>1599</v>
          </cell>
          <cell r="AH28">
            <v>489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</row>
        <row r="29">
          <cell r="A29" t="str">
            <v>31G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</row>
        <row r="30">
          <cell r="A30" t="str">
            <v>31G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</row>
        <row r="31">
          <cell r="A31" t="str">
            <v>31G</v>
          </cell>
          <cell r="E31">
            <v>0</v>
          </cell>
          <cell r="F31">
            <v>0</v>
          </cell>
          <cell r="G31">
            <v>0</v>
          </cell>
          <cell r="H31">
            <v>3451</v>
          </cell>
          <cell r="I31">
            <v>0</v>
          </cell>
          <cell r="J31">
            <v>1874</v>
          </cell>
          <cell r="K31">
            <v>217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867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1641</v>
          </cell>
          <cell r="AE31">
            <v>0</v>
          </cell>
          <cell r="AF31">
            <v>0</v>
          </cell>
          <cell r="AG31">
            <v>2759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</row>
        <row r="32">
          <cell r="A32" t="str">
            <v>31G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35997.214271316268</v>
          </cell>
          <cell r="AH32">
            <v>100.07309473684209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</row>
        <row r="33">
          <cell r="A33" t="str">
            <v>31G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12953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887</v>
          </cell>
          <cell r="AG33">
            <v>9180.7857286837316</v>
          </cell>
          <cell r="AH33">
            <v>8637.9269052631571</v>
          </cell>
          <cell r="AI33">
            <v>0</v>
          </cell>
          <cell r="AJ33">
            <v>2397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</row>
        <row r="34">
          <cell r="A34" t="str">
            <v>31G</v>
          </cell>
          <cell r="E34">
            <v>0</v>
          </cell>
          <cell r="F34">
            <v>0</v>
          </cell>
          <cell r="G34">
            <v>0</v>
          </cell>
          <cell r="H34">
            <v>716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119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1278</v>
          </cell>
          <cell r="AG34">
            <v>6239</v>
          </cell>
          <cell r="AH34">
            <v>0</v>
          </cell>
          <cell r="AI34">
            <v>0</v>
          </cell>
          <cell r="AJ34">
            <v>938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8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</row>
        <row r="35">
          <cell r="A35" t="str">
            <v>31G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477487</v>
          </cell>
          <cell r="AD35">
            <v>30319</v>
          </cell>
          <cell r="AE35">
            <v>1631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</row>
        <row r="36">
          <cell r="A36" t="str">
            <v>31G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55.568369028006593</v>
          </cell>
          <cell r="L36">
            <v>0</v>
          </cell>
          <cell r="M36">
            <v>4514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2186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485</v>
          </cell>
          <cell r="AE36">
            <v>1563.5153958774979</v>
          </cell>
          <cell r="AF36">
            <v>2358.9865964576352</v>
          </cell>
          <cell r="AG36">
            <v>4677.4666666666653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</row>
        <row r="37">
          <cell r="A37" t="str">
            <v>31G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564541.48460412247</v>
          </cell>
          <cell r="AF37">
            <v>2564.0134035423648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</row>
        <row r="38">
          <cell r="A38" t="str">
            <v>31G</v>
          </cell>
          <cell r="E38">
            <v>0</v>
          </cell>
          <cell r="F38">
            <v>0</v>
          </cell>
          <cell r="G38">
            <v>422</v>
          </cell>
          <cell r="H38">
            <v>0</v>
          </cell>
          <cell r="I38">
            <v>0</v>
          </cell>
          <cell r="J38">
            <v>0</v>
          </cell>
          <cell r="K38">
            <v>6690.4316309719934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42</v>
          </cell>
          <cell r="AD38">
            <v>0</v>
          </cell>
          <cell r="AE38">
            <v>0</v>
          </cell>
          <cell r="AF38">
            <v>0</v>
          </cell>
          <cell r="AG38">
            <v>30403.533333333329</v>
          </cell>
          <cell r="AH38">
            <v>108656</v>
          </cell>
          <cell r="AI38">
            <v>0</v>
          </cell>
          <cell r="AJ38">
            <v>4253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</row>
        <row r="39">
          <cell r="A39" t="str">
            <v>31G</v>
          </cell>
          <cell r="E39">
            <v>0</v>
          </cell>
          <cell r="F39">
            <v>0</v>
          </cell>
          <cell r="G39">
            <v>0</v>
          </cell>
          <cell r="H39">
            <v>1376.259541984733</v>
          </cell>
          <cell r="I39">
            <v>26.916666666666671</v>
          </cell>
          <cell r="J39">
            <v>28714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779</v>
          </cell>
          <cell r="AF39">
            <v>5106.8692771084334</v>
          </cell>
          <cell r="AG39">
            <v>8031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>
            <v>0</v>
          </cell>
        </row>
        <row r="40">
          <cell r="A40" t="str">
            <v>31G</v>
          </cell>
          <cell r="E40">
            <v>0</v>
          </cell>
          <cell r="F40">
            <v>0</v>
          </cell>
          <cell r="G40">
            <v>48716</v>
          </cell>
          <cell r="H40">
            <v>559.74045801526711</v>
          </cell>
          <cell r="I40">
            <v>11.08333333333333</v>
          </cell>
          <cell r="J40">
            <v>0</v>
          </cell>
          <cell r="K40">
            <v>332</v>
          </cell>
          <cell r="L40">
            <v>0</v>
          </cell>
          <cell r="M40">
            <v>0</v>
          </cell>
          <cell r="N40">
            <v>4717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776.13072289156639</v>
          </cell>
          <cell r="AG40">
            <v>0</v>
          </cell>
          <cell r="AH40">
            <v>2469</v>
          </cell>
          <cell r="AI40">
            <v>0</v>
          </cell>
          <cell r="AJ40">
            <v>1119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</row>
        <row r="41">
          <cell r="A41" t="str">
            <v>31G</v>
          </cell>
          <cell r="E41">
            <v>0</v>
          </cell>
          <cell r="F41">
            <v>0</v>
          </cell>
          <cell r="G41">
            <v>642</v>
          </cell>
          <cell r="H41">
            <v>3581</v>
          </cell>
          <cell r="I41">
            <v>0</v>
          </cell>
          <cell r="J41">
            <v>15902</v>
          </cell>
          <cell r="K41">
            <v>386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0</v>
          </cell>
          <cell r="BV41">
            <v>8233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</row>
        <row r="42">
          <cell r="A42" t="str">
            <v>31G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</row>
        <row r="43">
          <cell r="A43" t="str">
            <v>31G</v>
          </cell>
          <cell r="E43">
            <v>0</v>
          </cell>
          <cell r="F43">
            <v>0</v>
          </cell>
          <cell r="G43">
            <v>42</v>
          </cell>
          <cell r="H43">
            <v>912</v>
          </cell>
          <cell r="I43">
            <v>0</v>
          </cell>
          <cell r="J43">
            <v>679.30758017492712</v>
          </cell>
          <cell r="K43">
            <v>138</v>
          </cell>
          <cell r="L43">
            <v>0</v>
          </cell>
          <cell r="M43">
            <v>143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</row>
        <row r="44">
          <cell r="A44" t="str">
            <v>31G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>
            <v>0</v>
          </cell>
        </row>
        <row r="45">
          <cell r="A45" t="str">
            <v>31G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53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</row>
        <row r="46">
          <cell r="A46" t="str">
            <v>31G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25.692419825072889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</row>
        <row r="47">
          <cell r="A47" t="str">
            <v>31G</v>
          </cell>
          <cell r="E47">
            <v>0</v>
          </cell>
          <cell r="F47">
            <v>0</v>
          </cell>
          <cell r="G47">
            <v>3126</v>
          </cell>
          <cell r="H47">
            <v>5452.6971428571433</v>
          </cell>
          <cell r="I47">
            <v>0</v>
          </cell>
          <cell r="J47">
            <v>6756.504108463434</v>
          </cell>
          <cell r="K47">
            <v>12477.957870765729</v>
          </cell>
          <cell r="L47">
            <v>0</v>
          </cell>
          <cell r="M47">
            <v>28045</v>
          </cell>
          <cell r="N47">
            <v>227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2226</v>
          </cell>
          <cell r="AH47">
            <v>5370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81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</row>
        <row r="48">
          <cell r="A48" t="str">
            <v>31G</v>
          </cell>
          <cell r="E48">
            <v>0</v>
          </cell>
          <cell r="F48">
            <v>0</v>
          </cell>
          <cell r="G48">
            <v>0</v>
          </cell>
          <cell r="H48">
            <v>749.30285714285753</v>
          </cell>
          <cell r="I48">
            <v>0</v>
          </cell>
          <cell r="J48">
            <v>785.49589153656541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</row>
        <row r="49">
          <cell r="A49" t="str">
            <v>31G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3211.0421292342721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</row>
        <row r="50">
          <cell r="A50" t="str">
            <v>31G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0</v>
          </cell>
          <cell r="CB50">
            <v>0</v>
          </cell>
        </row>
        <row r="51">
          <cell r="A51" t="str">
            <v>31G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16744</v>
          </cell>
          <cell r="J51">
            <v>0</v>
          </cell>
          <cell r="K51">
            <v>31151.25978827088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700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0</v>
          </cell>
          <cell r="CB51">
            <v>0</v>
          </cell>
        </row>
        <row r="52">
          <cell r="A52" t="str">
            <v>31G</v>
          </cell>
          <cell r="E52">
            <v>0</v>
          </cell>
          <cell r="F52">
            <v>0</v>
          </cell>
          <cell r="G52">
            <v>1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2231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</row>
        <row r="53">
          <cell r="A53" t="str">
            <v>31G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871.74021172912103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0</v>
          </cell>
          <cell r="BW53">
            <v>0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</row>
        <row r="54">
          <cell r="A54" t="str">
            <v>31G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794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</row>
        <row r="55">
          <cell r="A55" t="str">
            <v>31G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84838.992846797308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</row>
        <row r="56">
          <cell r="A56" t="str">
            <v>31G</v>
          </cell>
          <cell r="E56">
            <v>0</v>
          </cell>
          <cell r="F56">
            <v>0</v>
          </cell>
          <cell r="G56">
            <v>54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2355.6353640152529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32102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>
            <v>0</v>
          </cell>
        </row>
        <row r="57">
          <cell r="A57" t="str">
            <v>31G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71195.152818420975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>
            <v>0</v>
          </cell>
        </row>
        <row r="58">
          <cell r="A58" t="str">
            <v>31G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496.25385001921319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BR58">
            <v>0</v>
          </cell>
          <cell r="BS58">
            <v>0</v>
          </cell>
          <cell r="BT58">
            <v>0</v>
          </cell>
          <cell r="BU58">
            <v>0</v>
          </cell>
          <cell r="BV58">
            <v>0</v>
          </cell>
          <cell r="BW58">
            <v>0</v>
          </cell>
          <cell r="BX58">
            <v>0</v>
          </cell>
          <cell r="BY58">
            <v>0</v>
          </cell>
          <cell r="BZ58">
            <v>0</v>
          </cell>
          <cell r="CA58">
            <v>0</v>
          </cell>
          <cell r="CB58">
            <v>0</v>
          </cell>
        </row>
        <row r="59">
          <cell r="A59" t="str">
            <v>31G</v>
          </cell>
          <cell r="E59">
            <v>0</v>
          </cell>
          <cell r="F59">
            <v>0</v>
          </cell>
          <cell r="G59">
            <v>0</v>
          </cell>
          <cell r="H59">
            <v>1853</v>
          </cell>
          <cell r="I59">
            <v>0</v>
          </cell>
          <cell r="J59">
            <v>0</v>
          </cell>
          <cell r="K59">
            <v>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17255</v>
          </cell>
          <cell r="R59">
            <v>8637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55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>
            <v>0</v>
          </cell>
        </row>
        <row r="60">
          <cell r="A60" t="str">
            <v>31G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500.96512074724347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0</v>
          </cell>
          <cell r="BV60">
            <v>0</v>
          </cell>
          <cell r="BW60">
            <v>0</v>
          </cell>
          <cell r="BX60">
            <v>0</v>
          </cell>
          <cell r="BY60">
            <v>0</v>
          </cell>
          <cell r="BZ60">
            <v>0</v>
          </cell>
          <cell r="CA60">
            <v>0</v>
          </cell>
          <cell r="CB60">
            <v>0</v>
          </cell>
        </row>
        <row r="61">
          <cell r="A61" t="str">
            <v>31G</v>
          </cell>
          <cell r="E61">
            <v>0</v>
          </cell>
          <cell r="F61">
            <v>0</v>
          </cell>
          <cell r="G61">
            <v>284.75706214689262</v>
          </cell>
          <cell r="H61">
            <v>6808</v>
          </cell>
          <cell r="I61">
            <v>8.0229560235366986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40.723969252271132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74.354166666666671</v>
          </cell>
          <cell r="AG61">
            <v>3290.6472132159961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B61">
            <v>0</v>
          </cell>
        </row>
        <row r="62">
          <cell r="A62" t="str">
            <v>31G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69056.256813254877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103.00768693221519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19662.17145773091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</row>
        <row r="63">
          <cell r="A63" t="str">
            <v>31G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560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8.6458333333333357</v>
          </cell>
          <cell r="AG63">
            <v>422.35016211208892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>
            <v>0</v>
          </cell>
        </row>
        <row r="64">
          <cell r="A64" t="str">
            <v>31G</v>
          </cell>
          <cell r="E64">
            <v>0</v>
          </cell>
          <cell r="F64">
            <v>0</v>
          </cell>
          <cell r="G64">
            <v>4297.2429378531078</v>
          </cell>
          <cell r="H64">
            <v>0</v>
          </cell>
          <cell r="I64">
            <v>18.720230721585629</v>
          </cell>
          <cell r="J64">
            <v>0</v>
          </cell>
          <cell r="K64">
            <v>0</v>
          </cell>
          <cell r="L64">
            <v>2136</v>
          </cell>
          <cell r="M64">
            <v>0</v>
          </cell>
          <cell r="N64">
            <v>74</v>
          </cell>
          <cell r="O64">
            <v>0</v>
          </cell>
          <cell r="P64">
            <v>0</v>
          </cell>
          <cell r="Q64">
            <v>0</v>
          </cell>
          <cell r="R64">
            <v>3284.2683438155141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4809.0026246719162</v>
          </cell>
          <cell r="AH64">
            <v>12146.82854226909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0</v>
          </cell>
          <cell r="CB64">
            <v>0</v>
          </cell>
        </row>
        <row r="65">
          <cell r="A65" t="str">
            <v>31G</v>
          </cell>
          <cell r="E65">
            <v>374193.06775193248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0</v>
          </cell>
          <cell r="CB65">
            <v>0</v>
          </cell>
        </row>
        <row r="66">
          <cell r="A66" t="str">
            <v>31G</v>
          </cell>
          <cell r="E66">
            <v>533.93224806753824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54224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0</v>
          </cell>
          <cell r="CB66">
            <v>0</v>
          </cell>
        </row>
        <row r="67">
          <cell r="A67" t="str">
            <v>31G</v>
          </cell>
          <cell r="E67">
            <v>0</v>
          </cell>
          <cell r="F67">
            <v>0</v>
          </cell>
          <cell r="G67">
            <v>52380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BR67">
            <v>0</v>
          </cell>
          <cell r="BS67">
            <v>0</v>
          </cell>
          <cell r="BT67">
            <v>0</v>
          </cell>
          <cell r="BU67">
            <v>0</v>
          </cell>
          <cell r="BV67">
            <v>0</v>
          </cell>
          <cell r="BW67">
            <v>0</v>
          </cell>
          <cell r="BX67">
            <v>0</v>
          </cell>
          <cell r="BY67">
            <v>0</v>
          </cell>
          <cell r="BZ67">
            <v>0</v>
          </cell>
          <cell r="CA67">
            <v>0</v>
          </cell>
          <cell r="CB67">
            <v>0</v>
          </cell>
        </row>
        <row r="68">
          <cell r="A68" t="str">
            <v>31G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2204.663490531902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0</v>
          </cell>
          <cell r="BV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0</v>
          </cell>
          <cell r="CB68">
            <v>0</v>
          </cell>
        </row>
        <row r="69">
          <cell r="A69" t="str">
            <v>31G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BQ69">
            <v>0</v>
          </cell>
          <cell r="BR69">
            <v>0</v>
          </cell>
          <cell r="BS69">
            <v>0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BZ69">
            <v>0</v>
          </cell>
          <cell r="CA69">
            <v>0</v>
          </cell>
          <cell r="CB69">
            <v>0</v>
          </cell>
        </row>
        <row r="70">
          <cell r="A70" t="str">
            <v>31G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0</v>
          </cell>
          <cell r="BV70">
            <v>0</v>
          </cell>
          <cell r="BW70">
            <v>0</v>
          </cell>
          <cell r="BX70">
            <v>0</v>
          </cell>
          <cell r="BY70">
            <v>0</v>
          </cell>
          <cell r="BZ70">
            <v>0</v>
          </cell>
          <cell r="CA70">
            <v>0</v>
          </cell>
          <cell r="CB70">
            <v>0</v>
          </cell>
        </row>
        <row r="71">
          <cell r="A71" t="str">
            <v>31G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10856</v>
          </cell>
          <cell r="N71">
            <v>47031.336509468099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0</v>
          </cell>
          <cell r="CB71">
            <v>0</v>
          </cell>
        </row>
        <row r="72">
          <cell r="A72" t="str">
            <v>31G</v>
          </cell>
          <cell r="E72">
            <v>0</v>
          </cell>
          <cell r="F72">
            <v>0</v>
          </cell>
          <cell r="G72">
            <v>0</v>
          </cell>
          <cell r="H72">
            <v>120239.75412892429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0</v>
          </cell>
          <cell r="CB72">
            <v>0</v>
          </cell>
        </row>
        <row r="73">
          <cell r="A73" t="str">
            <v>31G</v>
          </cell>
          <cell r="E73">
            <v>0</v>
          </cell>
          <cell r="F73">
            <v>0</v>
          </cell>
          <cell r="G73">
            <v>0</v>
          </cell>
          <cell r="H73">
            <v>42271.245871075713</v>
          </cell>
          <cell r="I73">
            <v>0</v>
          </cell>
          <cell r="J73">
            <v>0</v>
          </cell>
          <cell r="K73">
            <v>487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  <cell r="BZ73">
            <v>0</v>
          </cell>
          <cell r="CA73">
            <v>0</v>
          </cell>
          <cell r="CB73">
            <v>0</v>
          </cell>
        </row>
        <row r="74">
          <cell r="A74" t="str">
            <v>31G</v>
          </cell>
          <cell r="E74">
            <v>0</v>
          </cell>
          <cell r="F74">
            <v>0</v>
          </cell>
          <cell r="G74">
            <v>0</v>
          </cell>
          <cell r="H74">
            <v>562.50095993856405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9714.9278301762843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60160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44.353846153846163</v>
          </cell>
          <cell r="Z74">
            <v>10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6714</v>
          </cell>
          <cell r="AF74">
            <v>0</v>
          </cell>
          <cell r="AG74">
            <v>733.66906159642497</v>
          </cell>
          <cell r="AH74">
            <v>15.198727015558701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0</v>
          </cell>
          <cell r="CB74">
            <v>0</v>
          </cell>
        </row>
        <row r="75">
          <cell r="A75" t="str">
            <v>31G</v>
          </cell>
          <cell r="E75">
            <v>0</v>
          </cell>
          <cell r="F75">
            <v>0</v>
          </cell>
          <cell r="G75">
            <v>567</v>
          </cell>
          <cell r="H75">
            <v>15897.499040061441</v>
          </cell>
          <cell r="I75">
            <v>0</v>
          </cell>
          <cell r="J75">
            <v>217</v>
          </cell>
          <cell r="K75">
            <v>1771</v>
          </cell>
          <cell r="L75">
            <v>6</v>
          </cell>
          <cell r="M75">
            <v>56816.072169823718</v>
          </cell>
          <cell r="N75">
            <v>0</v>
          </cell>
          <cell r="O75">
            <v>0</v>
          </cell>
          <cell r="P75">
            <v>6789</v>
          </cell>
          <cell r="Q75">
            <v>65654</v>
          </cell>
          <cell r="R75">
            <v>0</v>
          </cell>
          <cell r="S75">
            <v>0</v>
          </cell>
          <cell r="T75">
            <v>3815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234.64615384615391</v>
          </cell>
          <cell r="Z75">
            <v>20</v>
          </cell>
          <cell r="AA75">
            <v>0</v>
          </cell>
          <cell r="AB75">
            <v>431</v>
          </cell>
          <cell r="AC75">
            <v>0</v>
          </cell>
          <cell r="AD75">
            <v>0</v>
          </cell>
          <cell r="AE75">
            <v>0</v>
          </cell>
          <cell r="AF75">
            <v>110919</v>
          </cell>
          <cell r="AG75">
            <v>17669.330938403571</v>
          </cell>
          <cell r="AH75">
            <v>21475.801272984441</v>
          </cell>
          <cell r="AI75">
            <v>0</v>
          </cell>
          <cell r="AJ75">
            <v>6404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>
            <v>0</v>
          </cell>
        </row>
        <row r="76">
          <cell r="A76" t="str">
            <v>42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0</v>
          </cell>
          <cell r="CB76">
            <v>0</v>
          </cell>
        </row>
        <row r="77">
          <cell r="A77" t="str">
            <v>44RT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0</v>
          </cell>
          <cell r="CB77">
            <v>0</v>
          </cell>
        </row>
        <row r="78">
          <cell r="A78" t="str">
            <v>44RT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>
            <v>0</v>
          </cell>
        </row>
        <row r="79">
          <cell r="A79" t="str">
            <v>44RT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B79">
            <v>0</v>
          </cell>
        </row>
        <row r="80">
          <cell r="A80" t="str">
            <v>44RT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BR80">
            <v>0</v>
          </cell>
          <cell r="BS80">
            <v>0</v>
          </cell>
          <cell r="BT80">
            <v>0</v>
          </cell>
          <cell r="BU80">
            <v>0</v>
          </cell>
          <cell r="BV80">
            <v>13257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</v>
          </cell>
          <cell r="CB80">
            <v>0</v>
          </cell>
        </row>
        <row r="81">
          <cell r="A81" t="str">
            <v>48TW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165040</v>
          </cell>
          <cell r="BB81">
            <v>0</v>
          </cell>
          <cell r="BC81">
            <v>375</v>
          </cell>
          <cell r="BD81">
            <v>0</v>
          </cell>
          <cell r="BE81">
            <v>0</v>
          </cell>
          <cell r="BF81">
            <v>0</v>
          </cell>
          <cell r="BG81">
            <v>1383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BR81">
            <v>0</v>
          </cell>
          <cell r="BS81">
            <v>0</v>
          </cell>
          <cell r="BT81">
            <v>0</v>
          </cell>
          <cell r="BU81">
            <v>0</v>
          </cell>
          <cell r="BV81">
            <v>98</v>
          </cell>
          <cell r="BW81">
            <v>0</v>
          </cell>
          <cell r="BX81">
            <v>0</v>
          </cell>
          <cell r="BY81">
            <v>25</v>
          </cell>
          <cell r="BZ81">
            <v>52607</v>
          </cell>
          <cell r="CA81">
            <v>0</v>
          </cell>
          <cell r="CB81">
            <v>0</v>
          </cell>
        </row>
        <row r="82">
          <cell r="A82" t="str">
            <v>48TW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1134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81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0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0</v>
          </cell>
          <cell r="CB82">
            <v>0</v>
          </cell>
        </row>
        <row r="83">
          <cell r="A83" t="str">
            <v>48TW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1909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2</v>
          </cell>
          <cell r="BZ83">
            <v>9031</v>
          </cell>
          <cell r="CA83">
            <v>0</v>
          </cell>
          <cell r="CB83">
            <v>0</v>
          </cell>
        </row>
        <row r="84">
          <cell r="A84" t="str">
            <v>48TW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BR84">
            <v>0</v>
          </cell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15774</v>
          </cell>
          <cell r="BZ84">
            <v>0</v>
          </cell>
          <cell r="CA84">
            <v>0</v>
          </cell>
          <cell r="CB84">
            <v>0</v>
          </cell>
        </row>
        <row r="85">
          <cell r="A85" t="str">
            <v>48TW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47714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BR85">
            <v>0</v>
          </cell>
          <cell r="BS85">
            <v>0</v>
          </cell>
          <cell r="BT85">
            <v>0</v>
          </cell>
          <cell r="BU85">
            <v>0</v>
          </cell>
          <cell r="BV85">
            <v>0</v>
          </cell>
          <cell r="BW85">
            <v>0</v>
          </cell>
          <cell r="BX85">
            <v>0</v>
          </cell>
          <cell r="BY85">
            <v>0</v>
          </cell>
          <cell r="BZ85">
            <v>0</v>
          </cell>
          <cell r="CA85">
            <v>0</v>
          </cell>
          <cell r="CB85">
            <v>0</v>
          </cell>
        </row>
        <row r="86">
          <cell r="A86" t="str">
            <v>48TW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BR86">
            <v>0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BZ86">
            <v>0</v>
          </cell>
          <cell r="CA86">
            <v>0</v>
          </cell>
          <cell r="CB86">
            <v>0</v>
          </cell>
        </row>
        <row r="87">
          <cell r="A87" t="str">
            <v>48TW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9878</v>
          </cell>
          <cell r="AY87">
            <v>0</v>
          </cell>
          <cell r="AZ87">
            <v>1384</v>
          </cell>
          <cell r="BA87">
            <v>0</v>
          </cell>
          <cell r="BB87">
            <v>2743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>
            <v>0</v>
          </cell>
        </row>
        <row r="88">
          <cell r="A88" t="str">
            <v>48TW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10608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B88">
            <v>0</v>
          </cell>
        </row>
        <row r="89">
          <cell r="A89" t="str">
            <v>48TW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BR89">
            <v>0</v>
          </cell>
          <cell r="BS89">
            <v>0</v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314</v>
          </cell>
          <cell r="BZ89">
            <v>0</v>
          </cell>
          <cell r="CA89">
            <v>0</v>
          </cell>
          <cell r="CB89">
            <v>0</v>
          </cell>
        </row>
        <row r="90">
          <cell r="A90" t="str">
            <v>51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161724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0</v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BZ90">
            <v>0</v>
          </cell>
          <cell r="CA90">
            <v>0</v>
          </cell>
          <cell r="CB90">
            <v>0</v>
          </cell>
        </row>
        <row r="91">
          <cell r="A91" t="str">
            <v>51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14654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407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7762</v>
          </cell>
          <cell r="BD91">
            <v>0</v>
          </cell>
          <cell r="BE91">
            <v>0</v>
          </cell>
          <cell r="BF91">
            <v>0</v>
          </cell>
          <cell r="BG91">
            <v>3392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>
            <v>0</v>
          </cell>
        </row>
        <row r="92">
          <cell r="A92" t="str">
            <v>51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92930.123807117459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182861</v>
          </cell>
          <cell r="BQ92">
            <v>0</v>
          </cell>
          <cell r="BR92">
            <v>99665</v>
          </cell>
          <cell r="BS92">
            <v>0</v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BZ92">
            <v>0</v>
          </cell>
          <cell r="CA92">
            <v>0</v>
          </cell>
          <cell r="CB92">
            <v>0</v>
          </cell>
        </row>
        <row r="93">
          <cell r="A93" t="str">
            <v>51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45223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44442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BR93">
            <v>0</v>
          </cell>
          <cell r="BS93">
            <v>0</v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BZ93">
            <v>0</v>
          </cell>
          <cell r="CA93">
            <v>0</v>
          </cell>
          <cell r="CB93">
            <v>0</v>
          </cell>
        </row>
        <row r="94">
          <cell r="A94" t="str">
            <v>51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28883</v>
          </cell>
          <cell r="P94">
            <v>0</v>
          </cell>
          <cell r="Q94">
            <v>0</v>
          </cell>
          <cell r="R94">
            <v>0</v>
          </cell>
          <cell r="S94">
            <v>7937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89521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4957</v>
          </cell>
          <cell r="BD94">
            <v>6669.8761928825479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0</v>
          </cell>
          <cell r="BQ94">
            <v>0</v>
          </cell>
          <cell r="BR94">
            <v>0</v>
          </cell>
          <cell r="BS94">
            <v>0</v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BZ94">
            <v>0</v>
          </cell>
          <cell r="CA94">
            <v>0</v>
          </cell>
          <cell r="CB94">
            <v>6600</v>
          </cell>
        </row>
        <row r="95">
          <cell r="A95" t="str">
            <v>FIRE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229083</v>
          </cell>
          <cell r="BK95">
            <v>129131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>
            <v>0</v>
          </cell>
        </row>
        <row r="96">
          <cell r="A96" t="str">
            <v>FIRE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288208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B96">
            <v>0</v>
          </cell>
        </row>
        <row r="97">
          <cell r="A97" t="str">
            <v>FIRE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160462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B97">
            <v>0</v>
          </cell>
        </row>
        <row r="98">
          <cell r="A98" t="str">
            <v>FIRE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99232</v>
          </cell>
          <cell r="BM98">
            <v>14576</v>
          </cell>
          <cell r="BN98">
            <v>236079</v>
          </cell>
          <cell r="BO98">
            <v>95556</v>
          </cell>
          <cell r="BP98">
            <v>0</v>
          </cell>
          <cell r="BQ98">
            <v>0</v>
          </cell>
          <cell r="BR98">
            <v>0</v>
          </cell>
          <cell r="BS98">
            <v>0</v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BZ98">
            <v>0</v>
          </cell>
          <cell r="CA98">
            <v>0</v>
          </cell>
          <cell r="CB98">
            <v>0</v>
          </cell>
        </row>
        <row r="99">
          <cell r="A99" t="str">
            <v>FIRE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B99">
            <v>0</v>
          </cell>
        </row>
        <row r="100">
          <cell r="A100" t="str">
            <v>FIRE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593467</v>
          </cell>
          <cell r="AM100">
            <v>0</v>
          </cell>
          <cell r="AN100">
            <v>684.49231143552322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6468</v>
          </cell>
          <cell r="BZ100">
            <v>0</v>
          </cell>
          <cell r="CA100">
            <v>0</v>
          </cell>
          <cell r="CB100">
            <v>0</v>
          </cell>
        </row>
        <row r="101">
          <cell r="A101" t="str">
            <v>FIRE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82621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B101">
            <v>0</v>
          </cell>
        </row>
        <row r="102">
          <cell r="A102" t="str">
            <v>FIRE</v>
          </cell>
          <cell r="E102">
            <v>0</v>
          </cell>
          <cell r="F102">
            <v>0</v>
          </cell>
          <cell r="G102">
            <v>0</v>
          </cell>
          <cell r="H102">
            <v>6606</v>
          </cell>
          <cell r="I102">
            <v>0</v>
          </cell>
          <cell r="J102">
            <v>0</v>
          </cell>
          <cell r="K102">
            <v>1385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2227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3170</v>
          </cell>
          <cell r="BD102">
            <v>2276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65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0</v>
          </cell>
          <cell r="BV102">
            <v>0</v>
          </cell>
          <cell r="BW102">
            <v>1378</v>
          </cell>
          <cell r="BX102">
            <v>0</v>
          </cell>
          <cell r="BY102">
            <v>4741</v>
          </cell>
          <cell r="BZ102">
            <v>0</v>
          </cell>
          <cell r="CA102">
            <v>0</v>
          </cell>
          <cell r="CB102">
            <v>0</v>
          </cell>
        </row>
        <row r="103">
          <cell r="A103" t="str">
            <v>FIRE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BZ103">
            <v>0</v>
          </cell>
          <cell r="CA103">
            <v>0</v>
          </cell>
          <cell r="CB103">
            <v>0</v>
          </cell>
        </row>
        <row r="104">
          <cell r="A104" t="str">
            <v>PROF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0</v>
          </cell>
          <cell r="BQ104">
            <v>0</v>
          </cell>
          <cell r="BR104">
            <v>0</v>
          </cell>
          <cell r="BS104">
            <v>0</v>
          </cell>
          <cell r="BT104">
            <v>0</v>
          </cell>
          <cell r="BU104">
            <v>0</v>
          </cell>
          <cell r="BV104">
            <v>122585</v>
          </cell>
          <cell r="BW104">
            <v>0</v>
          </cell>
          <cell r="BX104">
            <v>0</v>
          </cell>
          <cell r="BY104">
            <v>0</v>
          </cell>
          <cell r="BZ104">
            <v>0</v>
          </cell>
          <cell r="CA104">
            <v>0</v>
          </cell>
          <cell r="CB104">
            <v>428</v>
          </cell>
        </row>
        <row r="105">
          <cell r="A105" t="str">
            <v>PROF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BQ105">
            <v>0</v>
          </cell>
          <cell r="BR105">
            <v>0</v>
          </cell>
          <cell r="BS105">
            <v>0</v>
          </cell>
          <cell r="BT105">
            <v>0</v>
          </cell>
          <cell r="BU105">
            <v>0</v>
          </cell>
          <cell r="BV105">
            <v>27599.47376449054</v>
          </cell>
          <cell r="BW105">
            <v>0</v>
          </cell>
          <cell r="BX105">
            <v>0</v>
          </cell>
          <cell r="BY105">
            <v>0</v>
          </cell>
          <cell r="BZ105">
            <v>0</v>
          </cell>
          <cell r="CA105">
            <v>0</v>
          </cell>
          <cell r="CB105">
            <v>0</v>
          </cell>
        </row>
        <row r="106">
          <cell r="A106" t="str">
            <v>PROF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BR106">
            <v>0</v>
          </cell>
          <cell r="BS106">
            <v>0</v>
          </cell>
          <cell r="BT106">
            <v>0</v>
          </cell>
          <cell r="BU106">
            <v>0</v>
          </cell>
          <cell r="BV106">
            <v>0</v>
          </cell>
          <cell r="BW106">
            <v>0</v>
          </cell>
          <cell r="BX106">
            <v>0</v>
          </cell>
          <cell r="BY106">
            <v>0</v>
          </cell>
          <cell r="BZ106">
            <v>0</v>
          </cell>
          <cell r="CA106">
            <v>0</v>
          </cell>
          <cell r="CB106">
            <v>0</v>
          </cell>
        </row>
        <row r="107">
          <cell r="A107" t="str">
            <v>PROF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BR107">
            <v>0</v>
          </cell>
          <cell r="BS107">
            <v>0</v>
          </cell>
          <cell r="BT107">
            <v>0</v>
          </cell>
          <cell r="BU107">
            <v>0</v>
          </cell>
          <cell r="BV107">
            <v>11653.45378279439</v>
          </cell>
          <cell r="BW107">
            <v>0</v>
          </cell>
          <cell r="BX107">
            <v>0</v>
          </cell>
          <cell r="BY107">
            <v>0</v>
          </cell>
          <cell r="BZ107">
            <v>0</v>
          </cell>
          <cell r="CA107">
            <v>0</v>
          </cell>
          <cell r="CB107">
            <v>0</v>
          </cell>
        </row>
        <row r="108">
          <cell r="A108" t="str">
            <v>PROF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BR108">
            <v>0</v>
          </cell>
          <cell r="BS108">
            <v>0</v>
          </cell>
          <cell r="BT108">
            <v>0</v>
          </cell>
          <cell r="BU108">
            <v>0</v>
          </cell>
          <cell r="BV108">
            <v>0</v>
          </cell>
          <cell r="BW108">
            <v>0</v>
          </cell>
          <cell r="BX108">
            <v>0</v>
          </cell>
          <cell r="BY108">
            <v>0</v>
          </cell>
          <cell r="BZ108">
            <v>0</v>
          </cell>
          <cell r="CA108">
            <v>0</v>
          </cell>
          <cell r="CB108">
            <v>0</v>
          </cell>
        </row>
        <row r="109">
          <cell r="A109" t="str">
            <v>PROF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BR109">
            <v>0</v>
          </cell>
          <cell r="BS109">
            <v>0</v>
          </cell>
          <cell r="BT109">
            <v>0</v>
          </cell>
          <cell r="BU109">
            <v>0</v>
          </cell>
          <cell r="BV109">
            <v>0</v>
          </cell>
          <cell r="BW109">
            <v>0</v>
          </cell>
          <cell r="BX109">
            <v>0</v>
          </cell>
          <cell r="BY109">
            <v>0</v>
          </cell>
          <cell r="BZ109">
            <v>0</v>
          </cell>
          <cell r="CA109">
            <v>0</v>
          </cell>
          <cell r="CB109">
            <v>0</v>
          </cell>
        </row>
        <row r="110">
          <cell r="A110" t="str">
            <v>PROF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BR110">
            <v>0</v>
          </cell>
          <cell r="BS110">
            <v>0</v>
          </cell>
          <cell r="BT110">
            <v>0</v>
          </cell>
          <cell r="BU110">
            <v>0</v>
          </cell>
          <cell r="BV110">
            <v>0</v>
          </cell>
          <cell r="BW110">
            <v>0</v>
          </cell>
          <cell r="BX110">
            <v>0</v>
          </cell>
          <cell r="BY110">
            <v>0</v>
          </cell>
          <cell r="BZ110">
            <v>0</v>
          </cell>
          <cell r="CA110">
            <v>0</v>
          </cell>
          <cell r="CB110">
            <v>7686</v>
          </cell>
        </row>
        <row r="111">
          <cell r="A111" t="str">
            <v>PROF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BR111">
            <v>0</v>
          </cell>
          <cell r="BS111">
            <v>0</v>
          </cell>
          <cell r="BT111">
            <v>0</v>
          </cell>
          <cell r="BU111">
            <v>0</v>
          </cell>
          <cell r="BV111">
            <v>1181.0724527150701</v>
          </cell>
          <cell r="BW111">
            <v>0</v>
          </cell>
          <cell r="BX111">
            <v>0</v>
          </cell>
          <cell r="BY111">
            <v>0</v>
          </cell>
          <cell r="BZ111">
            <v>0</v>
          </cell>
          <cell r="CA111">
            <v>0</v>
          </cell>
          <cell r="CB111">
            <v>0</v>
          </cell>
        </row>
        <row r="112">
          <cell r="A112" t="str">
            <v>PROF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7018</v>
          </cell>
          <cell r="BE112">
            <v>0</v>
          </cell>
          <cell r="BF112">
            <v>52402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0</v>
          </cell>
          <cell r="BQ112">
            <v>0</v>
          </cell>
          <cell r="BR112">
            <v>0</v>
          </cell>
          <cell r="BS112">
            <v>0</v>
          </cell>
          <cell r="BT112">
            <v>0</v>
          </cell>
          <cell r="BU112">
            <v>0</v>
          </cell>
          <cell r="BV112">
            <v>0</v>
          </cell>
          <cell r="BW112">
            <v>0</v>
          </cell>
          <cell r="BX112">
            <v>0</v>
          </cell>
          <cell r="BY112">
            <v>0</v>
          </cell>
          <cell r="BZ112">
            <v>0</v>
          </cell>
          <cell r="CA112">
            <v>0</v>
          </cell>
          <cell r="CB112">
            <v>0</v>
          </cell>
        </row>
        <row r="113">
          <cell r="A113" t="str">
            <v>PROF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BR113">
            <v>0</v>
          </cell>
          <cell r="BS113">
            <v>0</v>
          </cell>
          <cell r="BT113">
            <v>0</v>
          </cell>
          <cell r="BU113">
            <v>0</v>
          </cell>
          <cell r="BV113">
            <v>0</v>
          </cell>
          <cell r="BW113">
            <v>0</v>
          </cell>
          <cell r="BX113">
            <v>0</v>
          </cell>
          <cell r="BY113">
            <v>0</v>
          </cell>
          <cell r="BZ113">
            <v>0</v>
          </cell>
          <cell r="CA113">
            <v>0</v>
          </cell>
          <cell r="CB113">
            <v>0</v>
          </cell>
        </row>
        <row r="114">
          <cell r="A114" t="str">
            <v>PROF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BR114">
            <v>0</v>
          </cell>
          <cell r="BS114">
            <v>0</v>
          </cell>
          <cell r="BT114">
            <v>0</v>
          </cell>
          <cell r="BU114">
            <v>0</v>
          </cell>
          <cell r="BV114">
            <v>0</v>
          </cell>
          <cell r="BW114">
            <v>0</v>
          </cell>
          <cell r="BX114">
            <v>0</v>
          </cell>
          <cell r="BY114">
            <v>0</v>
          </cell>
          <cell r="BZ114">
            <v>0</v>
          </cell>
          <cell r="CA114">
            <v>0</v>
          </cell>
          <cell r="CB114">
            <v>0</v>
          </cell>
        </row>
        <row r="115">
          <cell r="A115" t="str">
            <v>PROF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BQ115">
            <v>0</v>
          </cell>
          <cell r="BR115">
            <v>0</v>
          </cell>
          <cell r="BS115">
            <v>0</v>
          </cell>
          <cell r="BT115">
            <v>0</v>
          </cell>
          <cell r="BU115">
            <v>0</v>
          </cell>
          <cell r="BV115">
            <v>0</v>
          </cell>
          <cell r="BW115">
            <v>0</v>
          </cell>
          <cell r="BX115">
            <v>0</v>
          </cell>
          <cell r="BY115">
            <v>0</v>
          </cell>
          <cell r="BZ115">
            <v>0</v>
          </cell>
          <cell r="CA115">
            <v>0</v>
          </cell>
          <cell r="CB115">
            <v>0</v>
          </cell>
        </row>
        <row r="116">
          <cell r="A116" t="str">
            <v>PROF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2540.1476215098241</v>
          </cell>
          <cell r="BW116">
            <v>0</v>
          </cell>
          <cell r="BX116">
            <v>0</v>
          </cell>
          <cell r="BY116">
            <v>0</v>
          </cell>
          <cell r="BZ116">
            <v>0</v>
          </cell>
          <cell r="CA116">
            <v>0</v>
          </cell>
          <cell r="CB116">
            <v>0</v>
          </cell>
        </row>
        <row r="117">
          <cell r="A117" t="str">
            <v>PROF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46</v>
          </cell>
          <cell r="BQ117">
            <v>1104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7405.4968976215096</v>
          </cell>
          <cell r="BW117">
            <v>0</v>
          </cell>
          <cell r="BX117">
            <v>0</v>
          </cell>
          <cell r="BY117">
            <v>0</v>
          </cell>
          <cell r="BZ117">
            <v>0</v>
          </cell>
          <cell r="CA117">
            <v>0</v>
          </cell>
          <cell r="CB117">
            <v>0</v>
          </cell>
        </row>
        <row r="118">
          <cell r="A118" t="str">
            <v>PROF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6676</v>
          </cell>
          <cell r="BA118">
            <v>0</v>
          </cell>
          <cell r="BB118">
            <v>0</v>
          </cell>
          <cell r="BC118">
            <v>3055</v>
          </cell>
          <cell r="BD118">
            <v>0</v>
          </cell>
          <cell r="BE118">
            <v>0</v>
          </cell>
          <cell r="BF118">
            <v>15970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0</v>
          </cell>
          <cell r="CB118">
            <v>0</v>
          </cell>
        </row>
        <row r="119">
          <cell r="A119" t="str">
            <v>PROF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512.35548086866606</v>
          </cell>
          <cell r="BW119">
            <v>0</v>
          </cell>
          <cell r="BX119">
            <v>0</v>
          </cell>
          <cell r="BY119">
            <v>14796.76558027883</v>
          </cell>
          <cell r="BZ119">
            <v>0</v>
          </cell>
          <cell r="CA119">
            <v>0</v>
          </cell>
          <cell r="CB119">
            <v>0</v>
          </cell>
        </row>
        <row r="120">
          <cell r="A120" t="str">
            <v>PROF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BR120">
            <v>0</v>
          </cell>
          <cell r="BS120">
            <v>0</v>
          </cell>
          <cell r="BT120">
            <v>0</v>
          </cell>
          <cell r="BU120">
            <v>0</v>
          </cell>
          <cell r="BV120">
            <v>0</v>
          </cell>
          <cell r="BW120">
            <v>0</v>
          </cell>
          <cell r="BX120">
            <v>0</v>
          </cell>
          <cell r="BY120">
            <v>28753.08134059644</v>
          </cell>
          <cell r="BZ120">
            <v>0</v>
          </cell>
          <cell r="CA120">
            <v>0</v>
          </cell>
          <cell r="CB120">
            <v>0</v>
          </cell>
        </row>
        <row r="121">
          <cell r="A121" t="str">
            <v>PROF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BR121">
            <v>0</v>
          </cell>
          <cell r="BS121">
            <v>0</v>
          </cell>
          <cell r="BT121">
            <v>0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214.15307912473449</v>
          </cell>
          <cell r="BZ121">
            <v>0</v>
          </cell>
          <cell r="CA121">
            <v>0</v>
          </cell>
          <cell r="CB121">
            <v>0</v>
          </cell>
        </row>
        <row r="122">
          <cell r="A122" t="str">
            <v>PROF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37074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BQ122">
            <v>0</v>
          </cell>
          <cell r="BR122">
            <v>0</v>
          </cell>
          <cell r="BS122">
            <v>0</v>
          </cell>
          <cell r="BT122">
            <v>0</v>
          </cell>
          <cell r="BU122">
            <v>0</v>
          </cell>
          <cell r="BV122">
            <v>0</v>
          </cell>
          <cell r="BW122">
            <v>0</v>
          </cell>
          <cell r="BX122">
            <v>0</v>
          </cell>
          <cell r="BY122">
            <v>0</v>
          </cell>
          <cell r="BZ122">
            <v>0</v>
          </cell>
          <cell r="CA122">
            <v>0</v>
          </cell>
          <cell r="CB122">
            <v>0</v>
          </cell>
        </row>
        <row r="123">
          <cell r="A123" t="str">
            <v>6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6739.6924206661424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0</v>
          </cell>
          <cell r="BJ123">
            <v>0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BQ123">
            <v>0</v>
          </cell>
          <cell r="BR123">
            <v>0</v>
          </cell>
          <cell r="BS123">
            <v>0</v>
          </cell>
          <cell r="BT123">
            <v>38660</v>
          </cell>
          <cell r="BU123">
            <v>0</v>
          </cell>
          <cell r="BV123">
            <v>0</v>
          </cell>
          <cell r="BW123">
            <v>0</v>
          </cell>
          <cell r="BX123">
            <v>0</v>
          </cell>
          <cell r="BY123">
            <v>0</v>
          </cell>
          <cell r="BZ123">
            <v>0</v>
          </cell>
          <cell r="CA123">
            <v>0</v>
          </cell>
          <cell r="CB123">
            <v>18633.696050356961</v>
          </cell>
        </row>
        <row r="124">
          <cell r="A124" t="str">
            <v>6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113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1133.57230527144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BR124">
            <v>0</v>
          </cell>
          <cell r="BS124">
            <v>196415</v>
          </cell>
          <cell r="BT124">
            <v>0</v>
          </cell>
          <cell r="BU124">
            <v>602.36858905316763</v>
          </cell>
          <cell r="BV124">
            <v>0</v>
          </cell>
          <cell r="BW124">
            <v>0</v>
          </cell>
          <cell r="BX124">
            <v>0</v>
          </cell>
          <cell r="BY124">
            <v>0</v>
          </cell>
          <cell r="BZ124">
            <v>0</v>
          </cell>
          <cell r="CA124">
            <v>0</v>
          </cell>
          <cell r="CB124">
            <v>75346.62296942425</v>
          </cell>
        </row>
        <row r="125">
          <cell r="A125" t="str">
            <v>6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15668.735274062419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BR125">
            <v>0</v>
          </cell>
          <cell r="BS125">
            <v>0</v>
          </cell>
          <cell r="BT125">
            <v>0</v>
          </cell>
          <cell r="BU125">
            <v>65690.631410946837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0</v>
          </cell>
          <cell r="CB125">
            <v>6872.6809802187936</v>
          </cell>
        </row>
        <row r="126">
          <cell r="A126" t="str">
            <v>6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589787.96513905202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BQ126">
            <v>0</v>
          </cell>
          <cell r="BR126">
            <v>0</v>
          </cell>
          <cell r="BS126">
            <v>0</v>
          </cell>
          <cell r="BT126">
            <v>0</v>
          </cell>
          <cell r="BU126">
            <v>0</v>
          </cell>
          <cell r="BV126">
            <v>0</v>
          </cell>
          <cell r="BW126">
            <v>0</v>
          </cell>
          <cell r="BX126">
            <v>0</v>
          </cell>
          <cell r="BY126">
            <v>0</v>
          </cell>
          <cell r="BZ126">
            <v>0</v>
          </cell>
          <cell r="CA126">
            <v>0</v>
          </cell>
          <cell r="CB126">
            <v>0</v>
          </cell>
        </row>
        <row r="127">
          <cell r="A127" t="str">
            <v>6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160632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BR127">
            <v>0</v>
          </cell>
          <cell r="BS127">
            <v>0</v>
          </cell>
          <cell r="BT127">
            <v>0</v>
          </cell>
          <cell r="BU127">
            <v>0</v>
          </cell>
          <cell r="BV127">
            <v>0</v>
          </cell>
          <cell r="BW127">
            <v>0</v>
          </cell>
          <cell r="BX127">
            <v>0</v>
          </cell>
          <cell r="BY127">
            <v>0</v>
          </cell>
          <cell r="BZ127">
            <v>0</v>
          </cell>
          <cell r="CA127">
            <v>0</v>
          </cell>
          <cell r="CB127">
            <v>0</v>
          </cell>
        </row>
        <row r="128">
          <cell r="A128" t="str">
            <v>6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10776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111195.7345485384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BQ128">
            <v>0</v>
          </cell>
          <cell r="BR128">
            <v>0</v>
          </cell>
          <cell r="BS128">
            <v>0</v>
          </cell>
          <cell r="BT128">
            <v>0</v>
          </cell>
          <cell r="BU128">
            <v>0</v>
          </cell>
          <cell r="BV128">
            <v>0</v>
          </cell>
          <cell r="BW128">
            <v>0</v>
          </cell>
          <cell r="BX128">
            <v>0</v>
          </cell>
          <cell r="BY128">
            <v>0</v>
          </cell>
          <cell r="BZ128">
            <v>0</v>
          </cell>
          <cell r="CA128">
            <v>0</v>
          </cell>
          <cell r="CB128">
            <v>0</v>
          </cell>
        </row>
        <row r="129">
          <cell r="A129" t="str">
            <v>6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72192.034860947882</v>
          </cell>
          <cell r="AT129">
            <v>0</v>
          </cell>
          <cell r="AU129">
            <v>123755.3767906445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BQ129">
            <v>0</v>
          </cell>
          <cell r="BR129">
            <v>0</v>
          </cell>
          <cell r="BS129">
            <v>0</v>
          </cell>
          <cell r="BT129">
            <v>0</v>
          </cell>
          <cell r="BU129">
            <v>0</v>
          </cell>
          <cell r="BV129">
            <v>0</v>
          </cell>
          <cell r="BW129">
            <v>0</v>
          </cell>
          <cell r="BX129">
            <v>0</v>
          </cell>
          <cell r="BY129">
            <v>0</v>
          </cell>
          <cell r="BZ129">
            <v>0</v>
          </cell>
          <cell r="CA129">
            <v>0</v>
          </cell>
          <cell r="CB129">
            <v>9603.2796377607028</v>
          </cell>
        </row>
        <row r="130">
          <cell r="A130" t="str">
            <v>6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49367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BQ130">
            <v>0</v>
          </cell>
          <cell r="BR130">
            <v>0</v>
          </cell>
          <cell r="BS130">
            <v>0</v>
          </cell>
          <cell r="BT130">
            <v>0</v>
          </cell>
          <cell r="BU130">
            <v>0</v>
          </cell>
          <cell r="BV130">
            <v>0</v>
          </cell>
          <cell r="BW130">
            <v>0</v>
          </cell>
          <cell r="BX130">
            <v>0</v>
          </cell>
          <cell r="BY130">
            <v>0</v>
          </cell>
          <cell r="BZ130">
            <v>0</v>
          </cell>
          <cell r="CA130">
            <v>0</v>
          </cell>
          <cell r="CB130">
            <v>0</v>
          </cell>
        </row>
        <row r="131">
          <cell r="A131" t="str">
            <v>6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140354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V131">
            <v>0</v>
          </cell>
          <cell r="BW131">
            <v>0</v>
          </cell>
          <cell r="BX131">
            <v>0</v>
          </cell>
          <cell r="BY131">
            <v>0</v>
          </cell>
          <cell r="BZ131">
            <v>0</v>
          </cell>
          <cell r="CA131">
            <v>0</v>
          </cell>
          <cell r="CB131">
            <v>179.47392974753021</v>
          </cell>
        </row>
        <row r="132">
          <cell r="A132" t="str">
            <v>6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38161.888660817123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V132">
            <v>0</v>
          </cell>
          <cell r="BW132">
            <v>0</v>
          </cell>
          <cell r="BX132">
            <v>0</v>
          </cell>
          <cell r="BY132">
            <v>0</v>
          </cell>
          <cell r="BZ132">
            <v>0</v>
          </cell>
          <cell r="CA132">
            <v>0</v>
          </cell>
          <cell r="CB132">
            <v>598.24643249176734</v>
          </cell>
        </row>
        <row r="133">
          <cell r="A133" t="str">
            <v>6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1282239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BR133">
            <v>0</v>
          </cell>
          <cell r="BS133">
            <v>0</v>
          </cell>
          <cell r="BT133">
            <v>0</v>
          </cell>
          <cell r="BU133">
            <v>0</v>
          </cell>
          <cell r="BV133">
            <v>0</v>
          </cell>
          <cell r="BW133">
            <v>0</v>
          </cell>
          <cell r="BX133">
            <v>0</v>
          </cell>
          <cell r="BY133">
            <v>0</v>
          </cell>
          <cell r="BZ133">
            <v>0</v>
          </cell>
          <cell r="CA133">
            <v>0</v>
          </cell>
          <cell r="CB133">
            <v>40826</v>
          </cell>
        </row>
        <row r="134">
          <cell r="A134" t="str">
            <v>6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206813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BQ134">
            <v>0</v>
          </cell>
          <cell r="BR134">
            <v>0</v>
          </cell>
          <cell r="BS134">
            <v>0</v>
          </cell>
          <cell r="BT134">
            <v>0</v>
          </cell>
          <cell r="BU134">
            <v>0</v>
          </cell>
          <cell r="BV134">
            <v>0</v>
          </cell>
          <cell r="BW134">
            <v>0</v>
          </cell>
          <cell r="BX134">
            <v>58506</v>
          </cell>
          <cell r="BY134">
            <v>0</v>
          </cell>
          <cell r="BZ134">
            <v>0</v>
          </cell>
          <cell r="CA134">
            <v>0</v>
          </cell>
          <cell r="CB134">
            <v>18772</v>
          </cell>
        </row>
        <row r="135">
          <cell r="A135" t="str">
            <v>6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BQ135">
            <v>0</v>
          </cell>
          <cell r="BR135">
            <v>0</v>
          </cell>
          <cell r="BS135">
            <v>0</v>
          </cell>
          <cell r="BT135">
            <v>0</v>
          </cell>
          <cell r="BU135">
            <v>0</v>
          </cell>
          <cell r="BV135">
            <v>0</v>
          </cell>
          <cell r="BW135">
            <v>0</v>
          </cell>
          <cell r="BX135">
            <v>94185.485532784107</v>
          </cell>
          <cell r="BY135">
            <v>0</v>
          </cell>
          <cell r="BZ135">
            <v>0</v>
          </cell>
          <cell r="CA135">
            <v>0</v>
          </cell>
          <cell r="CB135">
            <v>56828.608775872257</v>
          </cell>
        </row>
        <row r="136">
          <cell r="A136" t="str">
            <v>6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BR136">
            <v>0</v>
          </cell>
          <cell r="BS136">
            <v>0</v>
          </cell>
          <cell r="BT136">
            <v>0</v>
          </cell>
          <cell r="BU136">
            <v>0</v>
          </cell>
          <cell r="BV136">
            <v>0</v>
          </cell>
          <cell r="BW136">
            <v>0</v>
          </cell>
          <cell r="BX136">
            <v>31835.514467215871</v>
          </cell>
          <cell r="BY136">
            <v>0</v>
          </cell>
          <cell r="BZ136">
            <v>0</v>
          </cell>
          <cell r="CA136">
            <v>0</v>
          </cell>
          <cell r="CB136">
            <v>40341.182732111192</v>
          </cell>
        </row>
        <row r="137">
          <cell r="A137" t="str">
            <v>6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BR137">
            <v>0</v>
          </cell>
          <cell r="BS137">
            <v>0</v>
          </cell>
          <cell r="BT137">
            <v>17227</v>
          </cell>
          <cell r="BU137">
            <v>0</v>
          </cell>
          <cell r="BV137">
            <v>0</v>
          </cell>
          <cell r="BW137">
            <v>0</v>
          </cell>
          <cell r="BX137">
            <v>55549</v>
          </cell>
          <cell r="BY137">
            <v>0</v>
          </cell>
          <cell r="BZ137">
            <v>0</v>
          </cell>
          <cell r="CA137">
            <v>0</v>
          </cell>
          <cell r="CB137">
            <v>6582.208492016558</v>
          </cell>
        </row>
        <row r="138">
          <cell r="A138" t="str">
            <v>7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31647.18254089589</v>
          </cell>
          <cell r="BD138">
            <v>0</v>
          </cell>
          <cell r="BE138">
            <v>0</v>
          </cell>
          <cell r="BF138">
            <v>0</v>
          </cell>
          <cell r="BG138">
            <v>123.3633802816901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BR138">
            <v>0</v>
          </cell>
          <cell r="BS138">
            <v>0</v>
          </cell>
          <cell r="BT138">
            <v>0</v>
          </cell>
          <cell r="BU138">
            <v>0</v>
          </cell>
          <cell r="BV138">
            <v>0</v>
          </cell>
          <cell r="BW138">
            <v>0</v>
          </cell>
          <cell r="BX138">
            <v>0</v>
          </cell>
          <cell r="BY138">
            <v>0</v>
          </cell>
          <cell r="BZ138">
            <v>0</v>
          </cell>
          <cell r="CA138">
            <v>0</v>
          </cell>
          <cell r="CB138">
            <v>4143.314570507182</v>
          </cell>
        </row>
        <row r="139">
          <cell r="A139" t="str">
            <v>7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18916.359333435259</v>
          </cell>
          <cell r="BD139">
            <v>0</v>
          </cell>
          <cell r="BE139">
            <v>4579</v>
          </cell>
          <cell r="BF139">
            <v>0</v>
          </cell>
          <cell r="BG139">
            <v>193.04084507042251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BQ139">
            <v>0</v>
          </cell>
          <cell r="BR139">
            <v>0</v>
          </cell>
          <cell r="BS139">
            <v>0</v>
          </cell>
          <cell r="BT139">
            <v>0</v>
          </cell>
          <cell r="BU139">
            <v>0</v>
          </cell>
          <cell r="BV139">
            <v>0</v>
          </cell>
          <cell r="BW139">
            <v>0</v>
          </cell>
          <cell r="BX139">
            <v>0</v>
          </cell>
          <cell r="BY139">
            <v>0</v>
          </cell>
          <cell r="BZ139">
            <v>0</v>
          </cell>
          <cell r="CA139">
            <v>0</v>
          </cell>
          <cell r="CB139">
            <v>0</v>
          </cell>
        </row>
        <row r="140">
          <cell r="A140" t="str">
            <v>7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8636.2032410946322</v>
          </cell>
          <cell r="BD140">
            <v>0</v>
          </cell>
          <cell r="BE140">
            <v>0</v>
          </cell>
          <cell r="BF140">
            <v>0</v>
          </cell>
          <cell r="BG140">
            <v>494.59577464788731</v>
          </cell>
          <cell r="BH140">
            <v>0</v>
          </cell>
          <cell r="BI140">
            <v>0</v>
          </cell>
          <cell r="BJ140">
            <v>0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BQ140">
            <v>0</v>
          </cell>
          <cell r="BR140">
            <v>0</v>
          </cell>
          <cell r="BS140">
            <v>0</v>
          </cell>
          <cell r="BT140">
            <v>0</v>
          </cell>
          <cell r="BU140">
            <v>0</v>
          </cell>
          <cell r="BV140">
            <v>0</v>
          </cell>
          <cell r="BW140">
            <v>0</v>
          </cell>
          <cell r="BX140">
            <v>0</v>
          </cell>
          <cell r="BY140">
            <v>0</v>
          </cell>
          <cell r="BZ140">
            <v>0</v>
          </cell>
          <cell r="CA140">
            <v>0</v>
          </cell>
          <cell r="CB140">
            <v>3601.7361477572558</v>
          </cell>
        </row>
        <row r="141">
          <cell r="A141" t="str">
            <v>7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514.55288182235131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BQ141">
            <v>0</v>
          </cell>
          <cell r="BR141">
            <v>0</v>
          </cell>
          <cell r="BS141">
            <v>0</v>
          </cell>
          <cell r="BT141">
            <v>0</v>
          </cell>
          <cell r="BU141">
            <v>0</v>
          </cell>
          <cell r="BV141">
            <v>0</v>
          </cell>
          <cell r="BW141">
            <v>0</v>
          </cell>
          <cell r="BX141">
            <v>0</v>
          </cell>
          <cell r="BY141">
            <v>0</v>
          </cell>
          <cell r="BZ141">
            <v>0</v>
          </cell>
          <cell r="CA141">
            <v>0</v>
          </cell>
          <cell r="CB141">
            <v>0</v>
          </cell>
        </row>
        <row r="142">
          <cell r="A142" t="str">
            <v>7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11592.70200275187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0</v>
          </cell>
          <cell r="BL142">
            <v>0</v>
          </cell>
          <cell r="BM142">
            <v>0</v>
          </cell>
          <cell r="BN142">
            <v>0</v>
          </cell>
          <cell r="BO142">
            <v>0</v>
          </cell>
          <cell r="BP142">
            <v>0</v>
          </cell>
          <cell r="BQ142">
            <v>0</v>
          </cell>
          <cell r="BR142">
            <v>0</v>
          </cell>
          <cell r="BS142">
            <v>0</v>
          </cell>
          <cell r="BT142">
            <v>0</v>
          </cell>
          <cell r="BU142">
            <v>0</v>
          </cell>
          <cell r="BV142">
            <v>0</v>
          </cell>
          <cell r="BW142">
            <v>0</v>
          </cell>
          <cell r="BX142">
            <v>0</v>
          </cell>
          <cell r="BY142">
            <v>0</v>
          </cell>
          <cell r="BZ142">
            <v>0</v>
          </cell>
          <cell r="CA142">
            <v>0</v>
          </cell>
          <cell r="CB142">
            <v>12689.94928173556</v>
          </cell>
        </row>
        <row r="143">
          <cell r="A143" t="str">
            <v>7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20021.77414977994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0</v>
          </cell>
          <cell r="BR143">
            <v>0</v>
          </cell>
          <cell r="BS143">
            <v>0</v>
          </cell>
          <cell r="BT143">
            <v>0</v>
          </cell>
          <cell r="BU143">
            <v>0</v>
          </cell>
          <cell r="BV143">
            <v>0</v>
          </cell>
          <cell r="BW143">
            <v>0</v>
          </cell>
          <cell r="BX143">
            <v>0</v>
          </cell>
          <cell r="BY143">
            <v>0</v>
          </cell>
          <cell r="BZ143">
            <v>0</v>
          </cell>
          <cell r="CA143">
            <v>0</v>
          </cell>
          <cell r="CB143">
            <v>0</v>
          </cell>
        </row>
        <row r="144">
          <cell r="A144" t="str">
            <v>7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132713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  <cell r="BK144">
            <v>0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  <cell r="BP144">
            <v>0</v>
          </cell>
          <cell r="BQ144">
            <v>0</v>
          </cell>
          <cell r="BR144">
            <v>0</v>
          </cell>
          <cell r="BS144">
            <v>0</v>
          </cell>
          <cell r="BT144">
            <v>0</v>
          </cell>
          <cell r="BU144">
            <v>0</v>
          </cell>
          <cell r="BV144">
            <v>0</v>
          </cell>
          <cell r="BW144">
            <v>0</v>
          </cell>
          <cell r="BX144">
            <v>0</v>
          </cell>
          <cell r="BY144">
            <v>0</v>
          </cell>
          <cell r="BZ144">
            <v>0</v>
          </cell>
          <cell r="CA144">
            <v>0</v>
          </cell>
          <cell r="CB144">
            <v>0</v>
          </cell>
        </row>
        <row r="145">
          <cell r="A145" t="str">
            <v>7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83564.225850220071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BR145">
            <v>0</v>
          </cell>
          <cell r="BS145">
            <v>0</v>
          </cell>
          <cell r="BT145">
            <v>0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  <cell r="BZ145">
            <v>0</v>
          </cell>
          <cell r="CA145">
            <v>0</v>
          </cell>
          <cell r="CB145">
            <v>8217</v>
          </cell>
        </row>
        <row r="146">
          <cell r="A146" t="str">
            <v>7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2837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9248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176857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67</v>
          </cell>
          <cell r="BQ146">
            <v>0</v>
          </cell>
          <cell r="BR146">
            <v>0</v>
          </cell>
          <cell r="BS146">
            <v>0</v>
          </cell>
          <cell r="BT146">
            <v>0</v>
          </cell>
          <cell r="BU146">
            <v>0</v>
          </cell>
          <cell r="BV146">
            <v>0</v>
          </cell>
          <cell r="BW146">
            <v>0</v>
          </cell>
          <cell r="BX146">
            <v>0</v>
          </cell>
          <cell r="BY146">
            <v>0</v>
          </cell>
          <cell r="BZ146">
            <v>0</v>
          </cell>
          <cell r="CA146">
            <v>0</v>
          </cell>
          <cell r="CB146">
            <v>0</v>
          </cell>
        </row>
        <row r="147">
          <cell r="A147" t="str">
            <v>7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1024940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BR147">
            <v>0</v>
          </cell>
          <cell r="BS147">
            <v>0</v>
          </cell>
          <cell r="BT147">
            <v>0</v>
          </cell>
          <cell r="BU147">
            <v>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  <cell r="BZ147">
            <v>0</v>
          </cell>
          <cell r="CA147">
            <v>0</v>
          </cell>
          <cell r="CB147">
            <v>0</v>
          </cell>
        </row>
        <row r="148">
          <cell r="A148" t="str">
            <v>81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216439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  <cell r="BP148">
            <v>0</v>
          </cell>
          <cell r="BQ148">
            <v>0</v>
          </cell>
          <cell r="BR148">
            <v>0</v>
          </cell>
          <cell r="BS148">
            <v>0</v>
          </cell>
          <cell r="BT148">
            <v>0</v>
          </cell>
          <cell r="BU148">
            <v>0</v>
          </cell>
          <cell r="BV148">
            <v>0</v>
          </cell>
          <cell r="BW148">
            <v>0</v>
          </cell>
          <cell r="BX148">
            <v>0</v>
          </cell>
          <cell r="BY148">
            <v>0</v>
          </cell>
          <cell r="BZ148">
            <v>0</v>
          </cell>
          <cell r="CA148">
            <v>0</v>
          </cell>
          <cell r="CB148">
            <v>0</v>
          </cell>
        </row>
        <row r="149">
          <cell r="A149" t="str">
            <v>81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2556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3225.3095367847409</v>
          </cell>
          <cell r="BE149">
            <v>0</v>
          </cell>
          <cell r="BF149">
            <v>0</v>
          </cell>
          <cell r="BG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0</v>
          </cell>
          <cell r="BR149">
            <v>0</v>
          </cell>
          <cell r="BS149">
            <v>0</v>
          </cell>
          <cell r="BT149">
            <v>0</v>
          </cell>
          <cell r="BU149">
            <v>0</v>
          </cell>
          <cell r="BV149">
            <v>0</v>
          </cell>
          <cell r="BW149">
            <v>0</v>
          </cell>
          <cell r="BX149">
            <v>0</v>
          </cell>
          <cell r="BY149">
            <v>85.571924162968926</v>
          </cell>
          <cell r="BZ149">
            <v>0</v>
          </cell>
          <cell r="CA149">
            <v>0</v>
          </cell>
          <cell r="CB149">
            <v>0</v>
          </cell>
        </row>
        <row r="150">
          <cell r="A150" t="str">
            <v>81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0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0</v>
          </cell>
          <cell r="BQ150">
            <v>0</v>
          </cell>
          <cell r="BR150">
            <v>0</v>
          </cell>
          <cell r="BS150">
            <v>0</v>
          </cell>
          <cell r="BT150">
            <v>0</v>
          </cell>
          <cell r="BU150">
            <v>0</v>
          </cell>
          <cell r="BV150">
            <v>0</v>
          </cell>
          <cell r="BW150">
            <v>0</v>
          </cell>
          <cell r="BX150">
            <v>0</v>
          </cell>
          <cell r="BY150">
            <v>0</v>
          </cell>
          <cell r="BZ150">
            <v>0</v>
          </cell>
          <cell r="CA150">
            <v>0</v>
          </cell>
          <cell r="CB150">
            <v>0</v>
          </cell>
        </row>
        <row r="151">
          <cell r="A151" t="str">
            <v>81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4660.6904632152582</v>
          </cell>
          <cell r="BE151">
            <v>0</v>
          </cell>
          <cell r="BF151">
            <v>8079.789660450876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  <cell r="BP151">
            <v>0</v>
          </cell>
          <cell r="BQ151">
            <v>0</v>
          </cell>
          <cell r="BR151">
            <v>0</v>
          </cell>
          <cell r="BS151">
            <v>0</v>
          </cell>
          <cell r="BT151">
            <v>0</v>
          </cell>
          <cell r="BU151">
            <v>0</v>
          </cell>
          <cell r="BV151">
            <v>0</v>
          </cell>
          <cell r="BW151">
            <v>7400.5317598969323</v>
          </cell>
          <cell r="BX151">
            <v>0</v>
          </cell>
          <cell r="BY151">
            <v>7598.2835014118591</v>
          </cell>
          <cell r="BZ151">
            <v>0</v>
          </cell>
          <cell r="CA151">
            <v>0</v>
          </cell>
          <cell r="CB151">
            <v>0</v>
          </cell>
        </row>
        <row r="152">
          <cell r="A152" t="str">
            <v>81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  <cell r="BK152">
            <v>0</v>
          </cell>
          <cell r="BL152">
            <v>0</v>
          </cell>
          <cell r="BM152">
            <v>0</v>
          </cell>
          <cell r="BN152">
            <v>0</v>
          </cell>
          <cell r="BO152">
            <v>0</v>
          </cell>
          <cell r="BP152">
            <v>0</v>
          </cell>
          <cell r="BQ152">
            <v>0</v>
          </cell>
          <cell r="BR152">
            <v>0</v>
          </cell>
          <cell r="BS152">
            <v>0</v>
          </cell>
          <cell r="BT152">
            <v>0</v>
          </cell>
          <cell r="BU152">
            <v>0</v>
          </cell>
          <cell r="BV152">
            <v>0</v>
          </cell>
          <cell r="BW152">
            <v>91180.550154128432</v>
          </cell>
          <cell r="BX152">
            <v>0</v>
          </cell>
          <cell r="BY152">
            <v>0</v>
          </cell>
          <cell r="BZ152">
            <v>0</v>
          </cell>
          <cell r="CA152">
            <v>0</v>
          </cell>
          <cell r="CB152">
            <v>0</v>
          </cell>
        </row>
        <row r="153">
          <cell r="A153" t="str">
            <v>81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0</v>
          </cell>
          <cell r="BJ153">
            <v>0</v>
          </cell>
          <cell r="BK153">
            <v>0</v>
          </cell>
          <cell r="BL153">
            <v>0</v>
          </cell>
          <cell r="BM153">
            <v>0</v>
          </cell>
          <cell r="BN153">
            <v>0</v>
          </cell>
          <cell r="BO153">
            <v>0</v>
          </cell>
          <cell r="BP153">
            <v>0</v>
          </cell>
          <cell r="BQ153">
            <v>0</v>
          </cell>
          <cell r="BR153">
            <v>0</v>
          </cell>
          <cell r="BS153">
            <v>0</v>
          </cell>
          <cell r="BT153">
            <v>0</v>
          </cell>
          <cell r="BU153">
            <v>0</v>
          </cell>
          <cell r="BV153">
            <v>24822.86798305011</v>
          </cell>
          <cell r="BW153">
            <v>0</v>
          </cell>
          <cell r="BX153">
            <v>0</v>
          </cell>
          <cell r="BY153">
            <v>0</v>
          </cell>
          <cell r="BZ153">
            <v>0</v>
          </cell>
          <cell r="CA153">
            <v>0</v>
          </cell>
          <cell r="CB153">
            <v>0</v>
          </cell>
        </row>
        <row r="154">
          <cell r="A154" t="str">
            <v>81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BQ154">
            <v>0</v>
          </cell>
          <cell r="BR154">
            <v>0</v>
          </cell>
          <cell r="BS154">
            <v>0</v>
          </cell>
          <cell r="BT154">
            <v>0</v>
          </cell>
          <cell r="BU154">
            <v>0</v>
          </cell>
          <cell r="BV154">
            <v>0</v>
          </cell>
          <cell r="BW154">
            <v>16255.79002785778</v>
          </cell>
          <cell r="BX154">
            <v>0</v>
          </cell>
          <cell r="BY154">
            <v>0</v>
          </cell>
          <cell r="BZ154">
            <v>0</v>
          </cell>
          <cell r="CA154">
            <v>0</v>
          </cell>
          <cell r="CB154">
            <v>0</v>
          </cell>
        </row>
        <row r="155">
          <cell r="A155" t="str">
            <v>81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12994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1420</v>
          </cell>
          <cell r="BE155">
            <v>0</v>
          </cell>
          <cell r="BF155">
            <v>12877.210339549119</v>
          </cell>
          <cell r="BG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  <cell r="BR155">
            <v>0</v>
          </cell>
          <cell r="BS155">
            <v>0</v>
          </cell>
          <cell r="BT155">
            <v>0</v>
          </cell>
          <cell r="BU155">
            <v>0</v>
          </cell>
          <cell r="BV155">
            <v>0</v>
          </cell>
          <cell r="BW155">
            <v>56192.128058116868</v>
          </cell>
          <cell r="BX155">
            <v>0</v>
          </cell>
          <cell r="BY155">
            <v>0</v>
          </cell>
          <cell r="BZ155">
            <v>0</v>
          </cell>
          <cell r="CA155">
            <v>0</v>
          </cell>
          <cell r="CB155">
            <v>0</v>
          </cell>
        </row>
        <row r="156">
          <cell r="A156" t="str">
            <v>81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  <cell r="BR156">
            <v>0</v>
          </cell>
          <cell r="BS156">
            <v>0</v>
          </cell>
          <cell r="BT156">
            <v>0</v>
          </cell>
          <cell r="BU156">
            <v>0</v>
          </cell>
          <cell r="BV156">
            <v>0</v>
          </cell>
          <cell r="BW156">
            <v>0</v>
          </cell>
          <cell r="BX156">
            <v>8720</v>
          </cell>
          <cell r="BY156">
            <v>0</v>
          </cell>
          <cell r="BZ156">
            <v>0</v>
          </cell>
          <cell r="CA156">
            <v>0</v>
          </cell>
          <cell r="CB156">
            <v>106466</v>
          </cell>
        </row>
        <row r="157">
          <cell r="A157" t="str">
            <v>81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  <cell r="BR157">
            <v>0</v>
          </cell>
          <cell r="BS157">
            <v>0</v>
          </cell>
          <cell r="BT157">
            <v>0</v>
          </cell>
          <cell r="BU157">
            <v>0</v>
          </cell>
          <cell r="BV157">
            <v>0</v>
          </cell>
          <cell r="BW157">
            <v>0</v>
          </cell>
          <cell r="BX157">
            <v>8122.6681408590885</v>
          </cell>
          <cell r="BY157">
            <v>0</v>
          </cell>
          <cell r="BZ157">
            <v>0</v>
          </cell>
          <cell r="CA157">
            <v>0</v>
          </cell>
          <cell r="CB157">
            <v>75396.491375598707</v>
          </cell>
        </row>
        <row r="158">
          <cell r="A158" t="str">
            <v>81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  <cell r="BR158">
            <v>0</v>
          </cell>
          <cell r="BS158">
            <v>0</v>
          </cell>
          <cell r="BT158">
            <v>0</v>
          </cell>
          <cell r="BU158">
            <v>0</v>
          </cell>
          <cell r="BV158">
            <v>28436.13201694989</v>
          </cell>
          <cell r="BW158">
            <v>0</v>
          </cell>
          <cell r="BX158">
            <v>15545.33185914091</v>
          </cell>
          <cell r="BY158">
            <v>0</v>
          </cell>
          <cell r="BZ158">
            <v>0</v>
          </cell>
          <cell r="CA158">
            <v>0</v>
          </cell>
          <cell r="CB158">
            <v>32316.508624401249</v>
          </cell>
        </row>
        <row r="159">
          <cell r="A159" t="str">
            <v>81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  <cell r="BR159">
            <v>0</v>
          </cell>
          <cell r="BS159">
            <v>0</v>
          </cell>
          <cell r="BT159">
            <v>0</v>
          </cell>
          <cell r="BU159">
            <v>0</v>
          </cell>
          <cell r="BV159">
            <v>0</v>
          </cell>
          <cell r="BW159">
            <v>0</v>
          </cell>
          <cell r="BX159">
            <v>0</v>
          </cell>
          <cell r="BY159">
            <v>23512.144574425169</v>
          </cell>
          <cell r="BZ159">
            <v>0</v>
          </cell>
          <cell r="CA159">
            <v>0</v>
          </cell>
          <cell r="CB159">
            <v>0</v>
          </cell>
        </row>
        <row r="160">
          <cell r="A160" t="str">
            <v>G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  <cell r="BR160">
            <v>0</v>
          </cell>
          <cell r="BS160">
            <v>0</v>
          </cell>
          <cell r="BT160">
            <v>0</v>
          </cell>
          <cell r="BU160">
            <v>0</v>
          </cell>
          <cell r="BV160">
            <v>0</v>
          </cell>
          <cell r="BW160">
            <v>0</v>
          </cell>
          <cell r="BX160">
            <v>0</v>
          </cell>
          <cell r="BY160">
            <v>0</v>
          </cell>
          <cell r="BZ160">
            <v>0</v>
          </cell>
          <cell r="CA160">
            <v>0</v>
          </cell>
          <cell r="CB160">
            <v>0</v>
          </cell>
        </row>
        <row r="161">
          <cell r="A161" t="str">
            <v>G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178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6498</v>
          </cell>
          <cell r="BR161">
            <v>0</v>
          </cell>
          <cell r="BS161">
            <v>0</v>
          </cell>
          <cell r="BT161">
            <v>0</v>
          </cell>
          <cell r="BU161">
            <v>0</v>
          </cell>
          <cell r="BV161">
            <v>0</v>
          </cell>
          <cell r="BW161">
            <v>0</v>
          </cell>
          <cell r="BX161">
            <v>0</v>
          </cell>
          <cell r="BY161">
            <v>0</v>
          </cell>
          <cell r="BZ161">
            <v>0</v>
          </cell>
          <cell r="CA161">
            <v>0</v>
          </cell>
          <cell r="CB161">
            <v>0</v>
          </cell>
        </row>
        <row r="162">
          <cell r="A162" t="str">
            <v>G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  <cell r="BR162">
            <v>0</v>
          </cell>
          <cell r="BS162">
            <v>0</v>
          </cell>
          <cell r="BT162">
            <v>0</v>
          </cell>
          <cell r="BU162">
            <v>0</v>
          </cell>
          <cell r="BV162">
            <v>0</v>
          </cell>
          <cell r="BW162">
            <v>0</v>
          </cell>
          <cell r="BX162">
            <v>0</v>
          </cell>
          <cell r="BY162">
            <v>0</v>
          </cell>
          <cell r="BZ162">
            <v>0</v>
          </cell>
          <cell r="CA162">
            <v>0</v>
          </cell>
          <cell r="CB162">
            <v>0</v>
          </cell>
        </row>
        <row r="163">
          <cell r="A163" t="str">
            <v>G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  <cell r="BR163">
            <v>0</v>
          </cell>
          <cell r="BS163">
            <v>0</v>
          </cell>
          <cell r="BT163">
            <v>0</v>
          </cell>
          <cell r="BU163">
            <v>0</v>
          </cell>
          <cell r="BV163">
            <v>0</v>
          </cell>
          <cell r="BW163">
            <v>0</v>
          </cell>
          <cell r="BX163">
            <v>0</v>
          </cell>
          <cell r="BY163">
            <v>0</v>
          </cell>
          <cell r="BZ163">
            <v>0</v>
          </cell>
          <cell r="CA163">
            <v>0</v>
          </cell>
          <cell r="CB163">
            <v>0</v>
          </cell>
        </row>
        <row r="164">
          <cell r="A164" t="str">
            <v>G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38859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13516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34912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  <cell r="BR164">
            <v>0</v>
          </cell>
          <cell r="BS164">
            <v>0</v>
          </cell>
          <cell r="BT164">
            <v>0</v>
          </cell>
          <cell r="BU164">
            <v>0</v>
          </cell>
          <cell r="BV164">
            <v>0</v>
          </cell>
          <cell r="BW164">
            <v>0</v>
          </cell>
          <cell r="BX164">
            <v>0</v>
          </cell>
          <cell r="BY164">
            <v>0</v>
          </cell>
          <cell r="BZ164">
            <v>0</v>
          </cell>
          <cell r="CA164">
            <v>0</v>
          </cell>
          <cell r="CB164">
            <v>0</v>
          </cell>
        </row>
        <row r="165">
          <cell r="A165"/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1998654</v>
          </cell>
          <cell r="AN165">
            <v>22798.507688564481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BR165">
            <v>0</v>
          </cell>
          <cell r="BS165">
            <v>0</v>
          </cell>
          <cell r="BT165">
            <v>0</v>
          </cell>
          <cell r="BU165">
            <v>0</v>
          </cell>
          <cell r="BV165">
            <v>0</v>
          </cell>
          <cell r="BW165">
            <v>0</v>
          </cell>
          <cell r="BX165">
            <v>0</v>
          </cell>
          <cell r="BY165">
            <v>0</v>
          </cell>
          <cell r="BZ165">
            <v>0</v>
          </cell>
          <cell r="CA165">
            <v>0</v>
          </cell>
          <cell r="CB165">
            <v>0</v>
          </cell>
        </row>
        <row r="166">
          <cell r="A166" t="str">
            <v>Used</v>
          </cell>
          <cell r="E166">
            <v>0</v>
          </cell>
          <cell r="F166">
            <v>242160</v>
          </cell>
          <cell r="G166">
            <v>3387</v>
          </cell>
          <cell r="H166">
            <v>26110</v>
          </cell>
          <cell r="I166">
            <v>16</v>
          </cell>
          <cell r="J166">
            <v>-414</v>
          </cell>
          <cell r="K166">
            <v>205</v>
          </cell>
          <cell r="L166">
            <v>200</v>
          </cell>
          <cell r="M166">
            <v>-125</v>
          </cell>
          <cell r="N166">
            <v>4570</v>
          </cell>
          <cell r="O166">
            <v>0</v>
          </cell>
          <cell r="P166">
            <v>95</v>
          </cell>
          <cell r="Q166">
            <v>16128</v>
          </cell>
          <cell r="R166">
            <v>1</v>
          </cell>
          <cell r="S166">
            <v>310</v>
          </cell>
          <cell r="T166">
            <v>0</v>
          </cell>
          <cell r="U166">
            <v>0</v>
          </cell>
          <cell r="V166">
            <v>-1199</v>
          </cell>
          <cell r="W166">
            <v>0</v>
          </cell>
          <cell r="X166">
            <v>0</v>
          </cell>
          <cell r="Y166">
            <v>4551</v>
          </cell>
          <cell r="Z166">
            <v>-177</v>
          </cell>
          <cell r="AA166">
            <v>278</v>
          </cell>
          <cell r="AB166">
            <v>-46</v>
          </cell>
          <cell r="AC166">
            <v>0</v>
          </cell>
          <cell r="AD166">
            <v>0</v>
          </cell>
          <cell r="AE166">
            <v>0</v>
          </cell>
          <cell r="AF166">
            <v>17657</v>
          </cell>
          <cell r="AG166">
            <v>6</v>
          </cell>
          <cell r="AH166">
            <v>0</v>
          </cell>
          <cell r="AI166">
            <v>0</v>
          </cell>
          <cell r="AJ166">
            <v>23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0</v>
          </cell>
          <cell r="BQ166">
            <v>28</v>
          </cell>
          <cell r="BR166">
            <v>0</v>
          </cell>
          <cell r="BS166">
            <v>0</v>
          </cell>
          <cell r="BT166">
            <v>0</v>
          </cell>
          <cell r="BU166">
            <v>0</v>
          </cell>
          <cell r="BV166">
            <v>0</v>
          </cell>
          <cell r="BW166">
            <v>0</v>
          </cell>
          <cell r="BX166">
            <v>0</v>
          </cell>
          <cell r="BY166">
            <v>0</v>
          </cell>
          <cell r="BZ166">
            <v>0</v>
          </cell>
          <cell r="CA166">
            <v>0</v>
          </cell>
          <cell r="CB166">
            <v>0</v>
          </cell>
        </row>
        <row r="167">
          <cell r="A167" t="str">
            <v>Other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11454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>
            <v>0</v>
          </cell>
          <cell r="BR167">
            <v>0</v>
          </cell>
          <cell r="BS167">
            <v>0</v>
          </cell>
          <cell r="BT167">
            <v>0</v>
          </cell>
          <cell r="BU167">
            <v>0</v>
          </cell>
          <cell r="BV167">
            <v>0</v>
          </cell>
          <cell r="BW167">
            <v>0</v>
          </cell>
          <cell r="BX167">
            <v>0</v>
          </cell>
          <cell r="BY167">
            <v>0</v>
          </cell>
          <cell r="BZ167">
            <v>108404</v>
          </cell>
          <cell r="CA167">
            <v>-139342</v>
          </cell>
          <cell r="CB16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CD1XHP@SURVEYS+CD1XOP@SURVEYS" TargetMode="External"/><Relationship Id="rId13" Type="http://schemas.openxmlformats.org/officeDocument/2006/relationships/hyperlink" Target="mailto:CD1XA@SURVEYS+CD1XOT@SURVEYS" TargetMode="External"/><Relationship Id="rId18" Type="http://schemas.openxmlformats.org/officeDocument/2006/relationships/hyperlink" Target="mailto:CD1XHP@SURVEYS+CD1XOP@SURVEYS" TargetMode="External"/><Relationship Id="rId3" Type="http://schemas.openxmlformats.org/officeDocument/2006/relationships/hyperlink" Target="mailto:CD1XA@SURVEYS+CD1XOT@SURVEYS" TargetMode="External"/><Relationship Id="rId21" Type="http://schemas.openxmlformats.org/officeDocument/2006/relationships/drawing" Target="../drawings/drawing13.xml"/><Relationship Id="rId7" Type="http://schemas.openxmlformats.org/officeDocument/2006/relationships/hyperlink" Target="mailto:CD1XA@SURVEYS+CD1XOT@SURVEYS" TargetMode="External"/><Relationship Id="rId12" Type="http://schemas.openxmlformats.org/officeDocument/2006/relationships/hyperlink" Target="mailto:CD1XHP@SURVEYS+CD1XOP@SURVEYS" TargetMode="External"/><Relationship Id="rId17" Type="http://schemas.openxmlformats.org/officeDocument/2006/relationships/hyperlink" Target="mailto:CD1XA@SURVEYS+CD1XOT@SURVEYS" TargetMode="External"/><Relationship Id="rId2" Type="http://schemas.openxmlformats.org/officeDocument/2006/relationships/hyperlink" Target="mailto:CD1XHP@SURVEYS+CD1XOP@SURVEYS" TargetMode="External"/><Relationship Id="rId16" Type="http://schemas.openxmlformats.org/officeDocument/2006/relationships/hyperlink" Target="mailto:CD1XHP@SURVEYS+CD1XOP@SURVEYS" TargetMode="External"/><Relationship Id="rId20" Type="http://schemas.openxmlformats.org/officeDocument/2006/relationships/hyperlink" Target="mailto:CD1XHP@SURVEYS+CD1XOP@SURVEYS" TargetMode="External"/><Relationship Id="rId1" Type="http://schemas.openxmlformats.org/officeDocument/2006/relationships/hyperlink" Target="mailto:CD1XA@SURVEYS+CD1XOT@SURVEYS" TargetMode="External"/><Relationship Id="rId6" Type="http://schemas.openxmlformats.org/officeDocument/2006/relationships/hyperlink" Target="mailto:CD1XHP@SURVEYS+CD1XOP@SURVEYS" TargetMode="External"/><Relationship Id="rId11" Type="http://schemas.openxmlformats.org/officeDocument/2006/relationships/hyperlink" Target="mailto:CD1XA@SURVEYS+CD1XOT@SURVEYS" TargetMode="External"/><Relationship Id="rId5" Type="http://schemas.openxmlformats.org/officeDocument/2006/relationships/hyperlink" Target="mailto:CD1XA@SURVEYS+CD1XOT@SURVEYS" TargetMode="External"/><Relationship Id="rId15" Type="http://schemas.openxmlformats.org/officeDocument/2006/relationships/hyperlink" Target="mailto:CD1XA@SURVEYS+CD1XOT@SURVEYS" TargetMode="External"/><Relationship Id="rId10" Type="http://schemas.openxmlformats.org/officeDocument/2006/relationships/hyperlink" Target="mailto:CD1XHP@SURVEYS+CD1XOP@SURVEYS" TargetMode="External"/><Relationship Id="rId19" Type="http://schemas.openxmlformats.org/officeDocument/2006/relationships/hyperlink" Target="mailto:CD1XA@SURVEYS+CD1XOT@SURVEYS" TargetMode="External"/><Relationship Id="rId4" Type="http://schemas.openxmlformats.org/officeDocument/2006/relationships/hyperlink" Target="mailto:CD1XHP@SURVEYS+CD1XOP@SURVEYS" TargetMode="External"/><Relationship Id="rId9" Type="http://schemas.openxmlformats.org/officeDocument/2006/relationships/hyperlink" Target="mailto:CD1XA@SURVEYS+CD1XOT@SURVEYS" TargetMode="External"/><Relationship Id="rId14" Type="http://schemas.openxmlformats.org/officeDocument/2006/relationships/hyperlink" Target="mailto:CD1XHP@SURVEYS+CD1XOP@SURVEY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mailto:CD1XHP@SURVEYS+CD1XOP@SURVEYS" TargetMode="External"/><Relationship Id="rId13" Type="http://schemas.openxmlformats.org/officeDocument/2006/relationships/hyperlink" Target="mailto:CD1XA@SURVEYS+CD1XOT@SURVEYS" TargetMode="External"/><Relationship Id="rId18" Type="http://schemas.openxmlformats.org/officeDocument/2006/relationships/hyperlink" Target="mailto:CD1XHP@SURVEYS+CD1XOP@SURVEYS" TargetMode="External"/><Relationship Id="rId3" Type="http://schemas.openxmlformats.org/officeDocument/2006/relationships/hyperlink" Target="mailto:CD1XA@SURVEYS+CD1XOT@SURVEYS" TargetMode="External"/><Relationship Id="rId21" Type="http://schemas.openxmlformats.org/officeDocument/2006/relationships/drawing" Target="../drawings/drawing23.xml"/><Relationship Id="rId7" Type="http://schemas.openxmlformats.org/officeDocument/2006/relationships/hyperlink" Target="mailto:CD1XA@SURVEYS+CD1XOT@SURVEYS" TargetMode="External"/><Relationship Id="rId12" Type="http://schemas.openxmlformats.org/officeDocument/2006/relationships/hyperlink" Target="mailto:CD1XHP@SURVEYS+CD1XOP@SURVEYS" TargetMode="External"/><Relationship Id="rId17" Type="http://schemas.openxmlformats.org/officeDocument/2006/relationships/hyperlink" Target="mailto:CD1XA@SURVEYS+CD1XOT@SURVEYS" TargetMode="External"/><Relationship Id="rId2" Type="http://schemas.openxmlformats.org/officeDocument/2006/relationships/hyperlink" Target="mailto:CD1XHP@SURVEYS+CD1XOP@SURVEYS" TargetMode="External"/><Relationship Id="rId16" Type="http://schemas.openxmlformats.org/officeDocument/2006/relationships/hyperlink" Target="mailto:CD1XHP@SURVEYS+CD1XOP@SURVEYS" TargetMode="External"/><Relationship Id="rId20" Type="http://schemas.openxmlformats.org/officeDocument/2006/relationships/hyperlink" Target="mailto:CD1XHP@SURVEYS+CD1XOP@SURVEYS" TargetMode="External"/><Relationship Id="rId1" Type="http://schemas.openxmlformats.org/officeDocument/2006/relationships/hyperlink" Target="mailto:CD1XA@SURVEYS+CD1XOT@SURVEYS" TargetMode="External"/><Relationship Id="rId6" Type="http://schemas.openxmlformats.org/officeDocument/2006/relationships/hyperlink" Target="mailto:CD1XHP@SURVEYS+CD1XOP@SURVEYS" TargetMode="External"/><Relationship Id="rId11" Type="http://schemas.openxmlformats.org/officeDocument/2006/relationships/hyperlink" Target="mailto:CD1XA@SURVEYS+CD1XOT@SURVEYS" TargetMode="External"/><Relationship Id="rId5" Type="http://schemas.openxmlformats.org/officeDocument/2006/relationships/hyperlink" Target="mailto:CD1XA@SURVEYS+CD1XOT@SURVEYS" TargetMode="External"/><Relationship Id="rId15" Type="http://schemas.openxmlformats.org/officeDocument/2006/relationships/hyperlink" Target="mailto:CD1XA@SURVEYS+CD1XOT@SURVEYS" TargetMode="External"/><Relationship Id="rId10" Type="http://schemas.openxmlformats.org/officeDocument/2006/relationships/hyperlink" Target="mailto:CD1XHP@SURVEYS+CD1XOP@SURVEYS" TargetMode="External"/><Relationship Id="rId19" Type="http://schemas.openxmlformats.org/officeDocument/2006/relationships/hyperlink" Target="mailto:CD1XA@SURVEYS+CD1XOT@SURVEYS" TargetMode="External"/><Relationship Id="rId4" Type="http://schemas.openxmlformats.org/officeDocument/2006/relationships/hyperlink" Target="mailto:CD1XHP@SURVEYS+CD1XOP@SURVEYS" TargetMode="External"/><Relationship Id="rId9" Type="http://schemas.openxmlformats.org/officeDocument/2006/relationships/hyperlink" Target="mailto:CD1XA@SURVEYS+CD1XOT@SURVEYS" TargetMode="External"/><Relationship Id="rId14" Type="http://schemas.openxmlformats.org/officeDocument/2006/relationships/hyperlink" Target="mailto:CD1XHP@SURVEYS+CD1XOP@SURVEY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NM156F11@USTRADE" TargetMode="External"/><Relationship Id="rId7" Type="http://schemas.openxmlformats.org/officeDocument/2006/relationships/hyperlink" Target="mailto:NM112F11@USTRADE" TargetMode="External"/><Relationship Id="rId2" Type="http://schemas.openxmlformats.org/officeDocument/2006/relationships/hyperlink" Target="mailto:NM924F11@USTRADE" TargetMode="External"/><Relationship Id="rId1" Type="http://schemas.openxmlformats.org/officeDocument/2006/relationships/hyperlink" Target="mailto:NM001F11@USTRADE" TargetMode="External"/><Relationship Id="rId6" Type="http://schemas.openxmlformats.org/officeDocument/2006/relationships/hyperlink" Target="mailto:NM997F11@USTRADE" TargetMode="External"/><Relationship Id="rId5" Type="http://schemas.openxmlformats.org/officeDocument/2006/relationships/hyperlink" Target="mailto:NM158F11@USTRADE" TargetMode="External"/><Relationship Id="rId4" Type="http://schemas.openxmlformats.org/officeDocument/2006/relationships/hyperlink" Target="mailto:NM273F11@USTRADE" TargetMode="Externa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mailto:I0014401@USTRADE" TargetMode="External"/><Relationship Id="rId13" Type="http://schemas.openxmlformats.org/officeDocument/2006/relationships/hyperlink" Target="mailto:I0014401@USTRADE" TargetMode="External"/><Relationship Id="rId3" Type="http://schemas.openxmlformats.org/officeDocument/2006/relationships/hyperlink" Target="mailto:I0014401@USTRADE" TargetMode="External"/><Relationship Id="rId7" Type="http://schemas.openxmlformats.org/officeDocument/2006/relationships/hyperlink" Target="mailto:I0014401@USTRADE" TargetMode="External"/><Relationship Id="rId12" Type="http://schemas.openxmlformats.org/officeDocument/2006/relationships/hyperlink" Target="mailto:I0014401@USTRADE" TargetMode="External"/><Relationship Id="rId2" Type="http://schemas.openxmlformats.org/officeDocument/2006/relationships/hyperlink" Target="mailto:I0014401@USTRADE" TargetMode="External"/><Relationship Id="rId1" Type="http://schemas.openxmlformats.org/officeDocument/2006/relationships/hyperlink" Target="mailto:I0014401@USTRADE" TargetMode="External"/><Relationship Id="rId6" Type="http://schemas.openxmlformats.org/officeDocument/2006/relationships/hyperlink" Target="mailto:I0014401@USTRADE" TargetMode="External"/><Relationship Id="rId11" Type="http://schemas.openxmlformats.org/officeDocument/2006/relationships/hyperlink" Target="mailto:I0014401@USTRADE" TargetMode="External"/><Relationship Id="rId5" Type="http://schemas.openxmlformats.org/officeDocument/2006/relationships/hyperlink" Target="mailto:I0014401@USTRADE" TargetMode="External"/><Relationship Id="rId10" Type="http://schemas.openxmlformats.org/officeDocument/2006/relationships/hyperlink" Target="mailto:I0014401@USTRADE" TargetMode="External"/><Relationship Id="rId4" Type="http://schemas.openxmlformats.org/officeDocument/2006/relationships/hyperlink" Target="mailto:I0014401@USTRADE" TargetMode="External"/><Relationship Id="rId9" Type="http://schemas.openxmlformats.org/officeDocument/2006/relationships/hyperlink" Target="mailto:I0014401@USTRADE" TargetMode="External"/><Relationship Id="rId14" Type="http://schemas.openxmlformats.org/officeDocument/2006/relationships/hyperlink" Target="mailto:I0014401@USTRADE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D0014-904D-4192-A432-54F0EE5401C0}">
  <dimension ref="A1:D59"/>
  <sheetViews>
    <sheetView workbookViewId="0">
      <selection activeCell="F21" sqref="F21"/>
    </sheetView>
  </sheetViews>
  <sheetFormatPr defaultRowHeight="12.6"/>
  <cols>
    <col min="1" max="1" width="20.28515625" customWidth="1"/>
    <col min="2" max="2" width="10.85546875" bestFit="1" customWidth="1"/>
  </cols>
  <sheetData>
    <row r="1" spans="1:4" ht="12.95">
      <c r="A1" s="119" t="s">
        <v>0</v>
      </c>
    </row>
    <row r="2" spans="1:4">
      <c r="A2" s="127" t="s">
        <v>1</v>
      </c>
    </row>
    <row r="3" spans="1:4">
      <c r="A3" t="s">
        <v>2</v>
      </c>
      <c r="B3" s="112">
        <f>'F1 Historical'!F239</f>
        <v>14.386955336938378</v>
      </c>
    </row>
    <row r="4" spans="1:4">
      <c r="A4" t="s">
        <v>3</v>
      </c>
      <c r="B4" s="112">
        <f>'F1 Historical'!F237</f>
        <v>16.804955336938377</v>
      </c>
      <c r="D4">
        <f>B7/B3-1</f>
        <v>-0.17022929455943248</v>
      </c>
    </row>
    <row r="5" spans="1:4">
      <c r="B5" s="112"/>
    </row>
    <row r="6" spans="1:4">
      <c r="A6" s="127" t="s">
        <v>4</v>
      </c>
    </row>
    <row r="7" spans="1:4">
      <c r="A7" t="s">
        <v>2</v>
      </c>
      <c r="B7" s="112">
        <f>'F1 Historical'!D239</f>
        <v>11.937874079073296</v>
      </c>
    </row>
    <row r="8" spans="1:4">
      <c r="A8" t="s">
        <v>3</v>
      </c>
      <c r="B8" s="112">
        <f>'F1 Historical'!D237</f>
        <v>14.355874079073295</v>
      </c>
    </row>
    <row r="11" spans="1:4" ht="12.95">
      <c r="A11" s="119" t="s">
        <v>5</v>
      </c>
    </row>
    <row r="12" spans="1:4">
      <c r="A12" t="s">
        <v>1</v>
      </c>
      <c r="B12" s="2">
        <f>ricco_price_effects_and_etr!E24</f>
        <v>1.2349939084544253E-2</v>
      </c>
    </row>
    <row r="13" spans="1:4">
      <c r="A13" t="s">
        <v>6</v>
      </c>
      <c r="B13" s="430">
        <f ca="1">-ricco_price_effects_and_etr!I24</f>
        <v>1670.7824617056278</v>
      </c>
    </row>
    <row r="14" spans="1:4">
      <c r="A14" t="s">
        <v>4</v>
      </c>
      <c r="B14" s="2">
        <f>ricco_price_effects_and_etr!E25</f>
        <v>9.2880170082548057E-3</v>
      </c>
    </row>
    <row r="15" spans="1:4">
      <c r="A15" t="s">
        <v>6</v>
      </c>
      <c r="B15" s="430">
        <f ca="1">-ricco_price_effects_and_etr!I25</f>
        <v>1256.5451388206884</v>
      </c>
    </row>
    <row r="16" spans="1:4">
      <c r="B16" s="224"/>
    </row>
    <row r="17" spans="1:2" ht="12.95">
      <c r="A17" s="119" t="s">
        <v>7</v>
      </c>
      <c r="B17" s="224"/>
    </row>
    <row r="18" spans="1:2">
      <c r="A18" t="s">
        <v>8</v>
      </c>
      <c r="B18" s="430">
        <f>'T3 Fiscal'!L6</f>
        <v>2728.3312343415628</v>
      </c>
    </row>
    <row r="19" spans="1:2">
      <c r="A19" t="s">
        <v>9</v>
      </c>
      <c r="B19" s="430">
        <f>'T3 Fiscal'!L7</f>
        <v>2341.743234341563</v>
      </c>
    </row>
    <row r="21" spans="1:2" ht="12.95">
      <c r="A21" s="119" t="s">
        <v>10</v>
      </c>
    </row>
    <row r="22" spans="1:2">
      <c r="A22" t="s">
        <v>11</v>
      </c>
      <c r="B22" s="60">
        <f>'F3 GDP'!AF8</f>
        <v>-0.49753813609727526</v>
      </c>
    </row>
    <row r="23" spans="1:2">
      <c r="A23" t="s">
        <v>12</v>
      </c>
      <c r="B23" s="60">
        <f>'F3 GDP'!AF12</f>
        <v>-0.38577289901797762</v>
      </c>
    </row>
    <row r="24" spans="1:2">
      <c r="A24" t="s">
        <v>13</v>
      </c>
      <c r="B24" s="60">
        <f>'F3 GDP'!W8-'F3 GDP'!K8</f>
        <v>0.2757411003112793</v>
      </c>
    </row>
    <row r="25" spans="1:2">
      <c r="A25" t="s">
        <v>14</v>
      </c>
      <c r="B25" s="60">
        <f>'F3 GDP'!W12-'F3 GDP'!K12</f>
        <v>0.61599493026733398</v>
      </c>
    </row>
    <row r="26" spans="1:2">
      <c r="A26" t="s">
        <v>15</v>
      </c>
      <c r="B26" s="112">
        <f>1000*('F3 GDP'!V8-'F3 GDP'!J8)</f>
        <v>-462.9669189453125</v>
      </c>
    </row>
    <row r="27" spans="1:2">
      <c r="A27" t="s">
        <v>16</v>
      </c>
      <c r="B27" s="112">
        <f>1000*('F3 GDP'!V12-'F3 GDP'!J12)</f>
        <v>-1230.072021484375</v>
      </c>
    </row>
    <row r="28" spans="1:2">
      <c r="A28" t="s">
        <v>17</v>
      </c>
      <c r="B28" s="60">
        <f>'F4 US Sector Output'!B10</f>
        <v>-0.31</v>
      </c>
    </row>
    <row r="29" spans="1:2" ht="12.95">
      <c r="A29" s="126" t="s">
        <v>18</v>
      </c>
      <c r="B29">
        <f>10*ROUND(30000*B28/100/10,0)</f>
        <v>-90</v>
      </c>
    </row>
    <row r="31" spans="1:2" ht="13.5" thickBot="1">
      <c r="A31" s="119" t="s">
        <v>19</v>
      </c>
    </row>
    <row r="32" spans="1:2">
      <c r="A32" s="160" t="s">
        <v>20</v>
      </c>
      <c r="B32" s="112">
        <f>'F4 US Sector Output'!$B1</f>
        <v>-1.3631424408279904</v>
      </c>
    </row>
    <row r="33" spans="1:2">
      <c r="A33" s="162" t="s">
        <v>21</v>
      </c>
      <c r="B33" s="112">
        <f>'F4 US Sector Output'!$B2</f>
        <v>-2.0610277960768757</v>
      </c>
    </row>
    <row r="34" spans="1:2">
      <c r="A34" s="162" t="s">
        <v>22</v>
      </c>
      <c r="B34" s="112">
        <f>'F4 US Sector Output'!$B3</f>
        <v>2.9417095662670643</v>
      </c>
    </row>
    <row r="35" spans="1:2">
      <c r="A35" s="162" t="s">
        <v>23</v>
      </c>
      <c r="B35" s="112">
        <f>'F4 US Sector Output'!$B4</f>
        <v>4.9446875883670653</v>
      </c>
    </row>
    <row r="36" spans="1:2">
      <c r="A36" s="162" t="s">
        <v>24</v>
      </c>
      <c r="B36" s="112">
        <f>'F4 US Sector Output'!$B5</f>
        <v>1.61</v>
      </c>
    </row>
    <row r="37" spans="1:2">
      <c r="A37" s="162" t="s">
        <v>25</v>
      </c>
      <c r="B37" s="112">
        <f>'F4 US Sector Output'!$B6</f>
        <v>0.62684953503355501</v>
      </c>
    </row>
    <row r="38" spans="1:2">
      <c r="A38" s="162" t="s">
        <v>26</v>
      </c>
      <c r="B38" s="112">
        <f>'F4 US Sector Output'!$B7</f>
        <v>0.38480899347707825</v>
      </c>
    </row>
    <row r="39" spans="1:2">
      <c r="A39" s="162" t="s">
        <v>27</v>
      </c>
      <c r="B39" s="112">
        <f>'F4 US Sector Output'!$B8</f>
        <v>-4.1100000000000003</v>
      </c>
    </row>
    <row r="40" spans="1:2">
      <c r="A40" s="162" t="s">
        <v>28</v>
      </c>
      <c r="B40" s="112">
        <f>'F4 US Sector Output'!$B9</f>
        <v>-0.19752116950961796</v>
      </c>
    </row>
    <row r="41" spans="1:2" ht="12.95" thickBot="1">
      <c r="A41" s="164" t="s">
        <v>29</v>
      </c>
      <c r="B41" s="112">
        <f>'F4 US Sector Output'!$B10</f>
        <v>-0.31</v>
      </c>
    </row>
    <row r="44" spans="1:2" ht="12.95">
      <c r="A44" s="119" t="s">
        <v>30</v>
      </c>
    </row>
    <row r="45" spans="1:2">
      <c r="A45" s="166" t="s">
        <v>31</v>
      </c>
      <c r="B45" s="60">
        <f>'F5 Foreign GDP'!B2</f>
        <v>-0.31</v>
      </c>
    </row>
    <row r="46" spans="1:2">
      <c r="A46" s="166" t="s">
        <v>32</v>
      </c>
      <c r="B46" s="60">
        <f>'F5 Foreign GDP'!B3</f>
        <v>-0.23</v>
      </c>
    </row>
    <row r="47" spans="1:2">
      <c r="A47" s="166" t="s">
        <v>33</v>
      </c>
      <c r="B47" s="60">
        <f>'F5 Foreign GDP'!B4</f>
        <v>0.01</v>
      </c>
    </row>
    <row r="48" spans="1:2">
      <c r="A48" s="166" t="s">
        <v>34</v>
      </c>
      <c r="B48" s="60">
        <f>'F5 Foreign GDP'!B5</f>
        <v>-0.23</v>
      </c>
    </row>
    <row r="49" spans="1:2">
      <c r="A49" s="166" t="s">
        <v>35</v>
      </c>
      <c r="B49" s="60">
        <f>'F5 Foreign GDP'!B6</f>
        <v>0.02</v>
      </c>
    </row>
    <row r="50" spans="1:2">
      <c r="A50" s="166" t="s">
        <v>36</v>
      </c>
      <c r="B50" s="60">
        <f>'F5 Foreign GDP'!B7</f>
        <v>0.04</v>
      </c>
    </row>
    <row r="51" spans="1:2">
      <c r="A51" s="166" t="s">
        <v>37</v>
      </c>
      <c r="B51" s="60">
        <f>'F5 Foreign GDP'!B8</f>
        <v>0</v>
      </c>
    </row>
    <row r="52" spans="1:2">
      <c r="A52" s="166" t="s">
        <v>38</v>
      </c>
      <c r="B52" s="60">
        <f>'F5 Foreign GDP'!B9</f>
        <v>0.04</v>
      </c>
    </row>
    <row r="53" spans="1:2">
      <c r="A53" s="166" t="s">
        <v>39</v>
      </c>
      <c r="B53" s="60">
        <f>'F5 Foreign GDP'!B10</f>
        <v>0.1</v>
      </c>
    </row>
    <row r="56" spans="1:2" ht="12.95">
      <c r="A56" s="119" t="s">
        <v>40</v>
      </c>
    </row>
    <row r="57" spans="1:2">
      <c r="A57" t="s">
        <v>41</v>
      </c>
    </row>
    <row r="58" spans="1:2" ht="12.95">
      <c r="A58" s="126" t="s">
        <v>42</v>
      </c>
      <c r="B58" s="112">
        <f>'Weighted US Tariff'!B11</f>
        <v>1.1565491228492391</v>
      </c>
    </row>
    <row r="59" spans="1:2" ht="12.95">
      <c r="A59" s="126" t="s">
        <v>43</v>
      </c>
      <c r="B59" s="112">
        <f>' LR Products'!AM88</f>
        <v>1.0475868260165961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9AFBD-8D2E-44CD-AA04-1AAF7C467F4C}">
  <sheetPr codeName="Sheet2"/>
  <dimension ref="A1"/>
  <sheetViews>
    <sheetView workbookViewId="0">
      <selection activeCell="C22" sqref="C22"/>
    </sheetView>
  </sheetViews>
  <sheetFormatPr defaultRowHeight="12.6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40927-5A9E-44D5-B67E-86955721F5B1}">
  <sheetPr codeName="Sheet5"/>
  <dimension ref="A1:M29"/>
  <sheetViews>
    <sheetView zoomScaleNormal="100" workbookViewId="0">
      <selection activeCell="G10" sqref="B6:G10"/>
    </sheetView>
  </sheetViews>
  <sheetFormatPr defaultRowHeight="12.6"/>
  <cols>
    <col min="1" max="1" width="12.28515625" bestFit="1" customWidth="1"/>
    <col min="2" max="7" width="14.140625" customWidth="1"/>
  </cols>
  <sheetData>
    <row r="1" spans="1:13" ht="12.95">
      <c r="A1" s="150" t="s">
        <v>44</v>
      </c>
      <c r="B1" s="431"/>
      <c r="C1" s="146"/>
      <c r="D1" s="431"/>
      <c r="E1" s="146"/>
      <c r="F1" s="431"/>
      <c r="G1" s="146"/>
      <c r="H1" s="4"/>
      <c r="I1" s="4"/>
      <c r="J1" s="4"/>
      <c r="K1" s="4"/>
      <c r="L1" s="4"/>
      <c r="M1" s="4"/>
    </row>
    <row r="2" spans="1:13">
      <c r="A2" s="147" t="s">
        <v>45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 ht="12.95">
      <c r="A3" s="151"/>
      <c r="B3" s="432"/>
      <c r="C3" s="4"/>
      <c r="D3" s="432"/>
      <c r="E3" s="4"/>
      <c r="F3" s="432"/>
      <c r="G3" s="4"/>
      <c r="H3" s="4"/>
      <c r="I3" s="4"/>
      <c r="J3" s="4"/>
      <c r="K3" s="4"/>
      <c r="L3" s="4"/>
      <c r="M3" s="4"/>
    </row>
    <row r="4" spans="1:13">
      <c r="A4" s="147"/>
      <c r="B4" s="445" t="s">
        <v>46</v>
      </c>
      <c r="C4" s="446"/>
      <c r="D4" s="445" t="s">
        <v>47</v>
      </c>
      <c r="E4" s="446"/>
      <c r="F4" s="445" t="s">
        <v>48</v>
      </c>
      <c r="G4" s="446"/>
      <c r="H4" s="4"/>
      <c r="I4" s="4"/>
      <c r="J4" s="4"/>
      <c r="K4" s="4"/>
      <c r="L4" s="4"/>
      <c r="M4" s="4"/>
    </row>
    <row r="5" spans="1:13" ht="24.95">
      <c r="A5" s="148"/>
      <c r="B5" s="89" t="s">
        <v>49</v>
      </c>
      <c r="C5" s="89" t="s">
        <v>50</v>
      </c>
      <c r="D5" s="89" t="s">
        <v>49</v>
      </c>
      <c r="E5" s="89" t="s">
        <v>50</v>
      </c>
      <c r="F5" s="89" t="s">
        <v>49</v>
      </c>
      <c r="G5" s="89" t="s">
        <v>50</v>
      </c>
      <c r="H5" s="4"/>
      <c r="I5" s="4"/>
      <c r="J5" s="4"/>
      <c r="K5" s="4"/>
      <c r="L5" s="4"/>
      <c r="M5" s="4"/>
    </row>
    <row r="6" spans="1:13">
      <c r="A6" s="147" t="s">
        <v>32</v>
      </c>
      <c r="B6" s="433">
        <f>ricco_price_effects_and_etr!BO125</f>
        <v>24.021794010077258</v>
      </c>
      <c r="C6" s="152">
        <f>ricco_price_effects_and_etr!BO55</f>
        <v>22.841068186587833</v>
      </c>
      <c r="D6" s="435">
        <f>ricco_price_effects_and_etr!BE126</f>
        <v>0.1338082712517063</v>
      </c>
      <c r="E6" s="436">
        <f>ricco_price_effects_and_etr!BE56</f>
        <v>8.5881072984688708E-2</v>
      </c>
      <c r="F6" s="433">
        <f>B6*D6</f>
        <v>3.2143147288530316</v>
      </c>
      <c r="G6" s="152">
        <f t="shared" ref="G6:G10" si="0">C6*E6</f>
        <v>1.9616154439806011</v>
      </c>
      <c r="H6" s="4"/>
      <c r="I6" s="4"/>
      <c r="J6" s="4"/>
      <c r="K6" s="4"/>
      <c r="L6" s="4"/>
      <c r="M6" s="4"/>
    </row>
    <row r="7" spans="1:13">
      <c r="A7" s="147" t="s">
        <v>34</v>
      </c>
      <c r="B7" s="433">
        <f>ricco_price_effects_and_etr!BP125</f>
        <v>8.1243365414907966</v>
      </c>
      <c r="C7" s="152">
        <f>ricco_price_effects_and_etr!BP55</f>
        <v>5.3394168281819185</v>
      </c>
      <c r="D7" s="435">
        <f>ricco_price_effects_and_etr!BF126</f>
        <v>0.1256381509716136</v>
      </c>
      <c r="E7" s="436">
        <f>ricco_price_effects_and_etr!BF56</f>
        <v>0.15797710007964066</v>
      </c>
      <c r="F7" s="433">
        <f t="shared" ref="F7:F10" si="1">B7*D7</f>
        <v>1.0207266209440178</v>
      </c>
      <c r="G7" s="152">
        <f t="shared" si="0"/>
        <v>0.84350558663261244</v>
      </c>
      <c r="H7" s="4"/>
      <c r="I7" s="4"/>
      <c r="J7" s="4"/>
      <c r="K7" s="4"/>
      <c r="L7" s="4"/>
      <c r="M7" s="4"/>
    </row>
    <row r="8" spans="1:13">
      <c r="A8" s="147" t="s">
        <v>35</v>
      </c>
      <c r="B8" s="433">
        <f>ricco_price_effects_and_etr!BQ125</f>
        <v>12.780105742261044</v>
      </c>
      <c r="C8" s="152">
        <f>ricco_price_effects_and_etr!BQ55</f>
        <v>11.182551320381521</v>
      </c>
      <c r="D8" s="435">
        <f>ricco_price_effects_and_etr!BG126</f>
        <v>0.15737855175609319</v>
      </c>
      <c r="E8" s="436">
        <f>ricco_price_effects_and_etr!BG56</f>
        <v>0.18735993256757158</v>
      </c>
      <c r="F8" s="433">
        <f t="shared" si="1"/>
        <v>2.0113145330067734</v>
      </c>
      <c r="G8" s="152">
        <f t="shared" si="0"/>
        <v>2.0951620613200901</v>
      </c>
      <c r="H8" s="4"/>
      <c r="I8" s="4"/>
      <c r="J8" s="4"/>
      <c r="K8" s="4"/>
      <c r="L8" s="4"/>
      <c r="M8" s="4"/>
    </row>
    <row r="9" spans="1:13">
      <c r="A9" s="148" t="s">
        <v>51</v>
      </c>
      <c r="B9" s="434">
        <f>ricco_price_effects_and_etr!BO126</f>
        <v>13.959101626288057</v>
      </c>
      <c r="C9" s="108">
        <f>ricco_price_effects_and_etr!BO56</f>
        <v>12.373092492612763</v>
      </c>
      <c r="D9" s="437">
        <f>1-D6-D7-D8</f>
        <v>0.58317502602058691</v>
      </c>
      <c r="E9" s="437">
        <f>1-E6-E7-E8</f>
        <v>0.56878189436809901</v>
      </c>
      <c r="F9" s="434">
        <f t="shared" si="1"/>
        <v>8.1405994541345539</v>
      </c>
      <c r="G9" s="108">
        <f t="shared" si="0"/>
        <v>7.0375909871399909</v>
      </c>
      <c r="H9" s="4"/>
      <c r="I9" s="4"/>
      <c r="J9" s="4"/>
      <c r="K9" s="4"/>
      <c r="L9" s="4"/>
      <c r="M9" s="4"/>
    </row>
    <row r="10" spans="1:13" ht="12.95">
      <c r="A10" s="438" t="s">
        <v>52</v>
      </c>
      <c r="B10" s="439">
        <f>ricco_price_effects_and_etr!BW125</f>
        <v>14.38695533693838</v>
      </c>
      <c r="C10" s="440">
        <f>ricco_price_effects_and_etr!BW55</f>
        <v>11.937874079073296</v>
      </c>
      <c r="D10" s="441">
        <v>1</v>
      </c>
      <c r="E10" s="441">
        <v>1</v>
      </c>
      <c r="F10" s="439">
        <f t="shared" si="1"/>
        <v>14.38695533693838</v>
      </c>
      <c r="G10" s="440">
        <f t="shared" si="0"/>
        <v>11.937874079073296</v>
      </c>
      <c r="H10" s="4"/>
      <c r="I10" s="4"/>
      <c r="J10" s="4"/>
      <c r="K10" s="4"/>
      <c r="L10" s="4"/>
      <c r="M10" s="4"/>
    </row>
    <row r="11" spans="1:13">
      <c r="A11" s="14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ht="12.95" thickBot="1">
      <c r="A12" s="153" t="s">
        <v>53</v>
      </c>
      <c r="B12" s="149"/>
      <c r="C12" s="149"/>
      <c r="D12" s="4"/>
      <c r="E12" s="4"/>
      <c r="F12" s="4"/>
      <c r="G12" s="4">
        <v>1</v>
      </c>
      <c r="H12" s="4"/>
      <c r="I12" s="4"/>
      <c r="J12" s="4"/>
      <c r="K12" s="4"/>
      <c r="L12" s="4"/>
      <c r="M12" s="4"/>
    </row>
    <row r="13" spans="1:1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1:1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</row>
    <row r="18" spans="1:1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</sheetData>
  <mergeCells count="3">
    <mergeCell ref="D4:E4"/>
    <mergeCell ref="B4:C4"/>
    <mergeCell ref="F4:G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3A039-2465-4E76-B69F-5B39DF94D3FF}">
  <sheetPr codeName="Sheet4"/>
  <dimension ref="A1:R239"/>
  <sheetViews>
    <sheetView topLeftCell="A167" zoomScale="115" zoomScaleNormal="115" workbookViewId="0">
      <selection activeCell="C237" sqref="C237"/>
    </sheetView>
  </sheetViews>
  <sheetFormatPr defaultRowHeight="12.6"/>
  <cols>
    <col min="8" max="8" width="7" bestFit="1" customWidth="1"/>
    <col min="9" max="9" width="6" bestFit="1" customWidth="1"/>
    <col min="10" max="14" width="13" bestFit="1" customWidth="1"/>
    <col min="15" max="16" width="13" customWidth="1"/>
    <col min="17" max="18" width="13" bestFit="1" customWidth="1"/>
  </cols>
  <sheetData>
    <row r="1" spans="1:18" ht="12.95" thickBot="1">
      <c r="J1" s="447" t="s">
        <v>54</v>
      </c>
      <c r="K1" s="448"/>
      <c r="L1" s="448"/>
      <c r="M1" s="448"/>
      <c r="N1" s="448"/>
      <c r="O1" s="448"/>
      <c r="P1" s="448"/>
      <c r="Q1" s="448"/>
      <c r="R1" s="449"/>
    </row>
    <row r="2" spans="1:18">
      <c r="A2" s="154">
        <v>1790</v>
      </c>
      <c r="B2" s="171">
        <f t="shared" ref="B2:B33" si="0">Q8</f>
        <v>12.5</v>
      </c>
      <c r="C2" s="171"/>
      <c r="D2" s="171">
        <f>$B$236+ricco_price_effects_and_etr!$D$25*100</f>
        <v>14.355874079073295</v>
      </c>
      <c r="E2" s="171"/>
      <c r="F2" s="155">
        <f t="shared" ref="F2:F65" si="1">$E$237</f>
        <v>16.804955336938377</v>
      </c>
    </row>
    <row r="3" spans="1:18">
      <c r="A3" s="166">
        <v>1791</v>
      </c>
      <c r="B3" s="172">
        <f t="shared" si="0"/>
        <v>10</v>
      </c>
      <c r="C3" s="172"/>
      <c r="D3" s="172">
        <f>$B$236+ricco_price_effects_and_etr!$D$25*100</f>
        <v>14.355874079073295</v>
      </c>
      <c r="E3" s="172"/>
      <c r="F3" s="157">
        <f t="shared" si="1"/>
        <v>16.804955336938377</v>
      </c>
      <c r="H3" s="450" t="s">
        <v>55</v>
      </c>
      <c r="I3" s="451"/>
      <c r="J3" s="447" t="s">
        <v>56</v>
      </c>
      <c r="K3" s="448"/>
      <c r="L3" s="448"/>
      <c r="M3" s="449"/>
      <c r="N3" s="447" t="s">
        <v>57</v>
      </c>
      <c r="O3" s="448"/>
      <c r="P3" s="448"/>
      <c r="Q3" s="448"/>
      <c r="R3" s="449"/>
    </row>
    <row r="4" spans="1:18">
      <c r="A4" s="166">
        <v>1792</v>
      </c>
      <c r="B4" s="172">
        <f t="shared" si="0"/>
        <v>15.63</v>
      </c>
      <c r="C4" s="172"/>
      <c r="D4" s="172">
        <f>$B$236+ricco_price_effects_and_etr!$D$25*100</f>
        <v>14.355874079073295</v>
      </c>
      <c r="E4" s="172"/>
      <c r="F4" s="157">
        <f t="shared" si="1"/>
        <v>16.804955336938377</v>
      </c>
      <c r="H4" s="452"/>
      <c r="I4" s="453"/>
      <c r="J4" s="456" t="s">
        <v>58</v>
      </c>
      <c r="K4" s="447" t="s">
        <v>59</v>
      </c>
      <c r="L4" s="448"/>
      <c r="M4" s="449"/>
      <c r="N4" s="456" t="s">
        <v>58</v>
      </c>
      <c r="O4" s="418"/>
      <c r="P4" s="418"/>
      <c r="Q4" s="447" t="s">
        <v>60</v>
      </c>
      <c r="R4" s="449"/>
    </row>
    <row r="5" spans="1:18">
      <c r="A5" s="166">
        <v>1793</v>
      </c>
      <c r="B5" s="172">
        <f t="shared" si="0"/>
        <v>22.58</v>
      </c>
      <c r="C5" s="172"/>
      <c r="D5" s="172">
        <f>$B$236+ricco_price_effects_and_etr!$D$25*100</f>
        <v>14.355874079073295</v>
      </c>
      <c r="E5" s="172"/>
      <c r="F5" s="157">
        <f t="shared" si="1"/>
        <v>16.804955336938377</v>
      </c>
      <c r="H5" s="452"/>
      <c r="I5" s="453"/>
      <c r="J5" s="457"/>
      <c r="K5" s="419" t="s">
        <v>58</v>
      </c>
      <c r="L5" s="419" t="s">
        <v>61</v>
      </c>
      <c r="M5" s="419" t="s">
        <v>62</v>
      </c>
      <c r="N5" s="457"/>
      <c r="O5" s="21"/>
      <c r="P5" s="21"/>
      <c r="Q5" s="419" t="s">
        <v>63</v>
      </c>
      <c r="R5" s="419" t="s">
        <v>64</v>
      </c>
    </row>
    <row r="6" spans="1:18">
      <c r="A6" s="166">
        <v>1794</v>
      </c>
      <c r="B6" s="172">
        <f t="shared" si="0"/>
        <v>30</v>
      </c>
      <c r="C6" s="172"/>
      <c r="D6" s="172">
        <f>$B$236+ricco_price_effects_and_etr!$D$25*100</f>
        <v>14.355874079073295</v>
      </c>
      <c r="E6" s="172"/>
      <c r="F6" s="157">
        <f t="shared" si="1"/>
        <v>16.804955336938377</v>
      </c>
      <c r="H6" s="452"/>
      <c r="I6" s="453"/>
      <c r="J6" s="419" t="s">
        <v>65</v>
      </c>
      <c r="K6" s="419" t="s">
        <v>66</v>
      </c>
      <c r="L6" s="419" t="s">
        <v>67</v>
      </c>
      <c r="M6" s="419" t="s">
        <v>68</v>
      </c>
      <c r="N6" s="419" t="s">
        <v>69</v>
      </c>
      <c r="O6" s="419"/>
      <c r="P6" s="419"/>
      <c r="Q6" s="419" t="s">
        <v>70</v>
      </c>
      <c r="R6" s="419" t="s">
        <v>71</v>
      </c>
    </row>
    <row r="7" spans="1:18">
      <c r="A7" s="166">
        <v>1795</v>
      </c>
      <c r="B7" s="172">
        <f t="shared" si="0"/>
        <v>17.46</v>
      </c>
      <c r="C7" s="172"/>
      <c r="D7" s="172">
        <f>$B$236+ricco_price_effects_and_etr!$D$25*100</f>
        <v>14.355874079073295</v>
      </c>
      <c r="E7" s="172"/>
      <c r="F7" s="157">
        <f t="shared" si="1"/>
        <v>16.804955336938377</v>
      </c>
      <c r="H7" s="454"/>
      <c r="I7" s="455"/>
      <c r="J7" s="419" t="s">
        <v>72</v>
      </c>
      <c r="K7" s="419" t="s">
        <v>72</v>
      </c>
      <c r="L7" s="419" t="s">
        <v>72</v>
      </c>
      <c r="M7" s="419" t="s">
        <v>72</v>
      </c>
      <c r="N7" s="419" t="s">
        <v>72</v>
      </c>
      <c r="O7" s="419"/>
      <c r="P7" s="419"/>
      <c r="Q7" s="419" t="s">
        <v>73</v>
      </c>
      <c r="R7" s="419" t="s">
        <v>73</v>
      </c>
    </row>
    <row r="8" spans="1:18">
      <c r="A8" s="166">
        <v>1796</v>
      </c>
      <c r="B8" s="172">
        <f t="shared" si="0"/>
        <v>22.81</v>
      </c>
      <c r="C8" s="172"/>
      <c r="D8" s="172">
        <f>$B$236+ricco_price_effects_and_etr!$D$25*100</f>
        <v>14.355874079073295</v>
      </c>
      <c r="E8" s="172"/>
      <c r="F8" s="157">
        <f t="shared" si="1"/>
        <v>16.804955336938377</v>
      </c>
      <c r="H8" s="420" t="s">
        <v>74</v>
      </c>
      <c r="I8" s="420" t="s">
        <v>75</v>
      </c>
      <c r="J8" s="421">
        <v>24</v>
      </c>
      <c r="K8" s="421">
        <v>24</v>
      </c>
      <c r="L8" s="421" t="s">
        <v>76</v>
      </c>
      <c r="M8" s="421" t="s">
        <v>76</v>
      </c>
      <c r="N8" s="421">
        <v>3</v>
      </c>
      <c r="O8" s="421"/>
      <c r="P8" s="421"/>
      <c r="Q8" s="421">
        <v>12.5</v>
      </c>
      <c r="R8" s="421" t="s">
        <v>76</v>
      </c>
    </row>
    <row r="9" spans="1:18">
      <c r="A9" s="166">
        <v>1797</v>
      </c>
      <c r="B9" s="172">
        <f t="shared" si="0"/>
        <v>24</v>
      </c>
      <c r="C9" s="172"/>
      <c r="D9" s="172">
        <f>$B$236+ricco_price_effects_and_etr!$D$25*100</f>
        <v>14.355874079073295</v>
      </c>
      <c r="E9" s="172"/>
      <c r="F9" s="157">
        <f t="shared" si="1"/>
        <v>16.804955336938377</v>
      </c>
      <c r="H9" s="420" t="s">
        <v>77</v>
      </c>
      <c r="I9" s="420" t="s">
        <v>75</v>
      </c>
      <c r="J9" s="421">
        <v>31</v>
      </c>
      <c r="K9" s="421">
        <v>30</v>
      </c>
      <c r="L9" s="421" t="s">
        <v>76</v>
      </c>
      <c r="M9" s="421" t="s">
        <v>76</v>
      </c>
      <c r="N9" s="421">
        <v>3</v>
      </c>
      <c r="O9" s="421"/>
      <c r="P9" s="421"/>
      <c r="Q9" s="421">
        <v>10</v>
      </c>
      <c r="R9" s="421" t="s">
        <v>76</v>
      </c>
    </row>
    <row r="10" spans="1:18">
      <c r="A10" s="166">
        <v>1798</v>
      </c>
      <c r="B10" s="172">
        <f t="shared" si="0"/>
        <v>31.58</v>
      </c>
      <c r="C10" s="172"/>
      <c r="D10" s="172">
        <f>$B$236+ricco_price_effects_and_etr!$D$25*100</f>
        <v>14.355874079073295</v>
      </c>
      <c r="E10" s="172"/>
      <c r="F10" s="157">
        <f t="shared" si="1"/>
        <v>16.804955336938377</v>
      </c>
      <c r="H10" s="420" t="s">
        <v>78</v>
      </c>
      <c r="I10" s="420" t="s">
        <v>75</v>
      </c>
      <c r="J10" s="421">
        <v>33</v>
      </c>
      <c r="K10" s="421">
        <v>32</v>
      </c>
      <c r="L10" s="421" t="s">
        <v>76</v>
      </c>
      <c r="M10" s="421" t="s">
        <v>76</v>
      </c>
      <c r="N10" s="421">
        <v>5</v>
      </c>
      <c r="O10" s="421"/>
      <c r="P10" s="421"/>
      <c r="Q10" s="421">
        <v>15.63</v>
      </c>
      <c r="R10" s="421" t="s">
        <v>76</v>
      </c>
    </row>
    <row r="11" spans="1:18">
      <c r="A11" s="166">
        <v>1799</v>
      </c>
      <c r="B11" s="172">
        <f t="shared" si="0"/>
        <v>44.44</v>
      </c>
      <c r="C11" s="172"/>
      <c r="D11" s="172">
        <f>$B$236+ricco_price_effects_and_etr!$D$25*100</f>
        <v>14.355874079073295</v>
      </c>
      <c r="E11" s="172"/>
      <c r="F11" s="157">
        <f t="shared" si="1"/>
        <v>16.804955336938377</v>
      </c>
      <c r="H11" s="420" t="s">
        <v>79</v>
      </c>
      <c r="I11" s="420" t="s">
        <v>75</v>
      </c>
      <c r="J11" s="421">
        <v>33</v>
      </c>
      <c r="K11" s="421">
        <v>31</v>
      </c>
      <c r="L11" s="421" t="s">
        <v>76</v>
      </c>
      <c r="M11" s="421" t="s">
        <v>76</v>
      </c>
      <c r="N11" s="421">
        <v>7</v>
      </c>
      <c r="O11" s="421"/>
      <c r="P11" s="421"/>
      <c r="Q11" s="421">
        <v>22.58</v>
      </c>
      <c r="R11" s="421" t="s">
        <v>76</v>
      </c>
    </row>
    <row r="12" spans="1:18">
      <c r="A12" s="166">
        <v>1800</v>
      </c>
      <c r="B12" s="172">
        <f t="shared" si="0"/>
        <v>29.63</v>
      </c>
      <c r="C12" s="172"/>
      <c r="D12" s="172">
        <f>$B$236+ricco_price_effects_and_etr!$D$25*100</f>
        <v>14.355874079073295</v>
      </c>
      <c r="E12" s="172"/>
      <c r="F12" s="157">
        <f t="shared" si="1"/>
        <v>16.804955336938377</v>
      </c>
      <c r="H12" s="420" t="s">
        <v>80</v>
      </c>
      <c r="I12" s="420" t="s">
        <v>75</v>
      </c>
      <c r="J12" s="421">
        <v>36</v>
      </c>
      <c r="K12" s="421">
        <v>30</v>
      </c>
      <c r="L12" s="421" t="s">
        <v>76</v>
      </c>
      <c r="M12" s="421" t="s">
        <v>76</v>
      </c>
      <c r="N12" s="421">
        <v>9</v>
      </c>
      <c r="O12" s="421"/>
      <c r="P12" s="421"/>
      <c r="Q12" s="421">
        <v>30</v>
      </c>
      <c r="R12" s="421" t="s">
        <v>76</v>
      </c>
    </row>
    <row r="13" spans="1:18">
      <c r="A13" s="166">
        <v>1801</v>
      </c>
      <c r="B13" s="172">
        <f t="shared" si="0"/>
        <v>29.85</v>
      </c>
      <c r="C13" s="172"/>
      <c r="D13" s="172">
        <f>$B$236+ricco_price_effects_and_etr!$D$25*100</f>
        <v>14.355874079073295</v>
      </c>
      <c r="E13" s="172"/>
      <c r="F13" s="157">
        <f t="shared" si="1"/>
        <v>16.804955336938377</v>
      </c>
      <c r="H13" s="420" t="s">
        <v>81</v>
      </c>
      <c r="I13" s="420" t="s">
        <v>75</v>
      </c>
      <c r="J13" s="421">
        <v>71</v>
      </c>
      <c r="K13" s="421">
        <v>63</v>
      </c>
      <c r="L13" s="421" t="s">
        <v>76</v>
      </c>
      <c r="M13" s="421" t="s">
        <v>76</v>
      </c>
      <c r="N13" s="421">
        <v>11</v>
      </c>
      <c r="O13" s="421"/>
      <c r="P13" s="421"/>
      <c r="Q13" s="421">
        <v>17.46</v>
      </c>
      <c r="R13" s="421" t="s">
        <v>76</v>
      </c>
    </row>
    <row r="14" spans="1:18">
      <c r="A14" s="166">
        <v>1802</v>
      </c>
      <c r="B14" s="172">
        <f t="shared" si="0"/>
        <v>34.880000000000003</v>
      </c>
      <c r="C14" s="172"/>
      <c r="D14" s="172">
        <f>$B$236+ricco_price_effects_and_etr!$D$25*100</f>
        <v>14.355874079073295</v>
      </c>
      <c r="E14" s="172"/>
      <c r="F14" s="157">
        <f t="shared" si="1"/>
        <v>16.804955336938377</v>
      </c>
      <c r="H14" s="420" t="s">
        <v>82</v>
      </c>
      <c r="I14" s="420" t="s">
        <v>75</v>
      </c>
      <c r="J14" s="421">
        <v>83</v>
      </c>
      <c r="K14" s="421">
        <v>57</v>
      </c>
      <c r="L14" s="421" t="s">
        <v>76</v>
      </c>
      <c r="M14" s="421" t="s">
        <v>76</v>
      </c>
      <c r="N14" s="421">
        <v>13</v>
      </c>
      <c r="O14" s="421"/>
      <c r="P14" s="421"/>
      <c r="Q14" s="421">
        <v>22.81</v>
      </c>
      <c r="R14" s="421" t="s">
        <v>76</v>
      </c>
    </row>
    <row r="15" spans="1:18">
      <c r="A15" s="166">
        <v>1803</v>
      </c>
      <c r="B15" s="172">
        <f t="shared" si="0"/>
        <v>26.92</v>
      </c>
      <c r="C15" s="172"/>
      <c r="D15" s="172">
        <f>$B$236+ricco_price_effects_and_etr!$D$25*100</f>
        <v>14.355874079073295</v>
      </c>
      <c r="E15" s="172"/>
      <c r="F15" s="157">
        <f t="shared" si="1"/>
        <v>16.804955336938377</v>
      </c>
      <c r="H15" s="420" t="s">
        <v>83</v>
      </c>
      <c r="I15" s="420" t="s">
        <v>75</v>
      </c>
      <c r="J15" s="421">
        <v>77</v>
      </c>
      <c r="K15" s="421">
        <v>50</v>
      </c>
      <c r="L15" s="421" t="s">
        <v>76</v>
      </c>
      <c r="M15" s="421" t="s">
        <v>76</v>
      </c>
      <c r="N15" s="421">
        <v>12</v>
      </c>
      <c r="O15" s="421"/>
      <c r="P15" s="421"/>
      <c r="Q15" s="421">
        <v>24</v>
      </c>
      <c r="R15" s="421" t="s">
        <v>76</v>
      </c>
    </row>
    <row r="16" spans="1:18">
      <c r="A16" s="166">
        <v>1804</v>
      </c>
      <c r="B16" s="172">
        <f t="shared" si="0"/>
        <v>41.18</v>
      </c>
      <c r="C16" s="172"/>
      <c r="D16" s="172">
        <f>$B$236+ricco_price_effects_and_etr!$D$25*100</f>
        <v>14.355874079073295</v>
      </c>
      <c r="E16" s="172"/>
      <c r="F16" s="157">
        <f t="shared" si="1"/>
        <v>16.804955336938377</v>
      </c>
      <c r="H16" s="420" t="s">
        <v>84</v>
      </c>
      <c r="I16" s="420" t="s">
        <v>75</v>
      </c>
      <c r="J16" s="421">
        <v>71</v>
      </c>
      <c r="K16" s="421">
        <v>38</v>
      </c>
      <c r="L16" s="421" t="s">
        <v>76</v>
      </c>
      <c r="M16" s="421" t="s">
        <v>76</v>
      </c>
      <c r="N16" s="421">
        <v>12</v>
      </c>
      <c r="O16" s="421"/>
      <c r="P16" s="421"/>
      <c r="Q16" s="421">
        <v>31.58</v>
      </c>
      <c r="R16" s="421" t="s">
        <v>76</v>
      </c>
    </row>
    <row r="17" spans="1:18">
      <c r="A17" s="166">
        <v>1805</v>
      </c>
      <c r="B17" s="172">
        <f t="shared" si="0"/>
        <v>33.33</v>
      </c>
      <c r="C17" s="172"/>
      <c r="D17" s="172">
        <f>$B$236+ricco_price_effects_and_etr!$D$25*100</f>
        <v>14.355874079073295</v>
      </c>
      <c r="E17" s="172"/>
      <c r="F17" s="157">
        <f t="shared" si="1"/>
        <v>16.804955336938377</v>
      </c>
      <c r="H17" s="420" t="s">
        <v>85</v>
      </c>
      <c r="I17" s="420" t="s">
        <v>75</v>
      </c>
      <c r="J17" s="421">
        <v>81</v>
      </c>
      <c r="K17" s="421">
        <v>36</v>
      </c>
      <c r="L17" s="421" t="s">
        <v>76</v>
      </c>
      <c r="M17" s="421" t="s">
        <v>76</v>
      </c>
      <c r="N17" s="421">
        <v>16</v>
      </c>
      <c r="O17" s="421"/>
      <c r="P17" s="421"/>
      <c r="Q17" s="421">
        <v>44.44</v>
      </c>
      <c r="R17" s="421" t="s">
        <v>76</v>
      </c>
    </row>
    <row r="18" spans="1:18">
      <c r="A18" s="166">
        <v>1806</v>
      </c>
      <c r="B18" s="172">
        <f t="shared" si="0"/>
        <v>34.21</v>
      </c>
      <c r="C18" s="172"/>
      <c r="D18" s="172">
        <f>$B$236+ricco_price_effects_and_etr!$D$25*100</f>
        <v>14.355874079073295</v>
      </c>
      <c r="E18" s="172"/>
      <c r="F18" s="157">
        <f t="shared" si="1"/>
        <v>16.804955336938377</v>
      </c>
      <c r="H18" s="420" t="s">
        <v>86</v>
      </c>
      <c r="I18" s="420" t="s">
        <v>75</v>
      </c>
      <c r="J18" s="421">
        <v>93</v>
      </c>
      <c r="K18" s="421">
        <v>54</v>
      </c>
      <c r="L18" s="421" t="s">
        <v>76</v>
      </c>
      <c r="M18" s="421" t="s">
        <v>76</v>
      </c>
      <c r="N18" s="421">
        <v>16</v>
      </c>
      <c r="O18" s="421"/>
      <c r="P18" s="421"/>
      <c r="Q18" s="421">
        <v>29.63</v>
      </c>
      <c r="R18" s="421" t="s">
        <v>76</v>
      </c>
    </row>
    <row r="19" spans="1:18">
      <c r="A19" s="166">
        <v>1807</v>
      </c>
      <c r="B19" s="172">
        <f t="shared" si="0"/>
        <v>31.76</v>
      </c>
      <c r="C19" s="172"/>
      <c r="D19" s="172">
        <f>$B$236+ricco_price_effects_and_etr!$D$25*100</f>
        <v>14.355874079073295</v>
      </c>
      <c r="E19" s="172"/>
      <c r="F19" s="157">
        <f t="shared" si="1"/>
        <v>16.804955336938377</v>
      </c>
      <c r="H19" s="420" t="s">
        <v>87</v>
      </c>
      <c r="I19" s="420" t="s">
        <v>75</v>
      </c>
      <c r="J19" s="421">
        <v>113</v>
      </c>
      <c r="K19" s="421">
        <v>67</v>
      </c>
      <c r="L19" s="421" t="s">
        <v>76</v>
      </c>
      <c r="M19" s="421" t="s">
        <v>76</v>
      </c>
      <c r="N19" s="421">
        <v>20</v>
      </c>
      <c r="O19" s="421"/>
      <c r="P19" s="421"/>
      <c r="Q19" s="421">
        <v>29.85</v>
      </c>
      <c r="R19" s="421" t="s">
        <v>76</v>
      </c>
    </row>
    <row r="20" spans="1:18">
      <c r="A20" s="166">
        <v>1808</v>
      </c>
      <c r="B20" s="172">
        <f t="shared" si="0"/>
        <v>24.44</v>
      </c>
      <c r="C20" s="172"/>
      <c r="D20" s="172">
        <f>$B$236+ricco_price_effects_and_etr!$D$25*100</f>
        <v>14.355874079073295</v>
      </c>
      <c r="E20" s="172"/>
      <c r="F20" s="157">
        <f t="shared" si="1"/>
        <v>16.804955336938377</v>
      </c>
      <c r="H20" s="420" t="s">
        <v>88</v>
      </c>
      <c r="I20" s="420" t="s">
        <v>75</v>
      </c>
      <c r="J20" s="421">
        <v>78</v>
      </c>
      <c r="K20" s="421">
        <v>43</v>
      </c>
      <c r="L20" s="421" t="s">
        <v>76</v>
      </c>
      <c r="M20" s="421" t="s">
        <v>76</v>
      </c>
      <c r="N20" s="421">
        <v>15</v>
      </c>
      <c r="O20" s="421"/>
      <c r="P20" s="421"/>
      <c r="Q20" s="421">
        <v>34.880000000000003</v>
      </c>
      <c r="R20" s="421" t="s">
        <v>76</v>
      </c>
    </row>
    <row r="21" spans="1:18">
      <c r="A21" s="166">
        <v>1809</v>
      </c>
      <c r="B21" s="172">
        <f t="shared" si="0"/>
        <v>30</v>
      </c>
      <c r="C21" s="172"/>
      <c r="D21" s="172">
        <f>$B$236+ricco_price_effects_and_etr!$D$25*100</f>
        <v>14.355874079073295</v>
      </c>
      <c r="E21" s="172"/>
      <c r="F21" s="157">
        <f t="shared" si="1"/>
        <v>16.804955336938377</v>
      </c>
      <c r="H21" s="420" t="s">
        <v>89</v>
      </c>
      <c r="I21" s="420" t="s">
        <v>75</v>
      </c>
      <c r="J21" s="421">
        <v>66</v>
      </c>
      <c r="K21" s="421">
        <v>52</v>
      </c>
      <c r="L21" s="421" t="s">
        <v>76</v>
      </c>
      <c r="M21" s="421" t="s">
        <v>76</v>
      </c>
      <c r="N21" s="421">
        <v>14</v>
      </c>
      <c r="O21" s="421"/>
      <c r="P21" s="421"/>
      <c r="Q21" s="421">
        <v>26.92</v>
      </c>
      <c r="R21" s="421" t="s">
        <v>76</v>
      </c>
    </row>
    <row r="22" spans="1:18">
      <c r="A22" s="166">
        <v>1810</v>
      </c>
      <c r="B22" s="172">
        <f t="shared" si="0"/>
        <v>26.15</v>
      </c>
      <c r="C22" s="172"/>
      <c r="D22" s="172">
        <f>$B$236+ricco_price_effects_and_etr!$D$25*100</f>
        <v>14.355874079073295</v>
      </c>
      <c r="E22" s="172"/>
      <c r="F22" s="157">
        <f t="shared" si="1"/>
        <v>16.804955336938377</v>
      </c>
      <c r="H22" s="420" t="s">
        <v>90</v>
      </c>
      <c r="I22" s="420" t="s">
        <v>75</v>
      </c>
      <c r="J22" s="421">
        <v>87</v>
      </c>
      <c r="K22" s="421">
        <v>51</v>
      </c>
      <c r="L22" s="421" t="s">
        <v>76</v>
      </c>
      <c r="M22" s="421" t="s">
        <v>76</v>
      </c>
      <c r="N22" s="421">
        <v>21</v>
      </c>
      <c r="O22" s="421"/>
      <c r="P22" s="421"/>
      <c r="Q22" s="421">
        <v>41.18</v>
      </c>
      <c r="R22" s="421" t="s">
        <v>76</v>
      </c>
    </row>
    <row r="23" spans="1:18">
      <c r="A23" s="166">
        <v>1811</v>
      </c>
      <c r="B23" s="172">
        <f t="shared" si="0"/>
        <v>23.81</v>
      </c>
      <c r="C23" s="172"/>
      <c r="D23" s="172">
        <f>$B$236+ricco_price_effects_and_etr!$D$25*100</f>
        <v>14.355874079073295</v>
      </c>
      <c r="E23" s="172"/>
      <c r="F23" s="157">
        <f t="shared" si="1"/>
        <v>16.804955336938377</v>
      </c>
      <c r="H23" s="420" t="s">
        <v>91</v>
      </c>
      <c r="I23" s="420" t="s">
        <v>75</v>
      </c>
      <c r="J23" s="421">
        <v>126</v>
      </c>
      <c r="K23" s="421">
        <v>72</v>
      </c>
      <c r="L23" s="421" t="s">
        <v>76</v>
      </c>
      <c r="M23" s="421" t="s">
        <v>76</v>
      </c>
      <c r="N23" s="421">
        <v>24</v>
      </c>
      <c r="O23" s="421"/>
      <c r="P23" s="421"/>
      <c r="Q23" s="421">
        <v>33.33</v>
      </c>
      <c r="R23" s="421" t="s">
        <v>76</v>
      </c>
    </row>
    <row r="24" spans="1:18">
      <c r="A24" s="166">
        <v>1812</v>
      </c>
      <c r="B24" s="172">
        <f t="shared" si="0"/>
        <v>21.43</v>
      </c>
      <c r="C24" s="172"/>
      <c r="D24" s="172">
        <f>$B$236+ricco_price_effects_and_etr!$D$25*100</f>
        <v>14.355874079073295</v>
      </c>
      <c r="E24" s="172"/>
      <c r="F24" s="157">
        <f t="shared" si="1"/>
        <v>16.804955336938377</v>
      </c>
      <c r="H24" s="420" t="s">
        <v>92</v>
      </c>
      <c r="I24" s="420" t="s">
        <v>75</v>
      </c>
      <c r="J24" s="421">
        <v>137</v>
      </c>
      <c r="K24" s="421">
        <v>76</v>
      </c>
      <c r="L24" s="421" t="s">
        <v>76</v>
      </c>
      <c r="M24" s="421" t="s">
        <v>76</v>
      </c>
      <c r="N24" s="421">
        <v>26</v>
      </c>
      <c r="O24" s="421"/>
      <c r="P24" s="421"/>
      <c r="Q24" s="421">
        <v>34.21</v>
      </c>
      <c r="R24" s="421" t="s">
        <v>76</v>
      </c>
    </row>
    <row r="25" spans="1:18">
      <c r="A25" s="166">
        <v>1813</v>
      </c>
      <c r="B25" s="172">
        <f t="shared" si="0"/>
        <v>36.840000000000003</v>
      </c>
      <c r="C25" s="172"/>
      <c r="D25" s="172">
        <f>$B$236+ricco_price_effects_and_etr!$D$25*100</f>
        <v>14.355874079073295</v>
      </c>
      <c r="E25" s="172"/>
      <c r="F25" s="157">
        <f t="shared" si="1"/>
        <v>16.804955336938377</v>
      </c>
      <c r="H25" s="420" t="s">
        <v>93</v>
      </c>
      <c r="I25" s="420" t="s">
        <v>75</v>
      </c>
      <c r="J25" s="421">
        <v>145</v>
      </c>
      <c r="K25" s="421">
        <v>85</v>
      </c>
      <c r="L25" s="421" t="s">
        <v>76</v>
      </c>
      <c r="M25" s="421" t="s">
        <v>76</v>
      </c>
      <c r="N25" s="421">
        <v>27</v>
      </c>
      <c r="O25" s="421"/>
      <c r="P25" s="421"/>
      <c r="Q25" s="421">
        <v>31.76</v>
      </c>
      <c r="R25" s="421" t="s">
        <v>76</v>
      </c>
    </row>
    <row r="26" spans="1:18">
      <c r="A26" s="166">
        <v>1814</v>
      </c>
      <c r="B26" s="172">
        <f t="shared" si="0"/>
        <v>30.77</v>
      </c>
      <c r="C26" s="172"/>
      <c r="D26" s="172">
        <f>$B$236+ricco_price_effects_and_etr!$D$25*100</f>
        <v>14.355874079073295</v>
      </c>
      <c r="E26" s="172"/>
      <c r="F26" s="157">
        <f t="shared" si="1"/>
        <v>16.804955336938377</v>
      </c>
      <c r="H26" s="420" t="s">
        <v>94</v>
      </c>
      <c r="I26" s="420" t="s">
        <v>75</v>
      </c>
      <c r="J26" s="421">
        <v>58</v>
      </c>
      <c r="K26" s="421">
        <v>45</v>
      </c>
      <c r="L26" s="421" t="s">
        <v>76</v>
      </c>
      <c r="M26" s="421" t="s">
        <v>76</v>
      </c>
      <c r="N26" s="421">
        <v>11</v>
      </c>
      <c r="O26" s="421"/>
      <c r="P26" s="421"/>
      <c r="Q26" s="421">
        <v>24.44</v>
      </c>
      <c r="R26" s="421" t="s">
        <v>76</v>
      </c>
    </row>
    <row r="27" spans="1:18">
      <c r="A27" s="166">
        <v>1815</v>
      </c>
      <c r="B27" s="172">
        <f t="shared" si="0"/>
        <v>48.1</v>
      </c>
      <c r="C27" s="172"/>
      <c r="D27" s="172">
        <f>$B$236+ricco_price_effects_and_etr!$D$25*100</f>
        <v>14.355874079073295</v>
      </c>
      <c r="E27" s="172"/>
      <c r="F27" s="157">
        <f t="shared" si="1"/>
        <v>16.804955336938377</v>
      </c>
      <c r="H27" s="420" t="s">
        <v>95</v>
      </c>
      <c r="I27" s="420" t="s">
        <v>75</v>
      </c>
      <c r="J27" s="421">
        <v>61</v>
      </c>
      <c r="K27" s="421">
        <v>40</v>
      </c>
      <c r="L27" s="421" t="s">
        <v>76</v>
      </c>
      <c r="M27" s="421" t="s">
        <v>76</v>
      </c>
      <c r="N27" s="421">
        <v>12</v>
      </c>
      <c r="O27" s="421"/>
      <c r="P27" s="421"/>
      <c r="Q27" s="421">
        <v>30</v>
      </c>
      <c r="R27" s="421" t="s">
        <v>76</v>
      </c>
    </row>
    <row r="28" spans="1:18">
      <c r="A28" s="166">
        <v>1816</v>
      </c>
      <c r="B28" s="172">
        <f t="shared" si="0"/>
        <v>24.63</v>
      </c>
      <c r="C28" s="172"/>
      <c r="D28" s="172">
        <f>$B$236+ricco_price_effects_and_etr!$D$25*100</f>
        <v>14.355874079073295</v>
      </c>
      <c r="E28" s="172"/>
      <c r="F28" s="157">
        <f t="shared" si="1"/>
        <v>16.804955336938377</v>
      </c>
      <c r="H28" s="420" t="s">
        <v>96</v>
      </c>
      <c r="I28" s="420" t="s">
        <v>75</v>
      </c>
      <c r="J28" s="421">
        <v>89</v>
      </c>
      <c r="K28" s="421">
        <v>65</v>
      </c>
      <c r="L28" s="421" t="s">
        <v>76</v>
      </c>
      <c r="M28" s="421" t="s">
        <v>76</v>
      </c>
      <c r="N28" s="421">
        <v>17</v>
      </c>
      <c r="O28" s="421"/>
      <c r="P28" s="421"/>
      <c r="Q28" s="421">
        <v>26.15</v>
      </c>
      <c r="R28" s="421" t="s">
        <v>76</v>
      </c>
    </row>
    <row r="29" spans="1:18">
      <c r="A29" s="166">
        <v>1817</v>
      </c>
      <c r="B29" s="172">
        <f t="shared" si="0"/>
        <v>26.83</v>
      </c>
      <c r="C29" s="172"/>
      <c r="D29" s="172">
        <f>$B$236+ricco_price_effects_and_etr!$D$25*100</f>
        <v>14.355874079073295</v>
      </c>
      <c r="E29" s="172"/>
      <c r="F29" s="157">
        <f t="shared" si="1"/>
        <v>16.804955336938377</v>
      </c>
      <c r="H29" s="420" t="s">
        <v>97</v>
      </c>
      <c r="I29" s="420" t="s">
        <v>75</v>
      </c>
      <c r="J29" s="421">
        <v>58</v>
      </c>
      <c r="K29" s="421">
        <v>42</v>
      </c>
      <c r="L29" s="421" t="s">
        <v>76</v>
      </c>
      <c r="M29" s="421" t="s">
        <v>76</v>
      </c>
      <c r="N29" s="421">
        <v>10</v>
      </c>
      <c r="O29" s="421"/>
      <c r="P29" s="421"/>
      <c r="Q29" s="421">
        <v>23.81</v>
      </c>
      <c r="R29" s="421" t="s">
        <v>76</v>
      </c>
    </row>
    <row r="30" spans="1:18">
      <c r="A30" s="166">
        <v>1818</v>
      </c>
      <c r="B30" s="172">
        <f t="shared" si="0"/>
        <v>24.07</v>
      </c>
      <c r="C30" s="172"/>
      <c r="D30" s="172">
        <f>$B$236+ricco_price_effects_and_etr!$D$25*100</f>
        <v>14.355874079073295</v>
      </c>
      <c r="E30" s="172"/>
      <c r="F30" s="157">
        <f t="shared" si="1"/>
        <v>16.804955336938377</v>
      </c>
      <c r="H30" s="420" t="s">
        <v>98</v>
      </c>
      <c r="I30" s="420" t="s">
        <v>75</v>
      </c>
      <c r="J30" s="421">
        <v>79</v>
      </c>
      <c r="K30" s="421">
        <v>70</v>
      </c>
      <c r="L30" s="421" t="s">
        <v>76</v>
      </c>
      <c r="M30" s="421" t="s">
        <v>76</v>
      </c>
      <c r="N30" s="421">
        <v>15</v>
      </c>
      <c r="O30" s="421"/>
      <c r="P30" s="421"/>
      <c r="Q30" s="421">
        <v>21.43</v>
      </c>
      <c r="R30" s="421" t="s">
        <v>76</v>
      </c>
    </row>
    <row r="31" spans="1:18">
      <c r="A31" s="166">
        <v>1819</v>
      </c>
      <c r="B31" s="172">
        <f t="shared" si="0"/>
        <v>28.38</v>
      </c>
      <c r="C31" s="172"/>
      <c r="D31" s="172">
        <f>$B$236+ricco_price_effects_and_etr!$D$25*100</f>
        <v>14.355874079073295</v>
      </c>
      <c r="E31" s="172"/>
      <c r="F31" s="157">
        <f t="shared" si="1"/>
        <v>16.804955336938377</v>
      </c>
      <c r="H31" s="420" t="s">
        <v>99</v>
      </c>
      <c r="I31" s="420" t="s">
        <v>75</v>
      </c>
      <c r="J31" s="421">
        <v>22</v>
      </c>
      <c r="K31" s="421">
        <v>19</v>
      </c>
      <c r="L31" s="421" t="s">
        <v>76</v>
      </c>
      <c r="M31" s="421" t="s">
        <v>76</v>
      </c>
      <c r="N31" s="421">
        <v>7</v>
      </c>
      <c r="O31" s="421"/>
      <c r="P31" s="421"/>
      <c r="Q31" s="421">
        <v>36.840000000000003</v>
      </c>
      <c r="R31" s="421" t="s">
        <v>76</v>
      </c>
    </row>
    <row r="32" spans="1:18">
      <c r="A32" s="166">
        <v>1820</v>
      </c>
      <c r="B32" s="172">
        <f t="shared" si="0"/>
        <v>29.82</v>
      </c>
      <c r="C32" s="172"/>
      <c r="D32" s="172">
        <f>$B$236+ricco_price_effects_and_etr!$D$25*100</f>
        <v>14.355874079073295</v>
      </c>
      <c r="E32" s="172"/>
      <c r="F32" s="157">
        <f t="shared" si="1"/>
        <v>16.804955336938377</v>
      </c>
      <c r="H32" s="420" t="s">
        <v>100</v>
      </c>
      <c r="I32" s="420" t="s">
        <v>75</v>
      </c>
      <c r="J32" s="421">
        <v>13</v>
      </c>
      <c r="K32" s="421">
        <v>13</v>
      </c>
      <c r="L32" s="421" t="s">
        <v>76</v>
      </c>
      <c r="M32" s="421" t="s">
        <v>76</v>
      </c>
      <c r="N32" s="421">
        <v>4</v>
      </c>
      <c r="O32" s="421"/>
      <c r="P32" s="421"/>
      <c r="Q32" s="421">
        <v>30.77</v>
      </c>
      <c r="R32" s="421" t="s">
        <v>76</v>
      </c>
    </row>
    <row r="33" spans="1:18">
      <c r="A33" s="166">
        <v>1821</v>
      </c>
      <c r="B33" s="172">
        <f t="shared" si="0"/>
        <v>43.21</v>
      </c>
      <c r="C33" s="172"/>
      <c r="D33" s="172">
        <f>$B$236+ricco_price_effects_and_etr!$D$25*100</f>
        <v>14.355874079073295</v>
      </c>
      <c r="E33" s="172"/>
      <c r="F33" s="157">
        <f t="shared" si="1"/>
        <v>16.804955336938377</v>
      </c>
      <c r="H33" s="420" t="s">
        <v>101</v>
      </c>
      <c r="I33" s="420" t="s">
        <v>75</v>
      </c>
      <c r="J33" s="421">
        <v>85</v>
      </c>
      <c r="K33" s="421">
        <v>79</v>
      </c>
      <c r="L33" s="421" t="s">
        <v>76</v>
      </c>
      <c r="M33" s="421" t="s">
        <v>76</v>
      </c>
      <c r="N33" s="421">
        <v>38</v>
      </c>
      <c r="O33" s="421"/>
      <c r="P33" s="421"/>
      <c r="Q33" s="421">
        <v>48.1</v>
      </c>
      <c r="R33" s="421" t="s">
        <v>76</v>
      </c>
    </row>
    <row r="34" spans="1:18">
      <c r="A34" s="166">
        <v>1822</v>
      </c>
      <c r="B34" s="172">
        <f t="shared" ref="B34:B65" si="2">Q40</f>
        <v>35.229999999999997</v>
      </c>
      <c r="C34" s="172"/>
      <c r="D34" s="172">
        <f>$B$236+ricco_price_effects_and_etr!$D$25*100</f>
        <v>14.355874079073295</v>
      </c>
      <c r="E34" s="172"/>
      <c r="F34" s="157">
        <f t="shared" si="1"/>
        <v>16.804955336938377</v>
      </c>
      <c r="H34" s="420" t="s">
        <v>102</v>
      </c>
      <c r="I34" s="420" t="s">
        <v>75</v>
      </c>
      <c r="J34" s="421">
        <v>152</v>
      </c>
      <c r="K34" s="421">
        <v>134</v>
      </c>
      <c r="L34" s="421" t="s">
        <v>76</v>
      </c>
      <c r="M34" s="421" t="s">
        <v>76</v>
      </c>
      <c r="N34" s="421">
        <v>33</v>
      </c>
      <c r="O34" s="421"/>
      <c r="P34" s="421"/>
      <c r="Q34" s="421">
        <v>24.63</v>
      </c>
      <c r="R34" s="421" t="s">
        <v>76</v>
      </c>
    </row>
    <row r="35" spans="1:18">
      <c r="A35" s="166">
        <v>1823</v>
      </c>
      <c r="B35" s="172">
        <f t="shared" si="2"/>
        <v>43.69</v>
      </c>
      <c r="C35" s="172"/>
      <c r="D35" s="172">
        <f>$B$236+ricco_price_effects_and_etr!$D$25*100</f>
        <v>14.355874079073295</v>
      </c>
      <c r="E35" s="172"/>
      <c r="F35" s="157">
        <f t="shared" si="1"/>
        <v>16.804955336938377</v>
      </c>
      <c r="H35" s="420" t="s">
        <v>103</v>
      </c>
      <c r="I35" s="420" t="s">
        <v>75</v>
      </c>
      <c r="J35" s="421">
        <v>102</v>
      </c>
      <c r="K35" s="421">
        <v>82</v>
      </c>
      <c r="L35" s="421" t="s">
        <v>76</v>
      </c>
      <c r="M35" s="421" t="s">
        <v>76</v>
      </c>
      <c r="N35" s="421">
        <v>22</v>
      </c>
      <c r="O35" s="421"/>
      <c r="P35" s="421"/>
      <c r="Q35" s="421">
        <v>26.83</v>
      </c>
      <c r="R35" s="421" t="s">
        <v>76</v>
      </c>
    </row>
    <row r="36" spans="1:18">
      <c r="A36" s="166">
        <v>1824</v>
      </c>
      <c r="B36" s="172">
        <f t="shared" si="2"/>
        <v>47.39</v>
      </c>
      <c r="C36" s="172"/>
      <c r="D36" s="172">
        <f>$B$236+ricco_price_effects_and_etr!$D$25*100</f>
        <v>14.355874079073295</v>
      </c>
      <c r="E36" s="172"/>
      <c r="F36" s="157">
        <f t="shared" si="1"/>
        <v>16.804955336938377</v>
      </c>
      <c r="H36" s="420" t="s">
        <v>104</v>
      </c>
      <c r="I36" s="420" t="s">
        <v>75</v>
      </c>
      <c r="J36" s="421">
        <v>127</v>
      </c>
      <c r="K36" s="421">
        <v>108</v>
      </c>
      <c r="L36" s="421" t="s">
        <v>76</v>
      </c>
      <c r="M36" s="421" t="s">
        <v>76</v>
      </c>
      <c r="N36" s="421">
        <v>26</v>
      </c>
      <c r="O36" s="421"/>
      <c r="P36" s="421"/>
      <c r="Q36" s="421">
        <v>24.07</v>
      </c>
      <c r="R36" s="421" t="s">
        <v>76</v>
      </c>
    </row>
    <row r="37" spans="1:18">
      <c r="A37" s="166">
        <v>1825</v>
      </c>
      <c r="B37" s="172">
        <f t="shared" si="2"/>
        <v>47.72</v>
      </c>
      <c r="C37" s="172"/>
      <c r="D37" s="172">
        <f>$B$236+ricco_price_effects_and_etr!$D$25*100</f>
        <v>14.355874079073295</v>
      </c>
      <c r="E37" s="172"/>
      <c r="F37" s="157">
        <f t="shared" si="1"/>
        <v>16.804955336938377</v>
      </c>
      <c r="H37" s="420" t="s">
        <v>105</v>
      </c>
      <c r="I37" s="420" t="s">
        <v>75</v>
      </c>
      <c r="J37" s="421">
        <v>94</v>
      </c>
      <c r="K37" s="421">
        <v>74</v>
      </c>
      <c r="L37" s="421" t="s">
        <v>76</v>
      </c>
      <c r="M37" s="421" t="s">
        <v>76</v>
      </c>
      <c r="N37" s="421">
        <v>21</v>
      </c>
      <c r="O37" s="421"/>
      <c r="P37" s="421"/>
      <c r="Q37" s="421">
        <v>28.38</v>
      </c>
      <c r="R37" s="421" t="s">
        <v>76</v>
      </c>
    </row>
    <row r="38" spans="1:18">
      <c r="A38" s="166">
        <v>1826</v>
      </c>
      <c r="B38" s="172">
        <f t="shared" si="2"/>
        <v>45.28</v>
      </c>
      <c r="C38" s="172"/>
      <c r="D38" s="172">
        <f>$B$236+ricco_price_effects_and_etr!$D$25*100</f>
        <v>14.355874079073295</v>
      </c>
      <c r="E38" s="172"/>
      <c r="F38" s="157">
        <f t="shared" si="1"/>
        <v>16.804955336938377</v>
      </c>
      <c r="H38" s="420" t="s">
        <v>106</v>
      </c>
      <c r="I38" s="420" t="s">
        <v>75</v>
      </c>
      <c r="J38" s="421">
        <v>75</v>
      </c>
      <c r="K38" s="421">
        <v>57</v>
      </c>
      <c r="L38" s="421" t="s">
        <v>76</v>
      </c>
      <c r="M38" s="421" t="s">
        <v>76</v>
      </c>
      <c r="N38" s="421">
        <v>17</v>
      </c>
      <c r="O38" s="421"/>
      <c r="P38" s="421"/>
      <c r="Q38" s="421">
        <v>29.82</v>
      </c>
      <c r="R38" s="421" t="s">
        <v>76</v>
      </c>
    </row>
    <row r="39" spans="1:18">
      <c r="A39" s="166">
        <v>1827</v>
      </c>
      <c r="B39" s="172">
        <f t="shared" si="2"/>
        <v>50.93</v>
      </c>
      <c r="C39" s="172"/>
      <c r="D39" s="172">
        <f>$B$236+ricco_price_effects_and_etr!$D$25*100</f>
        <v>14.355874079073295</v>
      </c>
      <c r="E39" s="172"/>
      <c r="F39" s="157">
        <f t="shared" si="1"/>
        <v>16.804955336938377</v>
      </c>
      <c r="H39" s="420" t="s">
        <v>107</v>
      </c>
      <c r="I39" s="420" t="s">
        <v>75</v>
      </c>
      <c r="J39" s="421">
        <v>55</v>
      </c>
      <c r="K39" s="421">
        <v>44</v>
      </c>
      <c r="L39" s="421">
        <v>2</v>
      </c>
      <c r="M39" s="421">
        <v>42</v>
      </c>
      <c r="N39" s="421">
        <v>19</v>
      </c>
      <c r="O39" s="421"/>
      <c r="P39" s="421"/>
      <c r="Q39" s="421">
        <v>43.21</v>
      </c>
      <c r="R39" s="421">
        <v>45</v>
      </c>
    </row>
    <row r="40" spans="1:18">
      <c r="A40" s="166">
        <v>1828</v>
      </c>
      <c r="B40" s="172">
        <f t="shared" si="2"/>
        <v>44.74</v>
      </c>
      <c r="C40" s="172"/>
      <c r="D40" s="172">
        <f>$B$236+ricco_price_effects_and_etr!$D$25*100</f>
        <v>14.355874079073295</v>
      </c>
      <c r="E40" s="172"/>
      <c r="F40" s="157">
        <f t="shared" si="1"/>
        <v>16.804955336938377</v>
      </c>
      <c r="H40" s="420" t="s">
        <v>108</v>
      </c>
      <c r="I40" s="420" t="s">
        <v>75</v>
      </c>
      <c r="J40" s="421">
        <v>80</v>
      </c>
      <c r="K40" s="421">
        <v>68</v>
      </c>
      <c r="L40" s="421">
        <v>4</v>
      </c>
      <c r="M40" s="421">
        <v>65</v>
      </c>
      <c r="N40" s="421">
        <v>24</v>
      </c>
      <c r="O40" s="421"/>
      <c r="P40" s="421"/>
      <c r="Q40" s="421">
        <v>35.229999999999997</v>
      </c>
      <c r="R40" s="421">
        <v>37.159999999999997</v>
      </c>
    </row>
    <row r="41" spans="1:18">
      <c r="A41" s="166">
        <v>1829</v>
      </c>
      <c r="B41" s="172">
        <f t="shared" si="2"/>
        <v>50.73</v>
      </c>
      <c r="C41" s="172"/>
      <c r="D41" s="172">
        <f>$B$236+ricco_price_effects_and_etr!$D$25*100</f>
        <v>14.355874079073295</v>
      </c>
      <c r="E41" s="172"/>
      <c r="F41" s="157">
        <f t="shared" si="1"/>
        <v>16.804955336938377</v>
      </c>
      <c r="H41" s="420" t="s">
        <v>109</v>
      </c>
      <c r="I41" s="420" t="s">
        <v>75</v>
      </c>
      <c r="J41" s="421">
        <v>72</v>
      </c>
      <c r="K41" s="421">
        <v>51</v>
      </c>
      <c r="L41" s="421">
        <v>3</v>
      </c>
      <c r="M41" s="421">
        <v>49</v>
      </c>
      <c r="N41" s="421">
        <v>22</v>
      </c>
      <c r="O41" s="421"/>
      <c r="P41" s="421"/>
      <c r="Q41" s="421">
        <v>43.69</v>
      </c>
      <c r="R41" s="421">
        <v>46.04</v>
      </c>
    </row>
    <row r="42" spans="1:18">
      <c r="A42" s="166">
        <v>1830</v>
      </c>
      <c r="B42" s="172">
        <f t="shared" si="2"/>
        <v>57.32</v>
      </c>
      <c r="C42" s="172"/>
      <c r="D42" s="172">
        <f>$B$236+ricco_price_effects_and_etr!$D$25*100</f>
        <v>14.355874079073295</v>
      </c>
      <c r="E42" s="172"/>
      <c r="F42" s="157">
        <f t="shared" si="1"/>
        <v>16.804955336938377</v>
      </c>
      <c r="H42" s="420" t="s">
        <v>110</v>
      </c>
      <c r="I42" s="420" t="s">
        <v>75</v>
      </c>
      <c r="J42" s="421">
        <v>72</v>
      </c>
      <c r="K42" s="421">
        <v>54</v>
      </c>
      <c r="L42" s="421">
        <v>3</v>
      </c>
      <c r="M42" s="421">
        <v>51</v>
      </c>
      <c r="N42" s="421">
        <v>26</v>
      </c>
      <c r="O42" s="421"/>
      <c r="P42" s="421"/>
      <c r="Q42" s="421">
        <v>47.39</v>
      </c>
      <c r="R42" s="421">
        <v>50.26</v>
      </c>
    </row>
    <row r="43" spans="1:18">
      <c r="A43" s="166">
        <v>1831</v>
      </c>
      <c r="B43" s="172">
        <f t="shared" si="2"/>
        <v>44.23</v>
      </c>
      <c r="C43" s="172"/>
      <c r="D43" s="172">
        <f>$B$236+ricco_price_effects_and_etr!$D$25*100</f>
        <v>14.355874079073295</v>
      </c>
      <c r="E43" s="172"/>
      <c r="F43" s="157">
        <f t="shared" si="1"/>
        <v>16.804955336938377</v>
      </c>
      <c r="H43" s="420" t="s">
        <v>111</v>
      </c>
      <c r="I43" s="420" t="s">
        <v>75</v>
      </c>
      <c r="J43" s="421">
        <v>90</v>
      </c>
      <c r="K43" s="421">
        <v>66</v>
      </c>
      <c r="L43" s="421">
        <v>4</v>
      </c>
      <c r="M43" s="421">
        <v>63</v>
      </c>
      <c r="N43" s="421">
        <v>32</v>
      </c>
      <c r="O43" s="421"/>
      <c r="P43" s="421"/>
      <c r="Q43" s="421">
        <v>47.72</v>
      </c>
      <c r="R43" s="421">
        <v>50.54</v>
      </c>
    </row>
    <row r="44" spans="1:18">
      <c r="A44" s="166">
        <v>1832</v>
      </c>
      <c r="B44" s="172">
        <f t="shared" si="2"/>
        <v>38.97</v>
      </c>
      <c r="C44" s="172"/>
      <c r="D44" s="172">
        <f>$B$236+ricco_price_effects_and_etr!$D$25*100</f>
        <v>14.355874079073295</v>
      </c>
      <c r="E44" s="172"/>
      <c r="F44" s="157">
        <f t="shared" si="1"/>
        <v>16.804955336938377</v>
      </c>
      <c r="H44" s="420" t="s">
        <v>112</v>
      </c>
      <c r="I44" s="420" t="s">
        <v>75</v>
      </c>
      <c r="J44" s="421">
        <v>78</v>
      </c>
      <c r="K44" s="421">
        <v>58</v>
      </c>
      <c r="L44" s="421">
        <v>5</v>
      </c>
      <c r="M44" s="421">
        <v>53</v>
      </c>
      <c r="N44" s="421">
        <v>26</v>
      </c>
      <c r="O44" s="421"/>
      <c r="P44" s="421"/>
      <c r="Q44" s="421">
        <v>45.28</v>
      </c>
      <c r="R44" s="421">
        <v>49.26</v>
      </c>
    </row>
    <row r="45" spans="1:18">
      <c r="A45" s="166">
        <v>1833</v>
      </c>
      <c r="B45" s="172">
        <f t="shared" si="2"/>
        <v>28.99</v>
      </c>
      <c r="C45" s="172"/>
      <c r="D45" s="172">
        <f>$B$236+ricco_price_effects_and_etr!$D$25*100</f>
        <v>14.355874079073295</v>
      </c>
      <c r="E45" s="172"/>
      <c r="F45" s="157">
        <f t="shared" si="1"/>
        <v>16.804955336938377</v>
      </c>
      <c r="H45" s="420" t="s">
        <v>113</v>
      </c>
      <c r="I45" s="420" t="s">
        <v>75</v>
      </c>
      <c r="J45" s="421">
        <v>71</v>
      </c>
      <c r="K45" s="421">
        <v>55</v>
      </c>
      <c r="L45" s="421">
        <v>3</v>
      </c>
      <c r="M45" s="421">
        <v>52</v>
      </c>
      <c r="N45" s="421">
        <v>28</v>
      </c>
      <c r="O45" s="421"/>
      <c r="P45" s="421"/>
      <c r="Q45" s="421">
        <v>50.93</v>
      </c>
      <c r="R45" s="421">
        <v>53.76</v>
      </c>
    </row>
    <row r="46" spans="1:18">
      <c r="A46" s="166">
        <v>1834</v>
      </c>
      <c r="B46" s="172">
        <f t="shared" si="2"/>
        <v>21.83</v>
      </c>
      <c r="C46" s="172"/>
      <c r="D46" s="172">
        <f>$B$236+ricco_price_effects_and_etr!$D$25*100</f>
        <v>14.355874079073295</v>
      </c>
      <c r="E46" s="172"/>
      <c r="F46" s="157">
        <f t="shared" si="1"/>
        <v>16.804955336938377</v>
      </c>
      <c r="H46" s="420" t="s">
        <v>114</v>
      </c>
      <c r="I46" s="420" t="s">
        <v>75</v>
      </c>
      <c r="J46" s="421">
        <v>81</v>
      </c>
      <c r="K46" s="421">
        <v>67</v>
      </c>
      <c r="L46" s="421">
        <v>4</v>
      </c>
      <c r="M46" s="421">
        <v>63</v>
      </c>
      <c r="N46" s="421">
        <v>30</v>
      </c>
      <c r="O46" s="421"/>
      <c r="P46" s="421"/>
      <c r="Q46" s="421">
        <v>44.74</v>
      </c>
      <c r="R46" s="421">
        <v>47.59</v>
      </c>
    </row>
    <row r="47" spans="1:18">
      <c r="A47" s="166">
        <v>1835</v>
      </c>
      <c r="B47" s="172">
        <f t="shared" si="2"/>
        <v>21.25</v>
      </c>
      <c r="C47" s="172"/>
      <c r="D47" s="172">
        <f>$B$236+ricco_price_effects_and_etr!$D$25*100</f>
        <v>14.355874079073295</v>
      </c>
      <c r="E47" s="172"/>
      <c r="F47" s="157">
        <f t="shared" si="1"/>
        <v>16.804955336938377</v>
      </c>
      <c r="H47" s="420" t="s">
        <v>115</v>
      </c>
      <c r="I47" s="420" t="s">
        <v>75</v>
      </c>
      <c r="J47" s="421">
        <v>67</v>
      </c>
      <c r="K47" s="421">
        <v>55</v>
      </c>
      <c r="L47" s="421">
        <v>3</v>
      </c>
      <c r="M47" s="421">
        <v>51</v>
      </c>
      <c r="N47" s="421">
        <v>28</v>
      </c>
      <c r="O47" s="421"/>
      <c r="P47" s="421"/>
      <c r="Q47" s="421">
        <v>50.73</v>
      </c>
      <c r="R47" s="421">
        <v>54.17</v>
      </c>
    </row>
    <row r="48" spans="1:18">
      <c r="A48" s="166">
        <v>1836</v>
      </c>
      <c r="B48" s="172">
        <f t="shared" si="2"/>
        <v>19.510000000000002</v>
      </c>
      <c r="C48" s="172"/>
      <c r="D48" s="172">
        <f>$B$236+ricco_price_effects_and_etr!$D$25*100</f>
        <v>14.355874079073295</v>
      </c>
      <c r="E48" s="172"/>
      <c r="F48" s="157">
        <f t="shared" si="1"/>
        <v>16.804955336938377</v>
      </c>
      <c r="H48" s="420" t="s">
        <v>116</v>
      </c>
      <c r="I48" s="420" t="s">
        <v>75</v>
      </c>
      <c r="J48" s="421">
        <v>63</v>
      </c>
      <c r="K48" s="421">
        <v>50</v>
      </c>
      <c r="L48" s="421">
        <v>4</v>
      </c>
      <c r="M48" s="421">
        <v>46</v>
      </c>
      <c r="N48" s="421">
        <v>28</v>
      </c>
      <c r="O48" s="421"/>
      <c r="P48" s="421"/>
      <c r="Q48" s="421">
        <v>57.32</v>
      </c>
      <c r="R48" s="421">
        <v>61.69</v>
      </c>
    </row>
    <row r="49" spans="1:18">
      <c r="A49" s="166">
        <v>1837</v>
      </c>
      <c r="B49" s="172">
        <f t="shared" si="2"/>
        <v>16.05</v>
      </c>
      <c r="C49" s="172"/>
      <c r="D49" s="172">
        <f>$B$236+ricco_price_effects_and_etr!$D$25*100</f>
        <v>14.355874079073295</v>
      </c>
      <c r="E49" s="172"/>
      <c r="F49" s="157">
        <f t="shared" si="1"/>
        <v>16.804955336938377</v>
      </c>
      <c r="H49" s="420" t="s">
        <v>117</v>
      </c>
      <c r="I49" s="420" t="s">
        <v>75</v>
      </c>
      <c r="J49" s="421">
        <v>96</v>
      </c>
      <c r="K49" s="421">
        <v>83</v>
      </c>
      <c r="L49" s="421">
        <v>6</v>
      </c>
      <c r="M49" s="421">
        <v>77</v>
      </c>
      <c r="N49" s="421">
        <v>37</v>
      </c>
      <c r="O49" s="421"/>
      <c r="P49" s="421"/>
      <c r="Q49" s="421">
        <v>44.23</v>
      </c>
      <c r="R49" s="421">
        <v>47.38</v>
      </c>
    </row>
    <row r="50" spans="1:18">
      <c r="A50" s="166">
        <v>1838</v>
      </c>
      <c r="B50" s="172">
        <f t="shared" si="2"/>
        <v>23.11</v>
      </c>
      <c r="C50" s="172"/>
      <c r="D50" s="172">
        <f>$B$236+ricco_price_effects_and_etr!$D$25*100</f>
        <v>14.355874079073295</v>
      </c>
      <c r="E50" s="172"/>
      <c r="F50" s="157">
        <f t="shared" si="1"/>
        <v>16.804955336938377</v>
      </c>
      <c r="H50" s="420" t="s">
        <v>118</v>
      </c>
      <c r="I50" s="420" t="s">
        <v>75</v>
      </c>
      <c r="J50" s="421">
        <v>95</v>
      </c>
      <c r="K50" s="421">
        <v>75</v>
      </c>
      <c r="L50" s="421">
        <v>7</v>
      </c>
      <c r="M50" s="421">
        <v>68</v>
      </c>
      <c r="N50" s="421">
        <v>29</v>
      </c>
      <c r="O50" s="421"/>
      <c r="P50" s="421"/>
      <c r="Q50" s="421">
        <v>38.97</v>
      </c>
      <c r="R50" s="421">
        <v>42.96</v>
      </c>
    </row>
    <row r="51" spans="1:18">
      <c r="A51" s="166">
        <v>1839</v>
      </c>
      <c r="B51" s="172">
        <f t="shared" si="2"/>
        <v>17.57</v>
      </c>
      <c r="C51" s="172"/>
      <c r="D51" s="172">
        <f>$B$236+ricco_price_effects_and_etr!$D$25*100</f>
        <v>14.355874079073295</v>
      </c>
      <c r="E51" s="172"/>
      <c r="F51" s="157">
        <f t="shared" si="1"/>
        <v>16.804955336938377</v>
      </c>
      <c r="H51" s="420" t="s">
        <v>119</v>
      </c>
      <c r="I51" s="420" t="s">
        <v>75</v>
      </c>
      <c r="J51" s="421">
        <v>101</v>
      </c>
      <c r="K51" s="421">
        <v>83</v>
      </c>
      <c r="L51" s="421">
        <v>20</v>
      </c>
      <c r="M51" s="421">
        <v>63</v>
      </c>
      <c r="N51" s="421">
        <v>24</v>
      </c>
      <c r="O51" s="421"/>
      <c r="P51" s="421"/>
      <c r="Q51" s="421">
        <v>28.99</v>
      </c>
      <c r="R51" s="421">
        <v>38.25</v>
      </c>
    </row>
    <row r="52" spans="1:18">
      <c r="A52" s="166">
        <v>1840</v>
      </c>
      <c r="B52" s="172">
        <f t="shared" si="2"/>
        <v>17.600000000000001</v>
      </c>
      <c r="C52" s="172"/>
      <c r="D52" s="172">
        <f>$B$236+ricco_price_effects_and_etr!$D$25*100</f>
        <v>14.355874079073295</v>
      </c>
      <c r="E52" s="172"/>
      <c r="F52" s="157">
        <f t="shared" si="1"/>
        <v>16.804955336938377</v>
      </c>
      <c r="H52" s="420" t="s">
        <v>120</v>
      </c>
      <c r="I52" s="420" t="s">
        <v>75</v>
      </c>
      <c r="J52" s="421">
        <v>109</v>
      </c>
      <c r="K52" s="421">
        <v>87</v>
      </c>
      <c r="L52" s="421">
        <v>40</v>
      </c>
      <c r="M52" s="421">
        <v>47</v>
      </c>
      <c r="N52" s="421">
        <v>19</v>
      </c>
      <c r="O52" s="421"/>
      <c r="P52" s="421"/>
      <c r="Q52" s="421">
        <v>21.83</v>
      </c>
      <c r="R52" s="421">
        <v>40.19</v>
      </c>
    </row>
    <row r="53" spans="1:18">
      <c r="A53" s="166">
        <v>1841</v>
      </c>
      <c r="B53" s="172">
        <f t="shared" si="2"/>
        <v>17.37</v>
      </c>
      <c r="C53" s="172"/>
      <c r="D53" s="172">
        <f>$B$236+ricco_price_effects_and_etr!$D$25*100</f>
        <v>14.355874079073295</v>
      </c>
      <c r="E53" s="172"/>
      <c r="F53" s="157">
        <f t="shared" si="1"/>
        <v>16.804955336938377</v>
      </c>
      <c r="H53" s="420" t="s">
        <v>121</v>
      </c>
      <c r="I53" s="420" t="s">
        <v>75</v>
      </c>
      <c r="J53" s="421">
        <v>137</v>
      </c>
      <c r="K53" s="421">
        <v>122</v>
      </c>
      <c r="L53" s="421">
        <v>58</v>
      </c>
      <c r="M53" s="421">
        <v>64</v>
      </c>
      <c r="N53" s="421">
        <v>26</v>
      </c>
      <c r="O53" s="421"/>
      <c r="P53" s="421"/>
      <c r="Q53" s="421">
        <v>21.25</v>
      </c>
      <c r="R53" s="421">
        <v>40.380000000000003</v>
      </c>
    </row>
    <row r="54" spans="1:18">
      <c r="A54" s="166">
        <v>1842</v>
      </c>
      <c r="B54" s="172">
        <f t="shared" si="2"/>
        <v>18.96</v>
      </c>
      <c r="C54" s="172"/>
      <c r="D54" s="172">
        <f>$B$236+ricco_price_effects_and_etr!$D$25*100</f>
        <v>14.355874079073295</v>
      </c>
      <c r="E54" s="172"/>
      <c r="F54" s="157">
        <f t="shared" si="1"/>
        <v>16.804955336938377</v>
      </c>
      <c r="H54" s="420" t="s">
        <v>122</v>
      </c>
      <c r="I54" s="420" t="s">
        <v>75</v>
      </c>
      <c r="J54" s="421">
        <v>177</v>
      </c>
      <c r="K54" s="421">
        <v>159</v>
      </c>
      <c r="L54" s="421">
        <v>70</v>
      </c>
      <c r="M54" s="421">
        <v>89</v>
      </c>
      <c r="N54" s="421">
        <v>31</v>
      </c>
      <c r="O54" s="421"/>
      <c r="P54" s="421"/>
      <c r="Q54" s="421">
        <v>19.510000000000002</v>
      </c>
      <c r="R54" s="421">
        <v>34.94</v>
      </c>
    </row>
    <row r="55" spans="1:18">
      <c r="A55" s="166">
        <v>1843</v>
      </c>
      <c r="B55" s="172">
        <f t="shared" si="2"/>
        <v>20.13</v>
      </c>
      <c r="C55" s="172"/>
      <c r="D55" s="172">
        <f>$B$236+ricco_price_effects_and_etr!$D$25*100</f>
        <v>14.355874079073295</v>
      </c>
      <c r="E55" s="172"/>
      <c r="F55" s="157">
        <f t="shared" si="1"/>
        <v>16.804955336938377</v>
      </c>
      <c r="H55" s="420" t="s">
        <v>123</v>
      </c>
      <c r="I55" s="420" t="s">
        <v>75</v>
      </c>
      <c r="J55" s="421">
        <v>130</v>
      </c>
      <c r="K55" s="421">
        <v>113</v>
      </c>
      <c r="L55" s="421">
        <v>51</v>
      </c>
      <c r="M55" s="421">
        <v>62</v>
      </c>
      <c r="N55" s="421">
        <v>18</v>
      </c>
      <c r="O55" s="421"/>
      <c r="P55" s="421"/>
      <c r="Q55" s="421">
        <v>16.05</v>
      </c>
      <c r="R55" s="421">
        <v>29.19</v>
      </c>
    </row>
    <row r="56" spans="1:18">
      <c r="A56" s="166">
        <v>1844</v>
      </c>
      <c r="B56" s="172">
        <f t="shared" si="2"/>
        <v>30.5</v>
      </c>
      <c r="C56" s="172"/>
      <c r="D56" s="172">
        <f>$B$236+ricco_price_effects_and_etr!$D$25*100</f>
        <v>14.355874079073295</v>
      </c>
      <c r="E56" s="172"/>
      <c r="F56" s="157">
        <f t="shared" si="1"/>
        <v>16.804955336938377</v>
      </c>
      <c r="H56" s="420" t="s">
        <v>124</v>
      </c>
      <c r="I56" s="420" t="s">
        <v>75</v>
      </c>
      <c r="J56" s="421">
        <v>96</v>
      </c>
      <c r="K56" s="421">
        <v>87</v>
      </c>
      <c r="L56" s="421">
        <v>38</v>
      </c>
      <c r="M56" s="421">
        <v>48</v>
      </c>
      <c r="N56" s="421">
        <v>20</v>
      </c>
      <c r="O56" s="421"/>
      <c r="P56" s="421"/>
      <c r="Q56" s="421">
        <v>23.11</v>
      </c>
      <c r="R56" s="421">
        <v>41.33</v>
      </c>
    </row>
    <row r="57" spans="1:18">
      <c r="A57" s="166">
        <v>1845</v>
      </c>
      <c r="B57" s="172">
        <f t="shared" si="2"/>
        <v>29.34</v>
      </c>
      <c r="C57" s="172"/>
      <c r="D57" s="172">
        <f>$B$236+ricco_price_effects_and_etr!$D$25*100</f>
        <v>14.355874079073295</v>
      </c>
      <c r="E57" s="172"/>
      <c r="F57" s="157">
        <f t="shared" si="1"/>
        <v>16.804955336938377</v>
      </c>
      <c r="H57" s="420" t="s">
        <v>125</v>
      </c>
      <c r="I57" s="420" t="s">
        <v>75</v>
      </c>
      <c r="J57" s="421">
        <v>156</v>
      </c>
      <c r="K57" s="421">
        <v>146</v>
      </c>
      <c r="L57" s="421">
        <v>65</v>
      </c>
      <c r="M57" s="421">
        <v>81</v>
      </c>
      <c r="N57" s="421">
        <v>26</v>
      </c>
      <c r="O57" s="421"/>
      <c r="P57" s="421"/>
      <c r="Q57" s="421">
        <v>17.57</v>
      </c>
      <c r="R57" s="421">
        <v>31.77</v>
      </c>
    </row>
    <row r="58" spans="1:18">
      <c r="A58" s="166">
        <v>1846</v>
      </c>
      <c r="B58" s="172">
        <f t="shared" si="2"/>
        <v>27.7</v>
      </c>
      <c r="C58" s="172"/>
      <c r="D58" s="172">
        <f>$B$236+ricco_price_effects_and_etr!$D$25*100</f>
        <v>14.355874079073295</v>
      </c>
      <c r="E58" s="172"/>
      <c r="F58" s="157">
        <f t="shared" si="1"/>
        <v>16.804955336938377</v>
      </c>
      <c r="H58" s="420" t="s">
        <v>126</v>
      </c>
      <c r="I58" s="420" t="s">
        <v>75</v>
      </c>
      <c r="J58" s="421">
        <v>98</v>
      </c>
      <c r="K58" s="421">
        <v>86</v>
      </c>
      <c r="L58" s="421">
        <v>42</v>
      </c>
      <c r="M58" s="421">
        <v>44</v>
      </c>
      <c r="N58" s="421">
        <v>15</v>
      </c>
      <c r="O58" s="421"/>
      <c r="P58" s="421"/>
      <c r="Q58" s="421">
        <v>17.600000000000001</v>
      </c>
      <c r="R58" s="421">
        <v>34.39</v>
      </c>
    </row>
    <row r="59" spans="1:18">
      <c r="A59" s="166">
        <v>1847</v>
      </c>
      <c r="B59" s="172">
        <f t="shared" si="2"/>
        <v>24.2</v>
      </c>
      <c r="C59" s="172"/>
      <c r="D59" s="172">
        <f>$B$236+ricco_price_effects_and_etr!$D$25*100</f>
        <v>14.355874079073295</v>
      </c>
      <c r="E59" s="172"/>
      <c r="F59" s="157">
        <f t="shared" si="1"/>
        <v>16.804955336938377</v>
      </c>
      <c r="H59" s="420" t="s">
        <v>127</v>
      </c>
      <c r="I59" s="420" t="s">
        <v>75</v>
      </c>
      <c r="J59" s="421">
        <v>123</v>
      </c>
      <c r="K59" s="421">
        <v>115</v>
      </c>
      <c r="L59" s="421">
        <v>57</v>
      </c>
      <c r="M59" s="421">
        <v>58</v>
      </c>
      <c r="N59" s="421">
        <v>20</v>
      </c>
      <c r="O59" s="421"/>
      <c r="P59" s="421"/>
      <c r="Q59" s="421">
        <v>17.37</v>
      </c>
      <c r="R59" s="421">
        <v>34.56</v>
      </c>
    </row>
    <row r="60" spans="1:18">
      <c r="A60" s="166">
        <v>1848</v>
      </c>
      <c r="B60" s="172">
        <f t="shared" si="2"/>
        <v>23.49</v>
      </c>
      <c r="C60" s="172"/>
      <c r="D60" s="172">
        <f>$B$236+ricco_price_effects_and_etr!$D$25*100</f>
        <v>14.355874079073295</v>
      </c>
      <c r="E60" s="172"/>
      <c r="F60" s="157">
        <f t="shared" si="1"/>
        <v>16.804955336938377</v>
      </c>
      <c r="H60" s="420" t="s">
        <v>128</v>
      </c>
      <c r="I60" s="420" t="s">
        <v>75</v>
      </c>
      <c r="J60" s="421">
        <v>96</v>
      </c>
      <c r="K60" s="421">
        <v>88</v>
      </c>
      <c r="L60" s="421">
        <v>23</v>
      </c>
      <c r="M60" s="421">
        <v>65</v>
      </c>
      <c r="N60" s="421">
        <v>17</v>
      </c>
      <c r="O60" s="421"/>
      <c r="P60" s="421"/>
      <c r="Q60" s="421">
        <v>18.96</v>
      </c>
      <c r="R60" s="421">
        <v>25.81</v>
      </c>
    </row>
    <row r="61" spans="1:18">
      <c r="A61" s="166">
        <v>1849</v>
      </c>
      <c r="B61" s="172">
        <f t="shared" si="2"/>
        <v>23.41</v>
      </c>
      <c r="C61" s="172"/>
      <c r="D61" s="172">
        <f>$B$236+ricco_price_effects_and_etr!$D$25*100</f>
        <v>14.355874079073295</v>
      </c>
      <c r="E61" s="172"/>
      <c r="F61" s="157">
        <f t="shared" si="1"/>
        <v>16.804955336938377</v>
      </c>
      <c r="H61" s="420" t="s">
        <v>129</v>
      </c>
      <c r="I61" s="420" t="s">
        <v>130</v>
      </c>
      <c r="J61" s="421">
        <v>42</v>
      </c>
      <c r="K61" s="421">
        <v>37</v>
      </c>
      <c r="L61" s="421">
        <v>12</v>
      </c>
      <c r="M61" s="421">
        <v>26</v>
      </c>
      <c r="N61" s="421">
        <v>8</v>
      </c>
      <c r="O61" s="421"/>
      <c r="P61" s="421"/>
      <c r="Q61" s="421">
        <v>20.13</v>
      </c>
      <c r="R61" s="421">
        <v>29.19</v>
      </c>
    </row>
    <row r="62" spans="1:18">
      <c r="A62" s="166">
        <v>1850</v>
      </c>
      <c r="B62" s="172">
        <f t="shared" si="2"/>
        <v>24.5</v>
      </c>
      <c r="C62" s="172"/>
      <c r="D62" s="172">
        <f>$B$236+ricco_price_effects_and_etr!$D$25*100</f>
        <v>14.355874079073295</v>
      </c>
      <c r="E62" s="172"/>
      <c r="F62" s="157">
        <f t="shared" si="1"/>
        <v>16.804955336938377</v>
      </c>
      <c r="H62" s="420" t="s">
        <v>131</v>
      </c>
      <c r="I62" s="420" t="s">
        <v>75</v>
      </c>
      <c r="J62" s="421">
        <v>103</v>
      </c>
      <c r="K62" s="421">
        <v>96</v>
      </c>
      <c r="L62" s="421">
        <v>17</v>
      </c>
      <c r="M62" s="421">
        <v>80</v>
      </c>
      <c r="N62" s="421">
        <v>29</v>
      </c>
      <c r="O62" s="421"/>
      <c r="P62" s="421"/>
      <c r="Q62" s="421">
        <v>30.5</v>
      </c>
      <c r="R62" s="421">
        <v>36.880000000000003</v>
      </c>
    </row>
    <row r="63" spans="1:18">
      <c r="A63" s="166">
        <v>1851</v>
      </c>
      <c r="B63" s="172">
        <f t="shared" si="2"/>
        <v>24.26</v>
      </c>
      <c r="C63" s="172"/>
      <c r="D63" s="172">
        <f>$B$236+ricco_price_effects_and_etr!$D$25*100</f>
        <v>14.355874079073295</v>
      </c>
      <c r="E63" s="172"/>
      <c r="F63" s="157">
        <f t="shared" si="1"/>
        <v>16.804955336938377</v>
      </c>
      <c r="H63" s="420" t="s">
        <v>132</v>
      </c>
      <c r="I63" s="420" t="s">
        <v>75</v>
      </c>
      <c r="J63" s="421">
        <v>113</v>
      </c>
      <c r="K63" s="421">
        <v>106</v>
      </c>
      <c r="L63" s="421">
        <v>16</v>
      </c>
      <c r="M63" s="421">
        <v>90</v>
      </c>
      <c r="N63" s="421">
        <v>31</v>
      </c>
      <c r="O63" s="421"/>
      <c r="P63" s="421"/>
      <c r="Q63" s="421">
        <v>29.34</v>
      </c>
      <c r="R63" s="421">
        <v>34.450000000000003</v>
      </c>
    </row>
    <row r="64" spans="1:18">
      <c r="A64" s="166">
        <v>1852</v>
      </c>
      <c r="B64" s="172">
        <f t="shared" si="2"/>
        <v>24.35</v>
      </c>
      <c r="C64" s="172"/>
      <c r="D64" s="172">
        <f>$B$236+ricco_price_effects_and_etr!$D$25*100</f>
        <v>14.355874079073295</v>
      </c>
      <c r="E64" s="172"/>
      <c r="F64" s="157">
        <f t="shared" si="1"/>
        <v>16.804955336938377</v>
      </c>
      <c r="H64" s="420" t="s">
        <v>133</v>
      </c>
      <c r="I64" s="420" t="s">
        <v>75</v>
      </c>
      <c r="J64" s="421">
        <v>118</v>
      </c>
      <c r="K64" s="421">
        <v>110</v>
      </c>
      <c r="L64" s="421">
        <v>19</v>
      </c>
      <c r="M64" s="421">
        <v>91</v>
      </c>
      <c r="N64" s="421">
        <v>30</v>
      </c>
      <c r="O64" s="421"/>
      <c r="P64" s="421"/>
      <c r="Q64" s="421">
        <v>27.7</v>
      </c>
      <c r="R64" s="421">
        <v>33.35</v>
      </c>
    </row>
    <row r="65" spans="1:18">
      <c r="A65" s="166">
        <v>1853</v>
      </c>
      <c r="B65" s="172">
        <f t="shared" si="2"/>
        <v>23.37</v>
      </c>
      <c r="C65" s="172"/>
      <c r="D65" s="172">
        <f>$B$236+ricco_price_effects_and_etr!$D$25*100</f>
        <v>14.355874079073295</v>
      </c>
      <c r="E65" s="172"/>
      <c r="F65" s="157">
        <f t="shared" si="1"/>
        <v>16.804955336938377</v>
      </c>
      <c r="H65" s="420" t="s">
        <v>134</v>
      </c>
      <c r="I65" s="420" t="s">
        <v>75</v>
      </c>
      <c r="J65" s="421">
        <v>122</v>
      </c>
      <c r="K65" s="421">
        <v>116</v>
      </c>
      <c r="L65" s="421">
        <v>16</v>
      </c>
      <c r="M65" s="421">
        <v>100</v>
      </c>
      <c r="N65" s="421">
        <v>28</v>
      </c>
      <c r="O65" s="421"/>
      <c r="P65" s="421"/>
      <c r="Q65" s="421">
        <v>24.2</v>
      </c>
      <c r="R65" s="421">
        <v>28.02</v>
      </c>
    </row>
    <row r="66" spans="1:18">
      <c r="A66" s="166">
        <v>1854</v>
      </c>
      <c r="B66" s="172">
        <f t="shared" ref="B66:B97" si="3">Q72</f>
        <v>23.52</v>
      </c>
      <c r="C66" s="172"/>
      <c r="D66" s="172">
        <f>$B$236+ricco_price_effects_and_etr!$D$25*100</f>
        <v>14.355874079073295</v>
      </c>
      <c r="E66" s="172"/>
      <c r="F66" s="157">
        <f t="shared" ref="F66:F129" si="4">$E$237</f>
        <v>16.804955336938377</v>
      </c>
      <c r="H66" s="420" t="s">
        <v>135</v>
      </c>
      <c r="I66" s="420" t="s">
        <v>75</v>
      </c>
      <c r="J66" s="421">
        <v>149</v>
      </c>
      <c r="K66" s="421">
        <v>141</v>
      </c>
      <c r="L66" s="421">
        <v>15</v>
      </c>
      <c r="M66" s="421">
        <v>126</v>
      </c>
      <c r="N66" s="421">
        <v>33</v>
      </c>
      <c r="O66" s="421"/>
      <c r="P66" s="421"/>
      <c r="Q66" s="421">
        <v>23.49</v>
      </c>
      <c r="R66" s="421">
        <v>26.28</v>
      </c>
    </row>
    <row r="67" spans="1:18">
      <c r="A67" s="166">
        <v>1855</v>
      </c>
      <c r="B67" s="172">
        <f t="shared" si="3"/>
        <v>23.36</v>
      </c>
      <c r="C67" s="172"/>
      <c r="D67" s="172">
        <f>$B$236+ricco_price_effects_and_etr!$D$25*100</f>
        <v>14.355874079073295</v>
      </c>
      <c r="E67" s="172"/>
      <c r="F67" s="157">
        <f t="shared" si="4"/>
        <v>16.804955336938377</v>
      </c>
      <c r="H67" s="420" t="s">
        <v>136</v>
      </c>
      <c r="I67" s="420" t="s">
        <v>75</v>
      </c>
      <c r="J67" s="421">
        <v>141</v>
      </c>
      <c r="K67" s="421">
        <v>133</v>
      </c>
      <c r="L67" s="421">
        <v>14</v>
      </c>
      <c r="M67" s="421">
        <v>119</v>
      </c>
      <c r="N67" s="421">
        <v>31</v>
      </c>
      <c r="O67" s="421"/>
      <c r="P67" s="421"/>
      <c r="Q67" s="421">
        <v>23.41</v>
      </c>
      <c r="R67" s="421">
        <v>26.11</v>
      </c>
    </row>
    <row r="68" spans="1:18">
      <c r="A68" s="166">
        <v>1856</v>
      </c>
      <c r="B68" s="172">
        <f t="shared" si="3"/>
        <v>21.68</v>
      </c>
      <c r="C68" s="172"/>
      <c r="D68" s="172">
        <f>$B$236+ricco_price_effects_and_etr!$D$25*100</f>
        <v>14.355874079073295</v>
      </c>
      <c r="E68" s="172"/>
      <c r="F68" s="157">
        <f t="shared" si="4"/>
        <v>16.804955336938377</v>
      </c>
      <c r="H68" s="420" t="s">
        <v>137</v>
      </c>
      <c r="I68" s="420" t="s">
        <v>75</v>
      </c>
      <c r="J68" s="421">
        <v>174</v>
      </c>
      <c r="K68" s="421">
        <v>164</v>
      </c>
      <c r="L68" s="421">
        <v>16</v>
      </c>
      <c r="M68" s="421">
        <v>148</v>
      </c>
      <c r="N68" s="421">
        <v>40</v>
      </c>
      <c r="O68" s="421"/>
      <c r="P68" s="421"/>
      <c r="Q68" s="421">
        <v>24.5</v>
      </c>
      <c r="R68" s="421">
        <v>27.14</v>
      </c>
    </row>
    <row r="69" spans="1:18">
      <c r="A69" s="166">
        <v>1857</v>
      </c>
      <c r="B69" s="172">
        <f t="shared" si="3"/>
        <v>19.09</v>
      </c>
      <c r="C69" s="172"/>
      <c r="D69" s="172">
        <f>$B$236+ricco_price_effects_and_etr!$D$25*100</f>
        <v>14.355874079073295</v>
      </c>
      <c r="E69" s="172"/>
      <c r="F69" s="157">
        <f t="shared" si="4"/>
        <v>16.804955336938377</v>
      </c>
      <c r="H69" s="420" t="s">
        <v>138</v>
      </c>
      <c r="I69" s="420" t="s">
        <v>75</v>
      </c>
      <c r="J69" s="421">
        <v>211</v>
      </c>
      <c r="K69" s="421">
        <v>200</v>
      </c>
      <c r="L69" s="421">
        <v>18</v>
      </c>
      <c r="M69" s="421">
        <v>183</v>
      </c>
      <c r="N69" s="421">
        <v>49</v>
      </c>
      <c r="O69" s="421"/>
      <c r="P69" s="421"/>
      <c r="Q69" s="421">
        <v>24.26</v>
      </c>
      <c r="R69" s="421">
        <v>26.63</v>
      </c>
    </row>
    <row r="70" spans="1:18">
      <c r="A70" s="166">
        <v>1858</v>
      </c>
      <c r="B70" s="172">
        <f t="shared" si="3"/>
        <v>17.329999999999998</v>
      </c>
      <c r="C70" s="172"/>
      <c r="D70" s="172">
        <f>$B$236+ricco_price_effects_and_etr!$D$25*100</f>
        <v>14.355874079073295</v>
      </c>
      <c r="E70" s="172"/>
      <c r="F70" s="157">
        <f t="shared" si="4"/>
        <v>16.804955336938377</v>
      </c>
      <c r="H70" s="420" t="s">
        <v>139</v>
      </c>
      <c r="I70" s="420" t="s">
        <v>75</v>
      </c>
      <c r="J70" s="421">
        <v>207</v>
      </c>
      <c r="K70" s="421">
        <v>195</v>
      </c>
      <c r="L70" s="421">
        <v>22</v>
      </c>
      <c r="M70" s="421">
        <v>174</v>
      </c>
      <c r="N70" s="421">
        <v>48</v>
      </c>
      <c r="O70" s="421"/>
      <c r="P70" s="421"/>
      <c r="Q70" s="421">
        <v>24.35</v>
      </c>
      <c r="R70" s="421">
        <v>27.38</v>
      </c>
    </row>
    <row r="71" spans="1:18">
      <c r="A71" s="166">
        <v>1859</v>
      </c>
      <c r="B71" s="172">
        <f t="shared" si="3"/>
        <v>15.43</v>
      </c>
      <c r="C71" s="172"/>
      <c r="D71" s="172">
        <f>$B$236+ricco_price_effects_and_etr!$D$25*100</f>
        <v>14.355874079073295</v>
      </c>
      <c r="E71" s="172"/>
      <c r="F71" s="157">
        <f t="shared" si="4"/>
        <v>16.804955336938377</v>
      </c>
      <c r="H71" s="420" t="s">
        <v>140</v>
      </c>
      <c r="I71" s="420" t="s">
        <v>75</v>
      </c>
      <c r="J71" s="421">
        <v>264</v>
      </c>
      <c r="K71" s="421">
        <v>250</v>
      </c>
      <c r="L71" s="421">
        <v>25</v>
      </c>
      <c r="M71" s="421">
        <v>225</v>
      </c>
      <c r="N71" s="421">
        <v>58</v>
      </c>
      <c r="O71" s="421"/>
      <c r="P71" s="421"/>
      <c r="Q71" s="421">
        <v>23.37</v>
      </c>
      <c r="R71" s="421">
        <v>25.94</v>
      </c>
    </row>
    <row r="72" spans="1:18">
      <c r="A72" s="166">
        <v>1860</v>
      </c>
      <c r="B72" s="172">
        <f t="shared" si="3"/>
        <v>15.67</v>
      </c>
      <c r="C72" s="172"/>
      <c r="D72" s="172">
        <f>$B$236+ricco_price_effects_and_etr!$D$25*100</f>
        <v>14.355874079073295</v>
      </c>
      <c r="E72" s="172"/>
      <c r="F72" s="157">
        <f t="shared" si="4"/>
        <v>16.804955336938377</v>
      </c>
      <c r="H72" s="420" t="s">
        <v>141</v>
      </c>
      <c r="I72" s="420" t="s">
        <v>75</v>
      </c>
      <c r="J72" s="421">
        <v>298</v>
      </c>
      <c r="K72" s="421">
        <v>276</v>
      </c>
      <c r="L72" s="421">
        <v>23</v>
      </c>
      <c r="M72" s="421">
        <v>254</v>
      </c>
      <c r="N72" s="421">
        <v>65</v>
      </c>
      <c r="O72" s="421"/>
      <c r="P72" s="421"/>
      <c r="Q72" s="421">
        <v>23.52</v>
      </c>
      <c r="R72" s="421">
        <v>25.61</v>
      </c>
    </row>
    <row r="73" spans="1:18">
      <c r="A73" s="166">
        <v>1861</v>
      </c>
      <c r="B73" s="172">
        <f t="shared" si="3"/>
        <v>14.21</v>
      </c>
      <c r="C73" s="172"/>
      <c r="D73" s="172">
        <f>$B$236+ricco_price_effects_and_etr!$D$25*100</f>
        <v>14.355874079073295</v>
      </c>
      <c r="E73" s="172"/>
      <c r="F73" s="157">
        <f t="shared" si="4"/>
        <v>16.804955336938377</v>
      </c>
      <c r="H73" s="420" t="s">
        <v>142</v>
      </c>
      <c r="I73" s="420" t="s">
        <v>75</v>
      </c>
      <c r="J73" s="421">
        <v>258</v>
      </c>
      <c r="K73" s="421">
        <v>232</v>
      </c>
      <c r="L73" s="421">
        <v>30</v>
      </c>
      <c r="M73" s="421">
        <v>202</v>
      </c>
      <c r="N73" s="421">
        <v>54</v>
      </c>
      <c r="O73" s="421"/>
      <c r="P73" s="421"/>
      <c r="Q73" s="421">
        <v>23.36</v>
      </c>
      <c r="R73" s="421">
        <v>26.83</v>
      </c>
    </row>
    <row r="74" spans="1:18">
      <c r="A74" s="166">
        <v>1862</v>
      </c>
      <c r="B74" s="172">
        <f t="shared" si="3"/>
        <v>26.08</v>
      </c>
      <c r="C74" s="172"/>
      <c r="D74" s="172">
        <f>$B$236+ricco_price_effects_and_etr!$D$25*100</f>
        <v>14.355874079073295</v>
      </c>
      <c r="E74" s="172"/>
      <c r="F74" s="157">
        <f t="shared" si="4"/>
        <v>16.804955336938377</v>
      </c>
      <c r="H74" s="420" t="s">
        <v>143</v>
      </c>
      <c r="I74" s="420" t="s">
        <v>75</v>
      </c>
      <c r="J74" s="421">
        <v>310</v>
      </c>
      <c r="K74" s="421">
        <v>296</v>
      </c>
      <c r="L74" s="421">
        <v>50</v>
      </c>
      <c r="M74" s="421">
        <v>246</v>
      </c>
      <c r="N74" s="421">
        <v>64</v>
      </c>
      <c r="O74" s="421"/>
      <c r="P74" s="421"/>
      <c r="Q74" s="421">
        <v>21.68</v>
      </c>
      <c r="R74" s="421">
        <v>26.05</v>
      </c>
    </row>
    <row r="75" spans="1:18">
      <c r="A75" s="166">
        <v>1863</v>
      </c>
      <c r="B75" s="172">
        <f t="shared" si="3"/>
        <v>28.28</v>
      </c>
      <c r="C75" s="172"/>
      <c r="D75" s="172">
        <f>$B$236+ricco_price_effects_and_etr!$D$25*100</f>
        <v>14.355874079073295</v>
      </c>
      <c r="E75" s="172"/>
      <c r="F75" s="157">
        <f t="shared" si="4"/>
        <v>16.804955336938377</v>
      </c>
      <c r="H75" s="420" t="s">
        <v>144</v>
      </c>
      <c r="I75" s="420" t="s">
        <v>75</v>
      </c>
      <c r="J75" s="421">
        <v>348</v>
      </c>
      <c r="K75" s="421">
        <v>334</v>
      </c>
      <c r="L75" s="421">
        <v>50</v>
      </c>
      <c r="M75" s="421">
        <v>284</v>
      </c>
      <c r="N75" s="421">
        <v>64</v>
      </c>
      <c r="O75" s="421"/>
      <c r="P75" s="421"/>
      <c r="Q75" s="421">
        <v>19.09</v>
      </c>
      <c r="R75" s="421">
        <v>22.45</v>
      </c>
    </row>
    <row r="76" spans="1:18">
      <c r="A76" s="166">
        <v>1864</v>
      </c>
      <c r="B76" s="172">
        <f t="shared" si="3"/>
        <v>32.04</v>
      </c>
      <c r="C76" s="172"/>
      <c r="D76" s="172">
        <f>$B$236+ricco_price_effects_and_etr!$D$25*100</f>
        <v>14.355874079073295</v>
      </c>
      <c r="E76" s="172"/>
      <c r="F76" s="157">
        <f t="shared" si="4"/>
        <v>16.804955336938377</v>
      </c>
      <c r="H76" s="420" t="s">
        <v>145</v>
      </c>
      <c r="I76" s="420" t="s">
        <v>75</v>
      </c>
      <c r="J76" s="421">
        <v>263</v>
      </c>
      <c r="K76" s="421">
        <v>243</v>
      </c>
      <c r="L76" s="421">
        <v>55</v>
      </c>
      <c r="M76" s="421">
        <v>187</v>
      </c>
      <c r="N76" s="421">
        <v>42</v>
      </c>
      <c r="O76" s="421"/>
      <c r="P76" s="421"/>
      <c r="Q76" s="421">
        <v>17.329999999999998</v>
      </c>
      <c r="R76" s="421">
        <v>22.44</v>
      </c>
    </row>
    <row r="77" spans="1:18">
      <c r="A77" s="166">
        <v>1865</v>
      </c>
      <c r="B77" s="172">
        <f t="shared" si="3"/>
        <v>38.46</v>
      </c>
      <c r="C77" s="172"/>
      <c r="D77" s="172">
        <f>$B$236+ricco_price_effects_and_etr!$D$25*100</f>
        <v>14.355874079073295</v>
      </c>
      <c r="E77" s="172"/>
      <c r="F77" s="157">
        <f t="shared" si="4"/>
        <v>16.804955336938377</v>
      </c>
      <c r="H77" s="420" t="s">
        <v>146</v>
      </c>
      <c r="I77" s="420" t="s">
        <v>75</v>
      </c>
      <c r="J77" s="421">
        <v>331</v>
      </c>
      <c r="K77" s="421">
        <v>317</v>
      </c>
      <c r="L77" s="421">
        <v>67</v>
      </c>
      <c r="M77" s="421">
        <v>250</v>
      </c>
      <c r="N77" s="421">
        <v>49</v>
      </c>
      <c r="O77" s="421"/>
      <c r="P77" s="421"/>
      <c r="Q77" s="421">
        <v>15.43</v>
      </c>
      <c r="R77" s="421">
        <v>19.559999999999999</v>
      </c>
    </row>
    <row r="78" spans="1:18">
      <c r="A78" s="166">
        <v>1866</v>
      </c>
      <c r="B78" s="172">
        <f t="shared" si="3"/>
        <v>41.81</v>
      </c>
      <c r="C78" s="172"/>
      <c r="D78" s="172">
        <f>$B$236+ricco_price_effects_and_etr!$D$25*100</f>
        <v>14.355874079073295</v>
      </c>
      <c r="E78" s="172"/>
      <c r="F78" s="157">
        <f t="shared" si="4"/>
        <v>16.804955336938377</v>
      </c>
      <c r="H78" s="420" t="s">
        <v>147</v>
      </c>
      <c r="I78" s="420" t="s">
        <v>75</v>
      </c>
      <c r="J78" s="421">
        <v>354</v>
      </c>
      <c r="K78" s="421">
        <v>336</v>
      </c>
      <c r="L78" s="421">
        <v>68</v>
      </c>
      <c r="M78" s="421">
        <v>268</v>
      </c>
      <c r="N78" s="421">
        <v>53</v>
      </c>
      <c r="O78" s="421"/>
      <c r="P78" s="421"/>
      <c r="Q78" s="421">
        <v>15.67</v>
      </c>
      <c r="R78" s="421">
        <v>19.670000000000002</v>
      </c>
    </row>
    <row r="79" spans="1:18">
      <c r="A79" s="166">
        <v>1867</v>
      </c>
      <c r="B79" s="172">
        <f t="shared" si="3"/>
        <v>44.56</v>
      </c>
      <c r="C79" s="172"/>
      <c r="D79" s="172">
        <f>$B$236+ricco_price_effects_and_etr!$D$25*100</f>
        <v>14.355874079073295</v>
      </c>
      <c r="E79" s="172"/>
      <c r="F79" s="157">
        <f t="shared" si="4"/>
        <v>16.804955336938377</v>
      </c>
      <c r="H79" s="420" t="s">
        <v>148</v>
      </c>
      <c r="I79" s="420" t="s">
        <v>75</v>
      </c>
      <c r="J79" s="421">
        <v>289</v>
      </c>
      <c r="K79" s="421">
        <v>275</v>
      </c>
      <c r="L79" s="421">
        <v>67</v>
      </c>
      <c r="M79" s="421">
        <v>207</v>
      </c>
      <c r="N79" s="421">
        <v>39</v>
      </c>
      <c r="O79" s="421"/>
      <c r="P79" s="421"/>
      <c r="Q79" s="421">
        <v>14.21</v>
      </c>
      <c r="R79" s="421">
        <v>18.84</v>
      </c>
    </row>
    <row r="80" spans="1:18">
      <c r="A80" s="166">
        <v>1868</v>
      </c>
      <c r="B80" s="172">
        <f t="shared" si="3"/>
        <v>46.56</v>
      </c>
      <c r="C80" s="172"/>
      <c r="D80" s="172">
        <f>$B$236+ricco_price_effects_and_etr!$D$25*100</f>
        <v>14.355874079073295</v>
      </c>
      <c r="E80" s="172"/>
      <c r="F80" s="157">
        <f t="shared" si="4"/>
        <v>16.804955336938377</v>
      </c>
      <c r="H80" s="420" t="s">
        <v>149</v>
      </c>
      <c r="I80" s="420" t="s">
        <v>75</v>
      </c>
      <c r="J80" s="421">
        <v>189</v>
      </c>
      <c r="K80" s="421">
        <v>178</v>
      </c>
      <c r="L80" s="421">
        <v>50</v>
      </c>
      <c r="M80" s="421">
        <v>128</v>
      </c>
      <c r="N80" s="421">
        <v>47</v>
      </c>
      <c r="O80" s="421"/>
      <c r="P80" s="421"/>
      <c r="Q80" s="421">
        <v>26.08</v>
      </c>
      <c r="R80" s="421">
        <v>36.200000000000003</v>
      </c>
    </row>
    <row r="81" spans="1:18">
      <c r="A81" s="166">
        <v>1869</v>
      </c>
      <c r="B81" s="172">
        <f t="shared" si="3"/>
        <v>44.76</v>
      </c>
      <c r="C81" s="172"/>
      <c r="D81" s="172">
        <f>$B$236+ricco_price_effects_and_etr!$D$25*100</f>
        <v>14.355874079073295</v>
      </c>
      <c r="E81" s="172"/>
      <c r="F81" s="157">
        <f t="shared" si="4"/>
        <v>16.804955336938377</v>
      </c>
      <c r="H81" s="420" t="s">
        <v>150</v>
      </c>
      <c r="I81" s="420" t="s">
        <v>75</v>
      </c>
      <c r="J81" s="421">
        <v>243</v>
      </c>
      <c r="K81" s="421">
        <v>225</v>
      </c>
      <c r="L81" s="421">
        <v>30</v>
      </c>
      <c r="M81" s="421">
        <v>195</v>
      </c>
      <c r="N81" s="421">
        <v>64</v>
      </c>
      <c r="O81" s="421"/>
      <c r="P81" s="421"/>
      <c r="Q81" s="421">
        <v>28.28</v>
      </c>
      <c r="R81" s="421">
        <v>32.619999999999997</v>
      </c>
    </row>
    <row r="82" spans="1:18">
      <c r="A82" s="166">
        <v>1870</v>
      </c>
      <c r="B82" s="172">
        <f t="shared" si="3"/>
        <v>44.89</v>
      </c>
      <c r="C82" s="172"/>
      <c r="D82" s="172">
        <f>$B$236+ricco_price_effects_and_etr!$D$25*100</f>
        <v>14.355874079073295</v>
      </c>
      <c r="E82" s="172"/>
      <c r="F82" s="157">
        <f t="shared" si="4"/>
        <v>16.804955336938377</v>
      </c>
      <c r="H82" s="420" t="s">
        <v>151</v>
      </c>
      <c r="I82" s="420" t="s">
        <v>75</v>
      </c>
      <c r="J82" s="421">
        <v>316</v>
      </c>
      <c r="K82" s="421">
        <v>301</v>
      </c>
      <c r="L82" s="421">
        <v>38</v>
      </c>
      <c r="M82" s="421">
        <v>263</v>
      </c>
      <c r="N82" s="421">
        <v>96</v>
      </c>
      <c r="O82" s="421"/>
      <c r="P82" s="421"/>
      <c r="Q82" s="421">
        <v>32.04</v>
      </c>
      <c r="R82" s="421">
        <v>36.69</v>
      </c>
    </row>
    <row r="83" spans="1:18">
      <c r="A83" s="166">
        <v>1871</v>
      </c>
      <c r="B83" s="172">
        <f t="shared" si="3"/>
        <v>40.51</v>
      </c>
      <c r="C83" s="172"/>
      <c r="D83" s="172">
        <f>$B$236+ricco_price_effects_and_etr!$D$25*100</f>
        <v>14.355874079073295</v>
      </c>
      <c r="E83" s="172"/>
      <c r="F83" s="157">
        <f t="shared" si="4"/>
        <v>16.804955336938377</v>
      </c>
      <c r="H83" s="420" t="s">
        <v>152</v>
      </c>
      <c r="I83" s="420" t="s">
        <v>75</v>
      </c>
      <c r="J83" s="421">
        <v>239</v>
      </c>
      <c r="K83" s="421">
        <v>210</v>
      </c>
      <c r="L83" s="421">
        <v>40</v>
      </c>
      <c r="M83" s="421">
        <v>170</v>
      </c>
      <c r="N83" s="421">
        <v>81</v>
      </c>
      <c r="O83" s="421"/>
      <c r="P83" s="421"/>
      <c r="Q83" s="421">
        <v>38.46</v>
      </c>
      <c r="R83" s="421">
        <v>47.56</v>
      </c>
    </row>
    <row r="84" spans="1:18">
      <c r="A84" s="166">
        <v>1872</v>
      </c>
      <c r="B84" s="172">
        <f t="shared" si="3"/>
        <v>37.99</v>
      </c>
      <c r="C84" s="172"/>
      <c r="D84" s="172">
        <f>$B$236+ricco_price_effects_and_etr!$D$25*100</f>
        <v>14.355874079073295</v>
      </c>
      <c r="E84" s="172"/>
      <c r="F84" s="157">
        <f t="shared" si="4"/>
        <v>16.804955336938377</v>
      </c>
      <c r="H84" s="420" t="s">
        <v>153</v>
      </c>
      <c r="I84" s="420" t="s">
        <v>75</v>
      </c>
      <c r="J84" s="421">
        <v>435</v>
      </c>
      <c r="K84" s="421">
        <v>423</v>
      </c>
      <c r="L84" s="421">
        <v>57</v>
      </c>
      <c r="M84" s="421">
        <v>366</v>
      </c>
      <c r="N84" s="421">
        <v>177</v>
      </c>
      <c r="O84" s="421"/>
      <c r="P84" s="421"/>
      <c r="Q84" s="421">
        <v>41.81</v>
      </c>
      <c r="R84" s="421">
        <v>48.33</v>
      </c>
    </row>
    <row r="85" spans="1:18">
      <c r="A85" s="166">
        <v>1873</v>
      </c>
      <c r="B85" s="172">
        <f t="shared" si="3"/>
        <v>27.9</v>
      </c>
      <c r="C85" s="172"/>
      <c r="D85" s="172">
        <f>$B$236+ricco_price_effects_and_etr!$D$25*100</f>
        <v>14.355874079073295</v>
      </c>
      <c r="E85" s="172"/>
      <c r="F85" s="157">
        <f t="shared" si="4"/>
        <v>16.804955336938377</v>
      </c>
      <c r="H85" s="420" t="s">
        <v>154</v>
      </c>
      <c r="I85" s="420" t="s">
        <v>75</v>
      </c>
      <c r="J85" s="421">
        <v>396</v>
      </c>
      <c r="K85" s="421">
        <v>378</v>
      </c>
      <c r="L85" s="421">
        <v>17</v>
      </c>
      <c r="M85" s="421">
        <v>361</v>
      </c>
      <c r="N85" s="421">
        <v>169</v>
      </c>
      <c r="O85" s="421"/>
      <c r="P85" s="421"/>
      <c r="Q85" s="421">
        <v>44.56</v>
      </c>
      <c r="R85" s="421">
        <v>46.66</v>
      </c>
    </row>
    <row r="86" spans="1:18">
      <c r="A86" s="166">
        <v>1874</v>
      </c>
      <c r="B86" s="172">
        <f t="shared" si="3"/>
        <v>28.29</v>
      </c>
      <c r="C86" s="172"/>
      <c r="D86" s="172">
        <f>$B$236+ricco_price_effects_and_etr!$D$25*100</f>
        <v>14.355874079073295</v>
      </c>
      <c r="E86" s="172"/>
      <c r="F86" s="157">
        <f t="shared" si="4"/>
        <v>16.804955336938377</v>
      </c>
      <c r="H86" s="420" t="s">
        <v>155</v>
      </c>
      <c r="I86" s="420" t="s">
        <v>75</v>
      </c>
      <c r="J86" s="421">
        <v>357</v>
      </c>
      <c r="K86" s="421">
        <v>345</v>
      </c>
      <c r="L86" s="421">
        <v>15</v>
      </c>
      <c r="M86" s="421">
        <v>330</v>
      </c>
      <c r="N86" s="421">
        <v>161</v>
      </c>
      <c r="O86" s="421"/>
      <c r="P86" s="421"/>
      <c r="Q86" s="421">
        <v>46.56</v>
      </c>
      <c r="R86" s="421">
        <v>48.7</v>
      </c>
    </row>
    <row r="87" spans="1:18">
      <c r="A87" s="166">
        <v>1875</v>
      </c>
      <c r="B87" s="172">
        <f t="shared" si="3"/>
        <v>29.36</v>
      </c>
      <c r="C87" s="172"/>
      <c r="D87" s="172">
        <f>$B$236+ricco_price_effects_and_etr!$D$25*100</f>
        <v>14.355874079073295</v>
      </c>
      <c r="E87" s="172"/>
      <c r="F87" s="157">
        <f t="shared" si="4"/>
        <v>16.804955336938377</v>
      </c>
      <c r="H87" s="420" t="s">
        <v>156</v>
      </c>
      <c r="I87" s="420" t="s">
        <v>75</v>
      </c>
      <c r="J87" s="421">
        <v>418</v>
      </c>
      <c r="K87" s="421">
        <v>394</v>
      </c>
      <c r="L87" s="421">
        <v>22</v>
      </c>
      <c r="M87" s="421">
        <v>373</v>
      </c>
      <c r="N87" s="421">
        <v>177</v>
      </c>
      <c r="O87" s="421"/>
      <c r="P87" s="421"/>
      <c r="Q87" s="421">
        <v>44.76</v>
      </c>
      <c r="R87" s="421">
        <v>47.37</v>
      </c>
    </row>
    <row r="88" spans="1:18">
      <c r="A88" s="166">
        <v>1876</v>
      </c>
      <c r="B88" s="172">
        <f t="shared" si="3"/>
        <v>31.25</v>
      </c>
      <c r="C88" s="172"/>
      <c r="D88" s="172">
        <f>$B$236+ricco_price_effects_and_etr!$D$25*100</f>
        <v>14.355874079073295</v>
      </c>
      <c r="E88" s="172"/>
      <c r="F88" s="157">
        <f t="shared" si="4"/>
        <v>16.804955336938377</v>
      </c>
      <c r="H88" s="420" t="s">
        <v>157</v>
      </c>
      <c r="I88" s="420" t="s">
        <v>75</v>
      </c>
      <c r="J88" s="421">
        <v>436</v>
      </c>
      <c r="K88" s="421">
        <v>426</v>
      </c>
      <c r="L88" s="421">
        <v>20</v>
      </c>
      <c r="M88" s="421">
        <v>406</v>
      </c>
      <c r="N88" s="421">
        <v>192</v>
      </c>
      <c r="O88" s="421"/>
      <c r="P88" s="421"/>
      <c r="Q88" s="421">
        <v>44.89</v>
      </c>
      <c r="R88" s="421">
        <v>47.13</v>
      </c>
    </row>
    <row r="89" spans="1:18">
      <c r="A89" s="166">
        <v>1877</v>
      </c>
      <c r="B89" s="172">
        <f t="shared" si="3"/>
        <v>29.2</v>
      </c>
      <c r="C89" s="172"/>
      <c r="D89" s="172">
        <f>$B$236+ricco_price_effects_and_etr!$D$25*100</f>
        <v>14.355874079073295</v>
      </c>
      <c r="E89" s="172"/>
      <c r="F89" s="157">
        <f t="shared" si="4"/>
        <v>16.804955336938377</v>
      </c>
      <c r="H89" s="420" t="s">
        <v>158</v>
      </c>
      <c r="I89" s="420" t="s">
        <v>75</v>
      </c>
      <c r="J89" s="421">
        <v>520</v>
      </c>
      <c r="K89" s="421">
        <v>500</v>
      </c>
      <c r="L89" s="421">
        <v>40</v>
      </c>
      <c r="M89" s="421">
        <v>460</v>
      </c>
      <c r="N89" s="421">
        <v>202</v>
      </c>
      <c r="O89" s="421"/>
      <c r="P89" s="421"/>
      <c r="Q89" s="421">
        <v>40.51</v>
      </c>
      <c r="R89" s="421">
        <v>44.04</v>
      </c>
    </row>
    <row r="90" spans="1:18">
      <c r="A90" s="166">
        <v>1878</v>
      </c>
      <c r="B90" s="172">
        <f t="shared" si="3"/>
        <v>29</v>
      </c>
      <c r="C90" s="172"/>
      <c r="D90" s="172">
        <f>$B$236+ricco_price_effects_and_etr!$D$25*100</f>
        <v>14.355874079073295</v>
      </c>
      <c r="E90" s="172"/>
      <c r="F90" s="157">
        <f t="shared" si="4"/>
        <v>16.804955336938377</v>
      </c>
      <c r="H90" s="420" t="s">
        <v>159</v>
      </c>
      <c r="I90" s="420" t="s">
        <v>75</v>
      </c>
      <c r="J90" s="421">
        <v>627</v>
      </c>
      <c r="K90" s="421">
        <v>560</v>
      </c>
      <c r="L90" s="421">
        <v>47</v>
      </c>
      <c r="M90" s="421">
        <v>513</v>
      </c>
      <c r="N90" s="421">
        <v>213</v>
      </c>
      <c r="O90" s="421"/>
      <c r="P90" s="421"/>
      <c r="Q90" s="421">
        <v>37.99</v>
      </c>
      <c r="R90" s="421">
        <v>41.46</v>
      </c>
    </row>
    <row r="91" spans="1:18">
      <c r="A91" s="166">
        <v>1879</v>
      </c>
      <c r="B91" s="172">
        <f t="shared" si="3"/>
        <v>30.33</v>
      </c>
      <c r="C91" s="172"/>
      <c r="D91" s="172">
        <f>$B$236+ricco_price_effects_and_etr!$D$25*100</f>
        <v>14.355874079073295</v>
      </c>
      <c r="E91" s="172"/>
      <c r="F91" s="157">
        <f t="shared" si="4"/>
        <v>16.804955336938377</v>
      </c>
      <c r="H91" s="420" t="s">
        <v>160</v>
      </c>
      <c r="I91" s="420" t="s">
        <v>75</v>
      </c>
      <c r="J91" s="421">
        <v>642</v>
      </c>
      <c r="K91" s="421">
        <v>663</v>
      </c>
      <c r="L91" s="421">
        <v>178</v>
      </c>
      <c r="M91" s="421">
        <v>485</v>
      </c>
      <c r="N91" s="421">
        <v>185</v>
      </c>
      <c r="O91" s="421"/>
      <c r="P91" s="421"/>
      <c r="Q91" s="421">
        <v>27.9</v>
      </c>
      <c r="R91" s="421">
        <v>38.119999999999997</v>
      </c>
    </row>
    <row r="92" spans="1:18">
      <c r="A92" s="166">
        <v>1880</v>
      </c>
      <c r="B92" s="172">
        <f t="shared" si="3"/>
        <v>29.12</v>
      </c>
      <c r="C92" s="172"/>
      <c r="D92" s="172">
        <f>$B$236+ricco_price_effects_and_etr!$D$25*100</f>
        <v>14.355874079073295</v>
      </c>
      <c r="E92" s="172"/>
      <c r="F92" s="157">
        <f t="shared" si="4"/>
        <v>16.804955336938377</v>
      </c>
      <c r="H92" s="420" t="s">
        <v>161</v>
      </c>
      <c r="I92" s="420" t="s">
        <v>75</v>
      </c>
      <c r="J92" s="421">
        <v>567</v>
      </c>
      <c r="K92" s="421">
        <v>568</v>
      </c>
      <c r="L92" s="421">
        <v>151</v>
      </c>
      <c r="M92" s="421">
        <v>416</v>
      </c>
      <c r="N92" s="421">
        <v>161</v>
      </c>
      <c r="O92" s="421"/>
      <c r="P92" s="421"/>
      <c r="Q92" s="421">
        <v>28.29</v>
      </c>
      <c r="R92" s="421">
        <v>38.58</v>
      </c>
    </row>
    <row r="93" spans="1:18">
      <c r="A93" s="166">
        <v>1881</v>
      </c>
      <c r="B93" s="172">
        <f t="shared" si="3"/>
        <v>29.79</v>
      </c>
      <c r="C93" s="172"/>
      <c r="D93" s="172">
        <f>$B$236+ricco_price_effects_and_etr!$D$25*100</f>
        <v>14.355874079073295</v>
      </c>
      <c r="E93" s="172"/>
      <c r="F93" s="157">
        <f t="shared" si="4"/>
        <v>16.804955336938377</v>
      </c>
      <c r="H93" s="420" t="s">
        <v>162</v>
      </c>
      <c r="I93" s="420" t="s">
        <v>75</v>
      </c>
      <c r="J93" s="421">
        <v>533</v>
      </c>
      <c r="K93" s="421">
        <v>526</v>
      </c>
      <c r="L93" s="421">
        <v>146</v>
      </c>
      <c r="M93" s="421">
        <v>380</v>
      </c>
      <c r="N93" s="421">
        <v>155</v>
      </c>
      <c r="O93" s="421"/>
      <c r="P93" s="421"/>
      <c r="Q93" s="421">
        <v>29.36</v>
      </c>
      <c r="R93" s="421">
        <v>40.659999999999997</v>
      </c>
    </row>
    <row r="94" spans="1:18">
      <c r="A94" s="166">
        <v>1882</v>
      </c>
      <c r="B94" s="172">
        <f t="shared" si="3"/>
        <v>30.16</v>
      </c>
      <c r="C94" s="172"/>
      <c r="D94" s="172">
        <f>$B$236+ricco_price_effects_and_etr!$D$25*100</f>
        <v>14.355874079073295</v>
      </c>
      <c r="E94" s="172"/>
      <c r="F94" s="157">
        <f t="shared" si="4"/>
        <v>16.804955336938377</v>
      </c>
      <c r="H94" s="420" t="s">
        <v>163</v>
      </c>
      <c r="I94" s="420" t="s">
        <v>75</v>
      </c>
      <c r="J94" s="421">
        <v>461</v>
      </c>
      <c r="K94" s="421">
        <v>465</v>
      </c>
      <c r="L94" s="421">
        <v>140</v>
      </c>
      <c r="M94" s="421">
        <v>324</v>
      </c>
      <c r="N94" s="421">
        <v>145</v>
      </c>
      <c r="O94" s="421"/>
      <c r="P94" s="421"/>
      <c r="Q94" s="421">
        <v>31.25</v>
      </c>
      <c r="R94" s="421">
        <v>44.76</v>
      </c>
    </row>
    <row r="95" spans="1:18">
      <c r="A95" s="166">
        <v>1883</v>
      </c>
      <c r="B95" s="172">
        <f t="shared" si="3"/>
        <v>30.04</v>
      </c>
      <c r="C95" s="172"/>
      <c r="D95" s="172">
        <f>$B$236+ricco_price_effects_and_etr!$D$25*100</f>
        <v>14.355874079073295</v>
      </c>
      <c r="E95" s="172"/>
      <c r="F95" s="157">
        <f t="shared" si="4"/>
        <v>16.804955336938377</v>
      </c>
      <c r="H95" s="420" t="s">
        <v>164</v>
      </c>
      <c r="I95" s="420" t="s">
        <v>75</v>
      </c>
      <c r="J95" s="421">
        <v>451</v>
      </c>
      <c r="K95" s="421">
        <v>440</v>
      </c>
      <c r="L95" s="421">
        <v>140</v>
      </c>
      <c r="M95" s="421">
        <v>299</v>
      </c>
      <c r="N95" s="421">
        <v>128</v>
      </c>
      <c r="O95" s="421"/>
      <c r="P95" s="421"/>
      <c r="Q95" s="421">
        <v>29.2</v>
      </c>
      <c r="R95" s="421">
        <v>42.91</v>
      </c>
    </row>
    <row r="96" spans="1:18">
      <c r="A96" s="166">
        <v>1884</v>
      </c>
      <c r="B96" s="172">
        <f t="shared" si="3"/>
        <v>28.5</v>
      </c>
      <c r="C96" s="172"/>
      <c r="D96" s="172">
        <f>$B$236+ricco_price_effects_and_etr!$D$25*100</f>
        <v>14.355874079073295</v>
      </c>
      <c r="E96" s="172"/>
      <c r="F96" s="157">
        <f t="shared" si="4"/>
        <v>16.804955336938377</v>
      </c>
      <c r="H96" s="420" t="s">
        <v>165</v>
      </c>
      <c r="I96" s="420" t="s">
        <v>75</v>
      </c>
      <c r="J96" s="421">
        <v>437</v>
      </c>
      <c r="K96" s="421">
        <v>439</v>
      </c>
      <c r="L96" s="421">
        <v>141</v>
      </c>
      <c r="M96" s="421">
        <v>297</v>
      </c>
      <c r="N96" s="421">
        <v>127</v>
      </c>
      <c r="O96" s="421"/>
      <c r="P96" s="421"/>
      <c r="Q96" s="421">
        <v>29</v>
      </c>
      <c r="R96" s="421">
        <v>42.77</v>
      </c>
    </row>
    <row r="97" spans="1:18">
      <c r="A97" s="166">
        <v>1885</v>
      </c>
      <c r="B97" s="172">
        <f t="shared" si="3"/>
        <v>30.75</v>
      </c>
      <c r="C97" s="172"/>
      <c r="D97" s="172">
        <f>$B$236+ricco_price_effects_and_etr!$D$25*100</f>
        <v>14.355874079073295</v>
      </c>
      <c r="E97" s="172"/>
      <c r="F97" s="157">
        <f t="shared" si="4"/>
        <v>16.804955336938377</v>
      </c>
      <c r="H97" s="420" t="s">
        <v>166</v>
      </c>
      <c r="I97" s="420" t="s">
        <v>75</v>
      </c>
      <c r="J97" s="421">
        <v>446</v>
      </c>
      <c r="K97" s="421">
        <v>440</v>
      </c>
      <c r="L97" s="421">
        <v>143</v>
      </c>
      <c r="M97" s="421">
        <v>297</v>
      </c>
      <c r="N97" s="421">
        <v>133</v>
      </c>
      <c r="O97" s="421"/>
      <c r="P97" s="421"/>
      <c r="Q97" s="421">
        <v>30.33</v>
      </c>
      <c r="R97" s="421">
        <v>44.9</v>
      </c>
    </row>
    <row r="98" spans="1:18">
      <c r="A98" s="166">
        <v>1886</v>
      </c>
      <c r="B98" s="172">
        <f t="shared" ref="B98:B129" si="5">Q104</f>
        <v>30.35</v>
      </c>
      <c r="C98" s="172"/>
      <c r="D98" s="172">
        <f>$B$236+ricco_price_effects_and_etr!$D$25*100</f>
        <v>14.355874079073295</v>
      </c>
      <c r="E98" s="172"/>
      <c r="F98" s="157">
        <f t="shared" si="4"/>
        <v>16.804955336938377</v>
      </c>
      <c r="H98" s="420" t="s">
        <v>167</v>
      </c>
      <c r="I98" s="420" t="s">
        <v>75</v>
      </c>
      <c r="J98" s="421">
        <v>668</v>
      </c>
      <c r="K98" s="421">
        <v>628</v>
      </c>
      <c r="L98" s="421">
        <v>208</v>
      </c>
      <c r="M98" s="421">
        <v>420</v>
      </c>
      <c r="N98" s="421">
        <v>183</v>
      </c>
      <c r="O98" s="421"/>
      <c r="P98" s="421"/>
      <c r="Q98" s="421">
        <v>29.12</v>
      </c>
      <c r="R98" s="421">
        <v>43.54</v>
      </c>
    </row>
    <row r="99" spans="1:18">
      <c r="A99" s="166">
        <v>1887</v>
      </c>
      <c r="B99" s="172">
        <f t="shared" si="5"/>
        <v>31.52</v>
      </c>
      <c r="C99" s="172"/>
      <c r="D99" s="172">
        <f>$B$236+ricco_price_effects_and_etr!$D$25*100</f>
        <v>14.355874079073295</v>
      </c>
      <c r="E99" s="172"/>
      <c r="F99" s="157">
        <f t="shared" si="4"/>
        <v>16.804955336938377</v>
      </c>
      <c r="H99" s="420" t="s">
        <v>168</v>
      </c>
      <c r="I99" s="420" t="s">
        <v>75</v>
      </c>
      <c r="J99" s="421">
        <v>643</v>
      </c>
      <c r="K99" s="421">
        <v>651</v>
      </c>
      <c r="L99" s="421">
        <v>202</v>
      </c>
      <c r="M99" s="421">
        <v>448</v>
      </c>
      <c r="N99" s="421">
        <v>194</v>
      </c>
      <c r="O99" s="421"/>
      <c r="P99" s="421"/>
      <c r="Q99" s="421">
        <v>29.79</v>
      </c>
      <c r="R99" s="421">
        <v>43.23</v>
      </c>
    </row>
    <row r="100" spans="1:18">
      <c r="A100" s="166">
        <v>1888</v>
      </c>
      <c r="B100" s="172">
        <f t="shared" si="5"/>
        <v>30.55</v>
      </c>
      <c r="C100" s="172"/>
      <c r="D100" s="172">
        <f>$B$236+ricco_price_effects_and_etr!$D$25*100</f>
        <v>14.355874079073295</v>
      </c>
      <c r="E100" s="172"/>
      <c r="F100" s="157">
        <f t="shared" si="4"/>
        <v>16.804955336938377</v>
      </c>
      <c r="H100" s="420" t="s">
        <v>169</v>
      </c>
      <c r="I100" s="420" t="s">
        <v>75</v>
      </c>
      <c r="J100" s="421">
        <v>725</v>
      </c>
      <c r="K100" s="421">
        <v>717</v>
      </c>
      <c r="L100" s="421">
        <v>211</v>
      </c>
      <c r="M100" s="421">
        <v>506</v>
      </c>
      <c r="N100" s="421">
        <v>216</v>
      </c>
      <c r="O100" s="421"/>
      <c r="P100" s="421"/>
      <c r="Q100" s="421">
        <v>30.16</v>
      </c>
      <c r="R100" s="421">
        <v>42.71</v>
      </c>
    </row>
    <row r="101" spans="1:18">
      <c r="A101" s="166">
        <v>1889</v>
      </c>
      <c r="B101" s="172">
        <f t="shared" si="5"/>
        <v>30.02</v>
      </c>
      <c r="C101" s="172"/>
      <c r="D101" s="172">
        <f>$B$236+ricco_price_effects_and_etr!$D$25*100</f>
        <v>14.355874079073295</v>
      </c>
      <c r="E101" s="172"/>
      <c r="F101" s="157">
        <f t="shared" si="4"/>
        <v>16.804955336938377</v>
      </c>
      <c r="H101" s="420" t="s">
        <v>170</v>
      </c>
      <c r="I101" s="420" t="s">
        <v>75</v>
      </c>
      <c r="J101" s="421">
        <v>723</v>
      </c>
      <c r="K101" s="421">
        <v>701</v>
      </c>
      <c r="L101" s="421">
        <v>207</v>
      </c>
      <c r="M101" s="421">
        <v>494</v>
      </c>
      <c r="N101" s="421">
        <v>211</v>
      </c>
      <c r="O101" s="421"/>
      <c r="P101" s="421"/>
      <c r="Q101" s="421">
        <v>30.04</v>
      </c>
      <c r="R101" s="421">
        <v>42.61</v>
      </c>
    </row>
    <row r="102" spans="1:18">
      <c r="A102" s="166">
        <v>1890</v>
      </c>
      <c r="B102" s="172">
        <f t="shared" si="5"/>
        <v>29.59</v>
      </c>
      <c r="C102" s="172"/>
      <c r="D102" s="172">
        <f>$B$236+ricco_price_effects_and_etr!$D$25*100</f>
        <v>14.355874079073295</v>
      </c>
      <c r="E102" s="172"/>
      <c r="F102" s="157">
        <f t="shared" si="4"/>
        <v>16.804955336938377</v>
      </c>
      <c r="H102" s="420" t="s">
        <v>171</v>
      </c>
      <c r="I102" s="420" t="s">
        <v>75</v>
      </c>
      <c r="J102" s="421">
        <v>668</v>
      </c>
      <c r="K102" s="421">
        <v>668</v>
      </c>
      <c r="L102" s="421">
        <v>211</v>
      </c>
      <c r="M102" s="421">
        <v>457</v>
      </c>
      <c r="N102" s="421">
        <v>190</v>
      </c>
      <c r="O102" s="421"/>
      <c r="P102" s="421"/>
      <c r="Q102" s="421">
        <v>28.5</v>
      </c>
      <c r="R102" s="421">
        <v>41.67</v>
      </c>
    </row>
    <row r="103" spans="1:18">
      <c r="A103" s="166">
        <v>1891</v>
      </c>
      <c r="B103" s="172">
        <f t="shared" si="5"/>
        <v>25.65</v>
      </c>
      <c r="C103" s="172"/>
      <c r="D103" s="172">
        <f>$B$236+ricco_price_effects_and_etr!$D$25*100</f>
        <v>14.355874079073295</v>
      </c>
      <c r="E103" s="172"/>
      <c r="F103" s="157">
        <f t="shared" si="4"/>
        <v>16.804955336938377</v>
      </c>
      <c r="H103" s="420" t="s">
        <v>172</v>
      </c>
      <c r="I103" s="420" t="s">
        <v>75</v>
      </c>
      <c r="J103" s="421">
        <v>578</v>
      </c>
      <c r="K103" s="421">
        <v>579</v>
      </c>
      <c r="L103" s="421">
        <v>192</v>
      </c>
      <c r="M103" s="421">
        <v>387</v>
      </c>
      <c r="N103" s="421">
        <v>178</v>
      </c>
      <c r="O103" s="421"/>
      <c r="P103" s="421"/>
      <c r="Q103" s="421">
        <v>30.75</v>
      </c>
      <c r="R103" s="421">
        <v>46.05</v>
      </c>
    </row>
    <row r="104" spans="1:18">
      <c r="A104" s="166">
        <v>1892</v>
      </c>
      <c r="B104" s="172">
        <f t="shared" si="5"/>
        <v>21.65</v>
      </c>
      <c r="C104" s="172"/>
      <c r="D104" s="172">
        <f>$B$236+ricco_price_effects_and_etr!$D$25*100</f>
        <v>14.355874079073295</v>
      </c>
      <c r="E104" s="172"/>
      <c r="F104" s="157">
        <f t="shared" si="4"/>
        <v>16.804955336938377</v>
      </c>
      <c r="H104" s="420" t="s">
        <v>173</v>
      </c>
      <c r="I104" s="420" t="s">
        <v>75</v>
      </c>
      <c r="J104" s="421">
        <v>635</v>
      </c>
      <c r="K104" s="421">
        <v>624</v>
      </c>
      <c r="L104" s="421">
        <v>210</v>
      </c>
      <c r="M104" s="421">
        <v>414</v>
      </c>
      <c r="N104" s="421">
        <v>189</v>
      </c>
      <c r="O104" s="421"/>
      <c r="P104" s="421"/>
      <c r="Q104" s="421">
        <v>30.35</v>
      </c>
      <c r="R104" s="421">
        <v>45.78</v>
      </c>
    </row>
    <row r="105" spans="1:18">
      <c r="A105" s="166">
        <v>1893</v>
      </c>
      <c r="B105" s="172">
        <f t="shared" si="5"/>
        <v>23.91</v>
      </c>
      <c r="C105" s="172"/>
      <c r="D105" s="172">
        <f>$B$236+ricco_price_effects_and_etr!$D$25*100</f>
        <v>14.355874079073295</v>
      </c>
      <c r="E105" s="172"/>
      <c r="F105" s="157">
        <f t="shared" si="4"/>
        <v>16.804955336938377</v>
      </c>
      <c r="H105" s="420" t="s">
        <v>174</v>
      </c>
      <c r="I105" s="420" t="s">
        <v>75</v>
      </c>
      <c r="J105" s="421">
        <v>692</v>
      </c>
      <c r="K105" s="421">
        <v>680</v>
      </c>
      <c r="L105" s="421">
        <v>229</v>
      </c>
      <c r="M105" s="421">
        <v>450</v>
      </c>
      <c r="N105" s="421">
        <v>214</v>
      </c>
      <c r="O105" s="421"/>
      <c r="P105" s="421"/>
      <c r="Q105" s="421">
        <v>31.52</v>
      </c>
      <c r="R105" s="421">
        <v>47.57</v>
      </c>
    </row>
    <row r="106" spans="1:18">
      <c r="A106" s="166">
        <v>1894</v>
      </c>
      <c r="B106" s="172">
        <f t="shared" si="5"/>
        <v>20.56</v>
      </c>
      <c r="C106" s="172"/>
      <c r="D106" s="172">
        <f>$B$236+ricco_price_effects_and_etr!$D$25*100</f>
        <v>14.355874079073295</v>
      </c>
      <c r="E106" s="172"/>
      <c r="F106" s="157">
        <f t="shared" si="4"/>
        <v>16.804955336938377</v>
      </c>
      <c r="H106" s="420" t="s">
        <v>175</v>
      </c>
      <c r="I106" s="420" t="s">
        <v>75</v>
      </c>
      <c r="J106" s="421">
        <v>724</v>
      </c>
      <c r="K106" s="421">
        <v>707</v>
      </c>
      <c r="L106" s="421">
        <v>239</v>
      </c>
      <c r="M106" s="421">
        <v>468</v>
      </c>
      <c r="N106" s="421">
        <v>216</v>
      </c>
      <c r="O106" s="421"/>
      <c r="P106" s="421"/>
      <c r="Q106" s="421">
        <v>30.55</v>
      </c>
      <c r="R106" s="421">
        <v>46.15</v>
      </c>
    </row>
    <row r="107" spans="1:18">
      <c r="A107" s="166">
        <v>1895</v>
      </c>
      <c r="B107" s="172">
        <f t="shared" si="5"/>
        <v>20.440000000000001</v>
      </c>
      <c r="C107" s="172"/>
      <c r="D107" s="172">
        <f>$B$236+ricco_price_effects_and_etr!$D$25*100</f>
        <v>14.355874079073295</v>
      </c>
      <c r="E107" s="172"/>
      <c r="F107" s="157">
        <f t="shared" si="4"/>
        <v>16.804955336938377</v>
      </c>
      <c r="H107" s="420" t="s">
        <v>176</v>
      </c>
      <c r="I107" s="420" t="s">
        <v>75</v>
      </c>
      <c r="J107" s="421">
        <v>745</v>
      </c>
      <c r="K107" s="421">
        <v>735</v>
      </c>
      <c r="L107" s="421">
        <v>250</v>
      </c>
      <c r="M107" s="421">
        <v>485</v>
      </c>
      <c r="N107" s="421">
        <v>221</v>
      </c>
      <c r="O107" s="421"/>
      <c r="P107" s="421"/>
      <c r="Q107" s="421">
        <v>30.02</v>
      </c>
      <c r="R107" s="421">
        <v>45.49</v>
      </c>
    </row>
    <row r="108" spans="1:18">
      <c r="A108" s="166">
        <v>1896</v>
      </c>
      <c r="B108" s="172">
        <f t="shared" si="5"/>
        <v>20.67</v>
      </c>
      <c r="C108" s="172"/>
      <c r="D108" s="172">
        <f>$B$236+ricco_price_effects_and_etr!$D$25*100</f>
        <v>14.355874079073295</v>
      </c>
      <c r="E108" s="172"/>
      <c r="F108" s="157">
        <f t="shared" si="4"/>
        <v>16.804955336938377</v>
      </c>
      <c r="H108" s="420" t="s">
        <v>177</v>
      </c>
      <c r="I108" s="420" t="s">
        <v>75</v>
      </c>
      <c r="J108" s="421">
        <v>789</v>
      </c>
      <c r="K108" s="421">
        <v>766</v>
      </c>
      <c r="L108" s="421">
        <v>258</v>
      </c>
      <c r="M108" s="421">
        <v>508</v>
      </c>
      <c r="N108" s="421">
        <v>227</v>
      </c>
      <c r="O108" s="421"/>
      <c r="P108" s="421"/>
      <c r="Q108" s="421">
        <v>29.59</v>
      </c>
      <c r="R108" s="421">
        <v>44.63</v>
      </c>
    </row>
    <row r="109" spans="1:18">
      <c r="A109" s="166">
        <v>1897</v>
      </c>
      <c r="B109" s="172">
        <f t="shared" si="5"/>
        <v>21.89</v>
      </c>
      <c r="C109" s="172"/>
      <c r="D109" s="172">
        <f>$B$236+ricco_price_effects_and_etr!$D$25*100</f>
        <v>14.355874079073295</v>
      </c>
      <c r="E109" s="172"/>
      <c r="F109" s="157">
        <f t="shared" si="4"/>
        <v>16.804955336938377</v>
      </c>
      <c r="H109" s="420" t="s">
        <v>178</v>
      </c>
      <c r="I109" s="420" t="s">
        <v>75</v>
      </c>
      <c r="J109" s="421">
        <v>845</v>
      </c>
      <c r="K109" s="421">
        <v>845</v>
      </c>
      <c r="L109" s="421">
        <v>379</v>
      </c>
      <c r="M109" s="421">
        <v>466</v>
      </c>
      <c r="N109" s="421">
        <v>217</v>
      </c>
      <c r="O109" s="421"/>
      <c r="P109" s="421"/>
      <c r="Q109" s="421">
        <v>25.65</v>
      </c>
      <c r="R109" s="421">
        <v>46.5</v>
      </c>
    </row>
    <row r="110" spans="1:18">
      <c r="A110" s="166">
        <v>1898</v>
      </c>
      <c r="B110" s="172">
        <f t="shared" si="5"/>
        <v>24.77</v>
      </c>
      <c r="C110" s="172"/>
      <c r="D110" s="172">
        <f>$B$236+ricco_price_effects_and_etr!$D$25*100</f>
        <v>14.355874079073295</v>
      </c>
      <c r="E110" s="172"/>
      <c r="F110" s="157">
        <f t="shared" si="4"/>
        <v>16.804955336938377</v>
      </c>
      <c r="H110" s="420" t="s">
        <v>179</v>
      </c>
      <c r="I110" s="420" t="s">
        <v>75</v>
      </c>
      <c r="J110" s="421">
        <v>827</v>
      </c>
      <c r="K110" s="421">
        <v>804</v>
      </c>
      <c r="L110" s="421">
        <v>449</v>
      </c>
      <c r="M110" s="421">
        <v>356</v>
      </c>
      <c r="N110" s="421">
        <v>174</v>
      </c>
      <c r="O110" s="421"/>
      <c r="P110" s="421"/>
      <c r="Q110" s="421">
        <v>21.65</v>
      </c>
      <c r="R110" s="421">
        <v>48.98</v>
      </c>
    </row>
    <row r="111" spans="1:18">
      <c r="A111" s="166">
        <v>1899</v>
      </c>
      <c r="B111" s="172">
        <f t="shared" si="5"/>
        <v>29.48</v>
      </c>
      <c r="C111" s="172"/>
      <c r="D111" s="172">
        <f>$B$236+ricco_price_effects_and_etr!$D$25*100</f>
        <v>14.355874079073295</v>
      </c>
      <c r="E111" s="172"/>
      <c r="F111" s="157">
        <f t="shared" si="4"/>
        <v>16.804955336938377</v>
      </c>
      <c r="H111" s="420" t="s">
        <v>180</v>
      </c>
      <c r="I111" s="420" t="s">
        <v>75</v>
      </c>
      <c r="J111" s="421">
        <v>866</v>
      </c>
      <c r="K111" s="421">
        <v>833</v>
      </c>
      <c r="L111" s="421">
        <v>432</v>
      </c>
      <c r="M111" s="421">
        <v>400</v>
      </c>
      <c r="N111" s="421">
        <v>199</v>
      </c>
      <c r="O111" s="421"/>
      <c r="P111" s="421"/>
      <c r="Q111" s="421">
        <v>23.91</v>
      </c>
      <c r="R111" s="421">
        <v>49.75</v>
      </c>
    </row>
    <row r="112" spans="1:18">
      <c r="A112" s="166">
        <v>1900</v>
      </c>
      <c r="B112" s="172">
        <f t="shared" si="5"/>
        <v>27.62</v>
      </c>
      <c r="C112" s="172"/>
      <c r="D112" s="172">
        <f>$B$236+ricco_price_effects_and_etr!$D$25*100</f>
        <v>14.355874079073295</v>
      </c>
      <c r="E112" s="172"/>
      <c r="F112" s="157">
        <f t="shared" si="4"/>
        <v>16.804955336938377</v>
      </c>
      <c r="H112" s="420" t="s">
        <v>181</v>
      </c>
      <c r="I112" s="420" t="s">
        <v>75</v>
      </c>
      <c r="J112" s="421">
        <v>655</v>
      </c>
      <c r="K112" s="421">
        <v>630</v>
      </c>
      <c r="L112" s="421">
        <v>372</v>
      </c>
      <c r="M112" s="421">
        <v>258</v>
      </c>
      <c r="N112" s="421">
        <v>130</v>
      </c>
      <c r="O112" s="421"/>
      <c r="P112" s="421"/>
      <c r="Q112" s="421">
        <v>20.56</v>
      </c>
      <c r="R112" s="421">
        <v>50.29</v>
      </c>
    </row>
    <row r="113" spans="1:18">
      <c r="A113" s="166">
        <v>1901</v>
      </c>
      <c r="B113" s="172">
        <f t="shared" si="5"/>
        <v>28.91</v>
      </c>
      <c r="C113" s="172"/>
      <c r="D113" s="172">
        <f>$B$236+ricco_price_effects_and_etr!$D$25*100</f>
        <v>14.355874079073295</v>
      </c>
      <c r="E113" s="172"/>
      <c r="F113" s="157">
        <f t="shared" si="4"/>
        <v>16.804955336938377</v>
      </c>
      <c r="H113" s="420" t="s">
        <v>182</v>
      </c>
      <c r="I113" s="420" t="s">
        <v>75</v>
      </c>
      <c r="J113" s="421">
        <v>732</v>
      </c>
      <c r="K113" s="421">
        <v>731</v>
      </c>
      <c r="L113" s="421">
        <v>377</v>
      </c>
      <c r="M113" s="421">
        <v>354</v>
      </c>
      <c r="N113" s="421">
        <v>149</v>
      </c>
      <c r="O113" s="421"/>
      <c r="P113" s="421"/>
      <c r="Q113" s="421">
        <v>20.440000000000001</v>
      </c>
      <c r="R113" s="421">
        <v>42.19</v>
      </c>
    </row>
    <row r="114" spans="1:18">
      <c r="A114" s="166">
        <v>1902</v>
      </c>
      <c r="B114" s="172">
        <f t="shared" si="5"/>
        <v>27.95</v>
      </c>
      <c r="C114" s="172"/>
      <c r="D114" s="172">
        <f>$B$236+ricco_price_effects_and_etr!$D$25*100</f>
        <v>14.355874079073295</v>
      </c>
      <c r="E114" s="172"/>
      <c r="F114" s="157">
        <f t="shared" si="4"/>
        <v>16.804955336938377</v>
      </c>
      <c r="H114" s="420" t="s">
        <v>183</v>
      </c>
      <c r="I114" s="420" t="s">
        <v>75</v>
      </c>
      <c r="J114" s="421">
        <v>780</v>
      </c>
      <c r="K114" s="421">
        <v>760</v>
      </c>
      <c r="L114" s="421">
        <v>369</v>
      </c>
      <c r="M114" s="421">
        <v>391</v>
      </c>
      <c r="N114" s="421">
        <v>157</v>
      </c>
      <c r="O114" s="421"/>
      <c r="P114" s="421"/>
      <c r="Q114" s="421">
        <v>20.67</v>
      </c>
      <c r="R114" s="421">
        <v>40.18</v>
      </c>
    </row>
    <row r="115" spans="1:18">
      <c r="A115" s="166">
        <v>1903</v>
      </c>
      <c r="B115" s="172">
        <f t="shared" si="5"/>
        <v>27.85</v>
      </c>
      <c r="C115" s="172"/>
      <c r="D115" s="172">
        <f>$B$236+ricco_price_effects_and_etr!$D$25*100</f>
        <v>14.355874079073295</v>
      </c>
      <c r="E115" s="172"/>
      <c r="F115" s="157">
        <f t="shared" si="4"/>
        <v>16.804955336938377</v>
      </c>
      <c r="H115" s="420" t="s">
        <v>184</v>
      </c>
      <c r="I115" s="420" t="s">
        <v>75</v>
      </c>
      <c r="J115" s="421">
        <v>765</v>
      </c>
      <c r="K115" s="421">
        <v>789</v>
      </c>
      <c r="L115" s="421">
        <v>382</v>
      </c>
      <c r="M115" s="421">
        <v>407</v>
      </c>
      <c r="N115" s="421">
        <v>173</v>
      </c>
      <c r="O115" s="421"/>
      <c r="P115" s="421"/>
      <c r="Q115" s="421">
        <v>21.89</v>
      </c>
      <c r="R115" s="421">
        <v>42.41</v>
      </c>
    </row>
    <row r="116" spans="1:18">
      <c r="A116" s="166">
        <v>1904</v>
      </c>
      <c r="B116" s="172">
        <f t="shared" si="5"/>
        <v>26.29</v>
      </c>
      <c r="C116" s="172"/>
      <c r="D116" s="172">
        <f>$B$236+ricco_price_effects_and_etr!$D$25*100</f>
        <v>14.355874079073295</v>
      </c>
      <c r="E116" s="172"/>
      <c r="F116" s="157">
        <f t="shared" si="4"/>
        <v>16.804955336938377</v>
      </c>
      <c r="H116" s="420" t="s">
        <v>185</v>
      </c>
      <c r="I116" s="420" t="s">
        <v>75</v>
      </c>
      <c r="J116" s="421">
        <v>616</v>
      </c>
      <c r="K116" s="421">
        <v>587</v>
      </c>
      <c r="L116" s="421">
        <v>292</v>
      </c>
      <c r="M116" s="421">
        <v>296</v>
      </c>
      <c r="N116" s="421">
        <v>145</v>
      </c>
      <c r="O116" s="421"/>
      <c r="P116" s="421"/>
      <c r="Q116" s="421">
        <v>24.77</v>
      </c>
      <c r="R116" s="421">
        <v>49.2</v>
      </c>
    </row>
    <row r="117" spans="1:18">
      <c r="A117" s="166">
        <v>1905</v>
      </c>
      <c r="B117" s="172">
        <f t="shared" si="5"/>
        <v>23.77</v>
      </c>
      <c r="C117" s="172"/>
      <c r="D117" s="172">
        <f>$B$236+ricco_price_effects_and_etr!$D$25*100</f>
        <v>14.355874079073295</v>
      </c>
      <c r="E117" s="172"/>
      <c r="F117" s="157">
        <f t="shared" si="4"/>
        <v>16.804955336938377</v>
      </c>
      <c r="H117" s="420" t="s">
        <v>186</v>
      </c>
      <c r="I117" s="420" t="s">
        <v>75</v>
      </c>
      <c r="J117" s="421">
        <v>697</v>
      </c>
      <c r="K117" s="421">
        <v>685</v>
      </c>
      <c r="L117" s="421">
        <v>300</v>
      </c>
      <c r="M117" s="421">
        <v>386</v>
      </c>
      <c r="N117" s="421">
        <v>202</v>
      </c>
      <c r="O117" s="421"/>
      <c r="P117" s="421"/>
      <c r="Q117" s="421">
        <v>29.48</v>
      </c>
      <c r="R117" s="421">
        <v>52.38</v>
      </c>
    </row>
    <row r="118" spans="1:18">
      <c r="A118" s="166">
        <v>1906</v>
      </c>
      <c r="B118" s="172">
        <f t="shared" si="5"/>
        <v>24.22</v>
      </c>
      <c r="C118" s="172"/>
      <c r="D118" s="172">
        <f>$B$236+ricco_price_effects_and_etr!$D$25*100</f>
        <v>14.355874079073295</v>
      </c>
      <c r="E118" s="172"/>
      <c r="F118" s="157">
        <f t="shared" si="4"/>
        <v>16.804955336938377</v>
      </c>
      <c r="H118" s="420" t="s">
        <v>187</v>
      </c>
      <c r="I118" s="420" t="s">
        <v>75</v>
      </c>
      <c r="J118" s="421">
        <v>850</v>
      </c>
      <c r="K118" s="421">
        <v>831</v>
      </c>
      <c r="L118" s="421">
        <v>367</v>
      </c>
      <c r="M118" s="421">
        <v>464</v>
      </c>
      <c r="N118" s="421">
        <v>229</v>
      </c>
      <c r="O118" s="421"/>
      <c r="P118" s="421"/>
      <c r="Q118" s="421">
        <v>27.62</v>
      </c>
      <c r="R118" s="421">
        <v>49.46</v>
      </c>
    </row>
    <row r="119" spans="1:18">
      <c r="A119" s="166">
        <v>1907</v>
      </c>
      <c r="B119" s="172">
        <f t="shared" si="5"/>
        <v>23.28</v>
      </c>
      <c r="C119" s="172"/>
      <c r="D119" s="172">
        <f>$B$236+ricco_price_effects_and_etr!$D$25*100</f>
        <v>14.355874079073295</v>
      </c>
      <c r="E119" s="172"/>
      <c r="F119" s="157">
        <f t="shared" si="4"/>
        <v>16.804955336938377</v>
      </c>
      <c r="H119" s="420" t="s">
        <v>188</v>
      </c>
      <c r="I119" s="420" t="s">
        <v>75</v>
      </c>
      <c r="J119" s="421">
        <v>823</v>
      </c>
      <c r="K119" s="421">
        <v>808</v>
      </c>
      <c r="L119" s="421">
        <v>339</v>
      </c>
      <c r="M119" s="421">
        <v>469</v>
      </c>
      <c r="N119" s="421">
        <v>234</v>
      </c>
      <c r="O119" s="421"/>
      <c r="P119" s="421"/>
      <c r="Q119" s="421">
        <v>28.91</v>
      </c>
      <c r="R119" s="421">
        <v>49.83</v>
      </c>
    </row>
    <row r="120" spans="1:18">
      <c r="A120" s="166">
        <v>1908</v>
      </c>
      <c r="B120" s="172">
        <f t="shared" si="5"/>
        <v>23.88</v>
      </c>
      <c r="C120" s="172"/>
      <c r="D120" s="172">
        <f>$B$236+ricco_price_effects_and_etr!$D$25*100</f>
        <v>14.355874079073295</v>
      </c>
      <c r="E120" s="172"/>
      <c r="F120" s="157">
        <f t="shared" si="4"/>
        <v>16.804955336938377</v>
      </c>
      <c r="H120" s="420" t="s">
        <v>189</v>
      </c>
      <c r="I120" s="420" t="s">
        <v>75</v>
      </c>
      <c r="J120" s="421">
        <v>903</v>
      </c>
      <c r="K120" s="421">
        <v>900</v>
      </c>
      <c r="L120" s="421">
        <v>397</v>
      </c>
      <c r="M120" s="421">
        <v>503</v>
      </c>
      <c r="N120" s="421">
        <v>251</v>
      </c>
      <c r="O120" s="421"/>
      <c r="P120" s="421"/>
      <c r="Q120" s="421">
        <v>27.95</v>
      </c>
      <c r="R120" s="421">
        <v>49.97</v>
      </c>
    </row>
    <row r="121" spans="1:18">
      <c r="A121" s="166">
        <v>1909</v>
      </c>
      <c r="B121" s="172">
        <f t="shared" si="5"/>
        <v>22.99</v>
      </c>
      <c r="C121" s="172"/>
      <c r="D121" s="172">
        <f>$B$236+ricco_price_effects_and_etr!$D$25*100</f>
        <v>14.355874079073295</v>
      </c>
      <c r="E121" s="172"/>
      <c r="F121" s="157">
        <f t="shared" si="4"/>
        <v>16.804955336938377</v>
      </c>
      <c r="H121" s="420" t="s">
        <v>190</v>
      </c>
      <c r="I121" s="420" t="s">
        <v>75</v>
      </c>
      <c r="J121" s="421">
        <v>1026</v>
      </c>
      <c r="K121" s="421">
        <v>1008</v>
      </c>
      <c r="L121" s="421">
        <v>437</v>
      </c>
      <c r="M121" s="421">
        <v>571</v>
      </c>
      <c r="N121" s="421">
        <v>281</v>
      </c>
      <c r="O121" s="421"/>
      <c r="P121" s="421"/>
      <c r="Q121" s="421">
        <v>27.85</v>
      </c>
      <c r="R121" s="421">
        <v>49.2</v>
      </c>
    </row>
    <row r="122" spans="1:18">
      <c r="A122" s="166">
        <v>1910</v>
      </c>
      <c r="B122" s="172">
        <f t="shared" si="5"/>
        <v>21.11</v>
      </c>
      <c r="C122" s="172"/>
      <c r="D122" s="172">
        <f>$B$236+ricco_price_effects_and_etr!$D$25*100</f>
        <v>14.355874079073295</v>
      </c>
      <c r="E122" s="172"/>
      <c r="F122" s="157">
        <f t="shared" si="4"/>
        <v>16.804955336938377</v>
      </c>
      <c r="H122" s="420" t="s">
        <v>191</v>
      </c>
      <c r="I122" s="420" t="s">
        <v>75</v>
      </c>
      <c r="J122" s="421">
        <v>991</v>
      </c>
      <c r="K122" s="421">
        <v>982</v>
      </c>
      <c r="L122" s="421">
        <v>454</v>
      </c>
      <c r="M122" s="421">
        <v>528</v>
      </c>
      <c r="N122" s="421">
        <v>258</v>
      </c>
      <c r="O122" s="421"/>
      <c r="P122" s="421"/>
      <c r="Q122" s="421">
        <v>26.29</v>
      </c>
      <c r="R122" s="421">
        <v>48.92</v>
      </c>
    </row>
    <row r="123" spans="1:18">
      <c r="A123" s="166">
        <v>1911</v>
      </c>
      <c r="B123" s="172">
        <f t="shared" si="5"/>
        <v>20.29</v>
      </c>
      <c r="C123" s="172"/>
      <c r="D123" s="172">
        <f>$B$236+ricco_price_effects_and_etr!$D$25*100</f>
        <v>14.355874079073295</v>
      </c>
      <c r="E123" s="172"/>
      <c r="F123" s="157">
        <f t="shared" si="4"/>
        <v>16.804955336938377</v>
      </c>
      <c r="H123" s="420" t="s">
        <v>192</v>
      </c>
      <c r="I123" s="420" t="s">
        <v>75</v>
      </c>
      <c r="J123" s="421">
        <v>1118</v>
      </c>
      <c r="K123" s="421">
        <v>1087</v>
      </c>
      <c r="L123" s="421">
        <v>517</v>
      </c>
      <c r="M123" s="421">
        <v>570</v>
      </c>
      <c r="N123" s="421">
        <v>258</v>
      </c>
      <c r="O123" s="421"/>
      <c r="P123" s="421"/>
      <c r="Q123" s="421">
        <v>23.77</v>
      </c>
      <c r="R123" s="421">
        <v>45.33</v>
      </c>
    </row>
    <row r="124" spans="1:18">
      <c r="A124" s="166">
        <v>1912</v>
      </c>
      <c r="B124" s="172">
        <f t="shared" si="5"/>
        <v>18.579999999999998</v>
      </c>
      <c r="C124" s="172"/>
      <c r="D124" s="172">
        <f>$B$236+ricco_price_effects_and_etr!$D$25*100</f>
        <v>14.355874079073295</v>
      </c>
      <c r="E124" s="172"/>
      <c r="F124" s="157">
        <f t="shared" si="4"/>
        <v>16.804955336938377</v>
      </c>
      <c r="H124" s="420" t="s">
        <v>193</v>
      </c>
      <c r="I124" s="420" t="s">
        <v>75</v>
      </c>
      <c r="J124" s="421">
        <v>1227</v>
      </c>
      <c r="K124" s="421">
        <v>1213</v>
      </c>
      <c r="L124" s="421">
        <v>549</v>
      </c>
      <c r="M124" s="421">
        <v>665</v>
      </c>
      <c r="N124" s="421">
        <v>294</v>
      </c>
      <c r="O124" s="421"/>
      <c r="P124" s="421"/>
      <c r="Q124" s="421">
        <v>24.22</v>
      </c>
      <c r="R124" s="421">
        <v>44.22</v>
      </c>
    </row>
    <row r="125" spans="1:18">
      <c r="A125" s="166">
        <v>1913</v>
      </c>
      <c r="B125" s="172">
        <f t="shared" si="5"/>
        <v>17.690000000000001</v>
      </c>
      <c r="C125" s="172"/>
      <c r="D125" s="172">
        <f>$B$236+ricco_price_effects_and_etr!$D$25*100</f>
        <v>14.355874079073295</v>
      </c>
      <c r="E125" s="172"/>
      <c r="F125" s="157">
        <f t="shared" si="4"/>
        <v>16.804955336938377</v>
      </c>
      <c r="H125" s="420" t="s">
        <v>194</v>
      </c>
      <c r="I125" s="420" t="s">
        <v>75</v>
      </c>
      <c r="J125" s="421">
        <v>1434</v>
      </c>
      <c r="K125" s="421">
        <v>1415</v>
      </c>
      <c r="L125" s="421">
        <v>642</v>
      </c>
      <c r="M125" s="421">
        <v>773</v>
      </c>
      <c r="N125" s="421">
        <v>329</v>
      </c>
      <c r="O125" s="421"/>
      <c r="P125" s="421"/>
      <c r="Q125" s="421">
        <v>23.28</v>
      </c>
      <c r="R125" s="421">
        <v>42.6</v>
      </c>
    </row>
    <row r="126" spans="1:18">
      <c r="A126" s="166">
        <v>1914</v>
      </c>
      <c r="B126" s="172">
        <f t="shared" si="5"/>
        <v>14.88</v>
      </c>
      <c r="C126" s="172"/>
      <c r="D126" s="172">
        <f>$B$236+ricco_price_effects_and_etr!$D$25*100</f>
        <v>14.355874079073295</v>
      </c>
      <c r="E126" s="172"/>
      <c r="F126" s="157">
        <f t="shared" si="4"/>
        <v>16.804955336938377</v>
      </c>
      <c r="H126" s="420" t="s">
        <v>195</v>
      </c>
      <c r="I126" s="420" t="s">
        <v>75</v>
      </c>
      <c r="J126" s="421">
        <v>1194</v>
      </c>
      <c r="K126" s="421">
        <v>1183</v>
      </c>
      <c r="L126" s="421">
        <v>526</v>
      </c>
      <c r="M126" s="421">
        <v>657</v>
      </c>
      <c r="N126" s="421">
        <v>283</v>
      </c>
      <c r="O126" s="421"/>
      <c r="P126" s="421"/>
      <c r="Q126" s="421">
        <v>23.88</v>
      </c>
      <c r="R126" s="421">
        <v>42.98</v>
      </c>
    </row>
    <row r="127" spans="1:18">
      <c r="A127" s="166">
        <v>1915</v>
      </c>
      <c r="B127" s="172">
        <f t="shared" si="5"/>
        <v>12.49</v>
      </c>
      <c r="C127" s="172"/>
      <c r="D127" s="172">
        <f>$B$236+ricco_price_effects_and_etr!$D$25*100</f>
        <v>14.355874079073295</v>
      </c>
      <c r="E127" s="172"/>
      <c r="F127" s="157">
        <f t="shared" si="4"/>
        <v>16.804955336938377</v>
      </c>
      <c r="H127" s="420" t="s">
        <v>196</v>
      </c>
      <c r="I127" s="420" t="s">
        <v>197</v>
      </c>
      <c r="J127" s="421">
        <v>1312</v>
      </c>
      <c r="K127" s="421">
        <v>1282</v>
      </c>
      <c r="L127" s="421">
        <v>509</v>
      </c>
      <c r="M127" s="421">
        <v>682</v>
      </c>
      <c r="N127" s="421">
        <v>295</v>
      </c>
      <c r="O127" s="421"/>
      <c r="P127" s="421"/>
      <c r="Q127" s="421">
        <v>22.99</v>
      </c>
      <c r="R127" s="421">
        <v>43.19</v>
      </c>
    </row>
    <row r="128" spans="1:18">
      <c r="A128" s="166">
        <v>1916</v>
      </c>
      <c r="B128" s="172">
        <f t="shared" si="5"/>
        <v>9.08</v>
      </c>
      <c r="C128" s="172"/>
      <c r="D128" s="172">
        <f>$B$236+ricco_price_effects_and_etr!$D$25*100</f>
        <v>14.355874079073295</v>
      </c>
      <c r="E128" s="172"/>
      <c r="F128" s="157">
        <f t="shared" si="4"/>
        <v>16.804955336938377</v>
      </c>
      <c r="H128" s="420" t="s">
        <v>198</v>
      </c>
      <c r="I128" s="420" t="s">
        <v>75</v>
      </c>
      <c r="J128" s="421">
        <v>1557</v>
      </c>
      <c r="K128" s="421">
        <v>1547</v>
      </c>
      <c r="L128" s="421">
        <v>761</v>
      </c>
      <c r="M128" s="421">
        <v>786</v>
      </c>
      <c r="N128" s="421">
        <v>327</v>
      </c>
      <c r="O128" s="421"/>
      <c r="P128" s="421"/>
      <c r="Q128" s="421">
        <v>21.11</v>
      </c>
      <c r="R128" s="421">
        <v>41.56</v>
      </c>
    </row>
    <row r="129" spans="1:18">
      <c r="A129" s="166">
        <v>1917</v>
      </c>
      <c r="B129" s="172">
        <f t="shared" si="5"/>
        <v>7.01</v>
      </c>
      <c r="C129" s="172"/>
      <c r="D129" s="172">
        <f>$B$236+ricco_price_effects_and_etr!$D$25*100</f>
        <v>14.355874079073295</v>
      </c>
      <c r="E129" s="172"/>
      <c r="F129" s="157">
        <f t="shared" si="4"/>
        <v>16.804955336938377</v>
      </c>
      <c r="H129" s="420" t="s">
        <v>199</v>
      </c>
      <c r="I129" s="420" t="s">
        <v>75</v>
      </c>
      <c r="J129" s="421">
        <v>1527</v>
      </c>
      <c r="K129" s="421">
        <v>1528</v>
      </c>
      <c r="L129" s="421">
        <v>777</v>
      </c>
      <c r="M129" s="421">
        <v>751</v>
      </c>
      <c r="N129" s="421">
        <v>310</v>
      </c>
      <c r="O129" s="421"/>
      <c r="P129" s="421"/>
      <c r="Q129" s="421">
        <v>20.29</v>
      </c>
      <c r="R129" s="421">
        <v>41.27</v>
      </c>
    </row>
    <row r="130" spans="1:18">
      <c r="A130" s="166">
        <v>1918</v>
      </c>
      <c r="B130" s="172">
        <f t="shared" ref="B130:B161" si="6">Q136</f>
        <v>5.79</v>
      </c>
      <c r="C130" s="172"/>
      <c r="D130" s="172">
        <f>$B$236+ricco_price_effects_and_etr!$D$25*100</f>
        <v>14.355874079073295</v>
      </c>
      <c r="E130" s="172"/>
      <c r="F130" s="157">
        <f t="shared" ref="F130:F193" si="7">$E$237</f>
        <v>16.804955336938377</v>
      </c>
      <c r="H130" s="420" t="s">
        <v>200</v>
      </c>
      <c r="I130" s="420" t="s">
        <v>75</v>
      </c>
      <c r="J130" s="421">
        <v>1653</v>
      </c>
      <c r="K130" s="421">
        <v>1641</v>
      </c>
      <c r="L130" s="421">
        <v>882</v>
      </c>
      <c r="M130" s="421">
        <v>759</v>
      </c>
      <c r="N130" s="421">
        <v>305</v>
      </c>
      <c r="O130" s="421"/>
      <c r="P130" s="421"/>
      <c r="Q130" s="421">
        <v>18.579999999999998</v>
      </c>
      <c r="R130" s="421">
        <v>40.159999999999997</v>
      </c>
    </row>
    <row r="131" spans="1:18">
      <c r="A131" s="166">
        <v>1919</v>
      </c>
      <c r="B131" s="172">
        <f t="shared" si="6"/>
        <v>6.2</v>
      </c>
      <c r="C131" s="172"/>
      <c r="D131" s="172">
        <f>$B$236+ricco_price_effects_and_etr!$D$25*100</f>
        <v>14.355874079073295</v>
      </c>
      <c r="E131" s="172"/>
      <c r="F131" s="157">
        <f t="shared" si="7"/>
        <v>16.804955336938377</v>
      </c>
      <c r="H131" s="420" t="s">
        <v>201</v>
      </c>
      <c r="I131" s="420" t="s">
        <v>75</v>
      </c>
      <c r="J131" s="421">
        <v>1813</v>
      </c>
      <c r="K131" s="421">
        <v>1767</v>
      </c>
      <c r="L131" s="421">
        <v>987</v>
      </c>
      <c r="M131" s="421">
        <v>780</v>
      </c>
      <c r="N131" s="421">
        <v>313</v>
      </c>
      <c r="O131" s="421"/>
      <c r="P131" s="421"/>
      <c r="Q131" s="421">
        <v>17.690000000000001</v>
      </c>
      <c r="R131" s="421">
        <v>40.08</v>
      </c>
    </row>
    <row r="132" spans="1:18">
      <c r="A132" s="166">
        <v>1920</v>
      </c>
      <c r="B132" s="172">
        <f t="shared" si="6"/>
        <v>6.38</v>
      </c>
      <c r="C132" s="172"/>
      <c r="D132" s="172">
        <f>$B$236+ricco_price_effects_and_etr!$D$25*100</f>
        <v>14.355874079073295</v>
      </c>
      <c r="E132" s="172"/>
      <c r="F132" s="157">
        <f t="shared" si="7"/>
        <v>16.804955336938377</v>
      </c>
      <c r="H132" s="420" t="s">
        <v>202</v>
      </c>
      <c r="I132" s="420" t="s">
        <v>75</v>
      </c>
      <c r="J132" s="421">
        <v>1894</v>
      </c>
      <c r="K132" s="421">
        <v>1906</v>
      </c>
      <c r="L132" s="421">
        <v>1152</v>
      </c>
      <c r="M132" s="421">
        <v>754</v>
      </c>
      <c r="N132" s="421">
        <v>284</v>
      </c>
      <c r="O132" s="421"/>
      <c r="P132" s="421"/>
      <c r="Q132" s="421">
        <v>14.88</v>
      </c>
      <c r="R132" s="421">
        <v>37.630000000000003</v>
      </c>
    </row>
    <row r="133" spans="1:18">
      <c r="A133" s="166">
        <v>1921</v>
      </c>
      <c r="B133" s="172">
        <f t="shared" si="6"/>
        <v>11.44</v>
      </c>
      <c r="C133" s="172"/>
      <c r="D133" s="172">
        <f>$B$236+ricco_price_effects_and_etr!$D$25*100</f>
        <v>14.355874079073295</v>
      </c>
      <c r="E133" s="172"/>
      <c r="F133" s="157">
        <f t="shared" si="7"/>
        <v>16.804955336938377</v>
      </c>
      <c r="H133" s="420" t="s">
        <v>203</v>
      </c>
      <c r="I133" s="420" t="s">
        <v>75</v>
      </c>
      <c r="J133" s="421">
        <v>1674</v>
      </c>
      <c r="K133" s="421">
        <v>1648</v>
      </c>
      <c r="L133" s="421">
        <v>1033</v>
      </c>
      <c r="M133" s="421">
        <v>616</v>
      </c>
      <c r="N133" s="421">
        <v>206</v>
      </c>
      <c r="O133" s="421"/>
      <c r="P133" s="421"/>
      <c r="Q133" s="421">
        <v>12.49</v>
      </c>
      <c r="R133" s="421">
        <v>33.46</v>
      </c>
    </row>
    <row r="134" spans="1:18">
      <c r="A134" s="166">
        <v>1922</v>
      </c>
      <c r="B134" s="172">
        <f t="shared" si="6"/>
        <v>14.68</v>
      </c>
      <c r="C134" s="172"/>
      <c r="D134" s="172">
        <f>$B$236+ricco_price_effects_and_etr!$D$25*100</f>
        <v>14.355874079073295</v>
      </c>
      <c r="E134" s="172"/>
      <c r="F134" s="157">
        <f t="shared" si="7"/>
        <v>16.804955336938377</v>
      </c>
      <c r="H134" s="420" t="s">
        <v>204</v>
      </c>
      <c r="I134" s="420" t="s">
        <v>75</v>
      </c>
      <c r="J134" s="421">
        <v>2392</v>
      </c>
      <c r="K134" s="421">
        <v>2359</v>
      </c>
      <c r="L134" s="421">
        <v>1615</v>
      </c>
      <c r="M134" s="421">
        <v>744</v>
      </c>
      <c r="N134" s="421">
        <v>214</v>
      </c>
      <c r="O134" s="421"/>
      <c r="P134" s="421"/>
      <c r="Q134" s="421">
        <v>9.08</v>
      </c>
      <c r="R134" s="421">
        <v>28.8</v>
      </c>
    </row>
    <row r="135" spans="1:18">
      <c r="A135" s="166">
        <v>1923</v>
      </c>
      <c r="B135" s="172">
        <f t="shared" si="6"/>
        <v>15.18</v>
      </c>
      <c r="C135" s="172"/>
      <c r="D135" s="172">
        <f>$B$236+ricco_price_effects_and_etr!$D$25*100</f>
        <v>14.355874079073295</v>
      </c>
      <c r="E135" s="172"/>
      <c r="F135" s="157">
        <f t="shared" si="7"/>
        <v>16.804955336938377</v>
      </c>
      <c r="H135" s="420" t="s">
        <v>205</v>
      </c>
      <c r="I135" s="420" t="s">
        <v>75</v>
      </c>
      <c r="J135" s="421">
        <v>2952</v>
      </c>
      <c r="K135" s="421">
        <v>2919</v>
      </c>
      <c r="L135" s="421">
        <v>2141</v>
      </c>
      <c r="M135" s="421">
        <v>778</v>
      </c>
      <c r="N135" s="421">
        <v>205</v>
      </c>
      <c r="O135" s="421"/>
      <c r="P135" s="421"/>
      <c r="Q135" s="421">
        <v>7.01</v>
      </c>
      <c r="R135" s="421">
        <v>26.28</v>
      </c>
    </row>
    <row r="136" spans="1:18">
      <c r="A136" s="166">
        <v>1924</v>
      </c>
      <c r="B136" s="172">
        <f t="shared" si="6"/>
        <v>14.89</v>
      </c>
      <c r="C136" s="172"/>
      <c r="D136" s="172">
        <f>$B$236+ricco_price_effects_and_etr!$D$25*100</f>
        <v>14.355874079073295</v>
      </c>
      <c r="E136" s="172"/>
      <c r="F136" s="157">
        <f t="shared" si="7"/>
        <v>16.804955336938377</v>
      </c>
      <c r="H136" s="420" t="s">
        <v>206</v>
      </c>
      <c r="I136" s="420" t="s">
        <v>75</v>
      </c>
      <c r="J136" s="421">
        <v>3031</v>
      </c>
      <c r="K136" s="421">
        <v>2952</v>
      </c>
      <c r="L136" s="421">
        <v>2229</v>
      </c>
      <c r="M136" s="421">
        <v>723</v>
      </c>
      <c r="N136" s="421">
        <v>171</v>
      </c>
      <c r="O136" s="421"/>
      <c r="P136" s="421"/>
      <c r="Q136" s="421">
        <v>5.79</v>
      </c>
      <c r="R136" s="421">
        <v>23.65</v>
      </c>
    </row>
    <row r="137" spans="1:18">
      <c r="A137" s="166">
        <v>1925</v>
      </c>
      <c r="B137" s="172">
        <f t="shared" si="6"/>
        <v>13.21</v>
      </c>
      <c r="C137" s="172"/>
      <c r="D137" s="172">
        <f>$B$236+ricco_price_effects_and_etr!$D$25*100</f>
        <v>14.355874079073295</v>
      </c>
      <c r="E137" s="172"/>
      <c r="F137" s="157">
        <f t="shared" si="7"/>
        <v>16.804955336938377</v>
      </c>
      <c r="H137" s="420" t="s">
        <v>207</v>
      </c>
      <c r="I137" s="420" t="s">
        <v>75</v>
      </c>
      <c r="J137" s="421">
        <v>3904</v>
      </c>
      <c r="K137" s="421">
        <v>3828</v>
      </c>
      <c r="L137" s="421">
        <v>2711</v>
      </c>
      <c r="M137" s="421">
        <v>1116</v>
      </c>
      <c r="N137" s="421">
        <v>237</v>
      </c>
      <c r="O137" s="421"/>
      <c r="P137" s="421"/>
      <c r="Q137" s="421">
        <v>6.2</v>
      </c>
      <c r="R137" s="421">
        <v>21.27</v>
      </c>
    </row>
    <row r="138" spans="1:18">
      <c r="A138" s="166">
        <v>1926</v>
      </c>
      <c r="B138" s="172">
        <f t="shared" si="6"/>
        <v>13.39</v>
      </c>
      <c r="C138" s="172"/>
      <c r="D138" s="172">
        <f>$B$236+ricco_price_effects_and_etr!$D$25*100</f>
        <v>14.355874079073295</v>
      </c>
      <c r="E138" s="172"/>
      <c r="F138" s="157">
        <f t="shared" si="7"/>
        <v>16.804955336938377</v>
      </c>
      <c r="H138" s="420" t="s">
        <v>208</v>
      </c>
      <c r="I138" s="420" t="s">
        <v>75</v>
      </c>
      <c r="J138" s="421">
        <v>5278</v>
      </c>
      <c r="K138" s="421">
        <v>5102</v>
      </c>
      <c r="L138" s="421">
        <v>3116</v>
      </c>
      <c r="M138" s="421">
        <v>1986</v>
      </c>
      <c r="N138" s="421">
        <v>326</v>
      </c>
      <c r="O138" s="421"/>
      <c r="P138" s="421"/>
      <c r="Q138" s="421">
        <v>6.38</v>
      </c>
      <c r="R138" s="421">
        <v>16.399999999999999</v>
      </c>
    </row>
    <row r="139" spans="1:18">
      <c r="A139" s="166">
        <v>1927</v>
      </c>
      <c r="B139" s="172">
        <f t="shared" si="6"/>
        <v>13.81</v>
      </c>
      <c r="C139" s="172"/>
      <c r="D139" s="172">
        <f>$B$236+ricco_price_effects_and_etr!$D$25*100</f>
        <v>14.355874079073295</v>
      </c>
      <c r="E139" s="172"/>
      <c r="F139" s="157">
        <f t="shared" si="7"/>
        <v>16.804955336938377</v>
      </c>
      <c r="H139" s="420" t="s">
        <v>209</v>
      </c>
      <c r="I139" s="420" t="s">
        <v>75</v>
      </c>
      <c r="J139" s="421">
        <v>2509</v>
      </c>
      <c r="K139" s="421">
        <v>2557</v>
      </c>
      <c r="L139" s="421">
        <v>1564</v>
      </c>
      <c r="M139" s="421">
        <v>993</v>
      </c>
      <c r="N139" s="421">
        <v>292</v>
      </c>
      <c r="O139" s="421"/>
      <c r="P139" s="421"/>
      <c r="Q139" s="421">
        <v>11.44</v>
      </c>
      <c r="R139" s="421">
        <v>29.46</v>
      </c>
    </row>
    <row r="140" spans="1:18">
      <c r="A140" s="166">
        <v>1928</v>
      </c>
      <c r="B140" s="172">
        <f t="shared" si="6"/>
        <v>13.3</v>
      </c>
      <c r="C140" s="172"/>
      <c r="D140" s="172">
        <f>$B$236+ricco_price_effects_and_etr!$D$25*100</f>
        <v>14.355874079073295</v>
      </c>
      <c r="E140" s="172"/>
      <c r="F140" s="157">
        <f t="shared" si="7"/>
        <v>16.804955336938377</v>
      </c>
      <c r="H140" s="420" t="s">
        <v>210</v>
      </c>
      <c r="I140" s="420" t="s">
        <v>75</v>
      </c>
      <c r="J140" s="421">
        <v>3113</v>
      </c>
      <c r="K140" s="421">
        <v>3074</v>
      </c>
      <c r="L140" s="421">
        <v>1888</v>
      </c>
      <c r="M140" s="421">
        <v>1186</v>
      </c>
      <c r="N140" s="421">
        <v>451</v>
      </c>
      <c r="O140" s="421"/>
      <c r="P140" s="421"/>
      <c r="Q140" s="421">
        <v>14.68</v>
      </c>
      <c r="R140" s="421">
        <v>38.07</v>
      </c>
    </row>
    <row r="141" spans="1:18">
      <c r="A141" s="166">
        <v>1929</v>
      </c>
      <c r="B141" s="172">
        <f t="shared" si="6"/>
        <v>13.48</v>
      </c>
      <c r="C141" s="172"/>
      <c r="D141" s="172">
        <f>$B$236+ricco_price_effects_and_etr!$D$25*100</f>
        <v>14.355874079073295</v>
      </c>
      <c r="E141" s="172"/>
      <c r="F141" s="157">
        <f t="shared" si="7"/>
        <v>16.804955336938377</v>
      </c>
      <c r="H141" s="420" t="s">
        <v>211</v>
      </c>
      <c r="I141" s="420" t="s">
        <v>75</v>
      </c>
      <c r="J141" s="421">
        <v>3792</v>
      </c>
      <c r="K141" s="421">
        <v>3732</v>
      </c>
      <c r="L141" s="421">
        <v>2165</v>
      </c>
      <c r="M141" s="421">
        <v>1567</v>
      </c>
      <c r="N141" s="421">
        <v>567</v>
      </c>
      <c r="O141" s="421"/>
      <c r="P141" s="421"/>
      <c r="Q141" s="421">
        <v>15.18</v>
      </c>
      <c r="R141" s="421">
        <v>36.17</v>
      </c>
    </row>
    <row r="142" spans="1:18">
      <c r="A142" s="166">
        <v>1930</v>
      </c>
      <c r="B142" s="172">
        <f t="shared" si="6"/>
        <v>14.83</v>
      </c>
      <c r="C142" s="172"/>
      <c r="D142" s="172">
        <f>$B$236+ricco_price_effects_and_etr!$D$25*100</f>
        <v>14.355874079073295</v>
      </c>
      <c r="E142" s="172"/>
      <c r="F142" s="157">
        <f t="shared" si="7"/>
        <v>16.804955336938377</v>
      </c>
      <c r="H142" s="420" t="s">
        <v>212</v>
      </c>
      <c r="I142" s="420" t="s">
        <v>75</v>
      </c>
      <c r="J142" s="421">
        <v>3610</v>
      </c>
      <c r="K142" s="421">
        <v>3575</v>
      </c>
      <c r="L142" s="421">
        <v>2118</v>
      </c>
      <c r="M142" s="421">
        <v>1457</v>
      </c>
      <c r="N142" s="421">
        <v>532</v>
      </c>
      <c r="O142" s="421"/>
      <c r="P142" s="421"/>
      <c r="Q142" s="421">
        <v>14.89</v>
      </c>
      <c r="R142" s="421">
        <v>36.53</v>
      </c>
    </row>
    <row r="143" spans="1:18">
      <c r="A143" s="166">
        <v>1931</v>
      </c>
      <c r="B143" s="172">
        <f t="shared" si="6"/>
        <v>17.75</v>
      </c>
      <c r="C143" s="172"/>
      <c r="D143" s="172">
        <f>$B$236+ricco_price_effects_and_etr!$D$25*100</f>
        <v>14.355874079073295</v>
      </c>
      <c r="E143" s="172"/>
      <c r="F143" s="157">
        <f t="shared" si="7"/>
        <v>16.804955336938377</v>
      </c>
      <c r="H143" s="420" t="s">
        <v>213</v>
      </c>
      <c r="I143" s="420" t="s">
        <v>75</v>
      </c>
      <c r="J143" s="421">
        <v>4227</v>
      </c>
      <c r="K143" s="421">
        <v>4176</v>
      </c>
      <c r="L143" s="421">
        <v>2709</v>
      </c>
      <c r="M143" s="421">
        <v>1467</v>
      </c>
      <c r="N143" s="421">
        <v>552</v>
      </c>
      <c r="O143" s="421"/>
      <c r="P143" s="421"/>
      <c r="Q143" s="421">
        <v>13.21</v>
      </c>
      <c r="R143" s="421">
        <v>37.61</v>
      </c>
    </row>
    <row r="144" spans="1:18">
      <c r="A144" s="166">
        <v>1932</v>
      </c>
      <c r="B144" s="172">
        <f t="shared" si="6"/>
        <v>19.59</v>
      </c>
      <c r="C144" s="172"/>
      <c r="D144" s="172">
        <f>$B$236+ricco_price_effects_and_etr!$D$25*100</f>
        <v>14.355874079073295</v>
      </c>
      <c r="E144" s="172"/>
      <c r="F144" s="157">
        <f t="shared" si="7"/>
        <v>16.804955336938377</v>
      </c>
      <c r="H144" s="420" t="s">
        <v>214</v>
      </c>
      <c r="I144" s="420" t="s">
        <v>75</v>
      </c>
      <c r="J144" s="421">
        <v>4431</v>
      </c>
      <c r="K144" s="421">
        <v>4408</v>
      </c>
      <c r="L144" s="421">
        <v>2908</v>
      </c>
      <c r="M144" s="421">
        <v>1500</v>
      </c>
      <c r="N144" s="421">
        <v>590</v>
      </c>
      <c r="O144" s="421"/>
      <c r="P144" s="421"/>
      <c r="Q144" s="421">
        <v>13.39</v>
      </c>
      <c r="R144" s="421">
        <v>39.340000000000003</v>
      </c>
    </row>
    <row r="145" spans="1:18">
      <c r="A145" s="166">
        <v>1933</v>
      </c>
      <c r="B145" s="214">
        <f t="shared" si="6"/>
        <v>19.8</v>
      </c>
      <c r="C145" s="172"/>
      <c r="D145" s="172">
        <f>$B$236+ricco_price_effects_and_etr!$D$25*100</f>
        <v>14.355874079073295</v>
      </c>
      <c r="E145" s="172"/>
      <c r="F145" s="157">
        <f t="shared" si="7"/>
        <v>16.804955336938377</v>
      </c>
      <c r="H145" s="420" t="s">
        <v>215</v>
      </c>
      <c r="I145" s="420" t="s">
        <v>75</v>
      </c>
      <c r="J145" s="421">
        <v>4185</v>
      </c>
      <c r="K145" s="421">
        <v>4163</v>
      </c>
      <c r="L145" s="421">
        <v>2680</v>
      </c>
      <c r="M145" s="421">
        <v>1483</v>
      </c>
      <c r="N145" s="421">
        <v>575</v>
      </c>
      <c r="O145" s="421"/>
      <c r="P145" s="421"/>
      <c r="Q145" s="421">
        <v>13.81</v>
      </c>
      <c r="R145" s="421">
        <v>38.76</v>
      </c>
    </row>
    <row r="146" spans="1:18">
      <c r="A146" s="166">
        <v>1934</v>
      </c>
      <c r="B146" s="214">
        <f t="shared" si="6"/>
        <v>18.41</v>
      </c>
      <c r="C146" s="172"/>
      <c r="D146" s="172">
        <f>$B$236+ricco_price_effects_and_etr!$D$25*100</f>
        <v>14.355874079073295</v>
      </c>
      <c r="E146" s="172"/>
      <c r="F146" s="157">
        <f t="shared" si="7"/>
        <v>16.804955336938377</v>
      </c>
      <c r="H146" s="420" t="s">
        <v>216</v>
      </c>
      <c r="I146" s="420" t="s">
        <v>75</v>
      </c>
      <c r="J146" s="421">
        <v>4091</v>
      </c>
      <c r="K146" s="421">
        <v>4078</v>
      </c>
      <c r="L146" s="421">
        <v>2679</v>
      </c>
      <c r="M146" s="421">
        <v>1399</v>
      </c>
      <c r="N146" s="421">
        <v>542</v>
      </c>
      <c r="O146" s="421"/>
      <c r="P146" s="421"/>
      <c r="Q146" s="421">
        <v>13.3</v>
      </c>
      <c r="R146" s="421">
        <v>38.76</v>
      </c>
    </row>
    <row r="147" spans="1:18">
      <c r="A147" s="166">
        <v>1935</v>
      </c>
      <c r="B147" s="172">
        <f t="shared" si="6"/>
        <v>17.52</v>
      </c>
      <c r="C147" s="172"/>
      <c r="D147" s="172">
        <f>$B$236+ricco_price_effects_and_etr!$D$25*100</f>
        <v>14.355874079073295</v>
      </c>
      <c r="E147" s="172"/>
      <c r="F147" s="157">
        <f t="shared" si="7"/>
        <v>16.804955336938377</v>
      </c>
      <c r="H147" s="420" t="s">
        <v>217</v>
      </c>
      <c r="I147" s="420" t="s">
        <v>75</v>
      </c>
      <c r="J147" s="421">
        <v>4399</v>
      </c>
      <c r="K147" s="421">
        <v>4339</v>
      </c>
      <c r="L147" s="421">
        <v>2880</v>
      </c>
      <c r="M147" s="421">
        <v>1458</v>
      </c>
      <c r="N147" s="421">
        <v>585</v>
      </c>
      <c r="O147" s="421"/>
      <c r="P147" s="421"/>
      <c r="Q147" s="421">
        <v>13.48</v>
      </c>
      <c r="R147" s="421">
        <v>40.1</v>
      </c>
    </row>
    <row r="148" spans="1:18">
      <c r="A148" s="166">
        <v>1936</v>
      </c>
      <c r="B148" s="172">
        <f t="shared" si="6"/>
        <v>16.84</v>
      </c>
      <c r="C148" s="172"/>
      <c r="D148" s="172">
        <f>$B$236+ricco_price_effects_and_etr!$D$25*100</f>
        <v>14.355874079073295</v>
      </c>
      <c r="E148" s="172"/>
      <c r="F148" s="157">
        <f t="shared" si="7"/>
        <v>16.804955336938377</v>
      </c>
      <c r="H148" s="420" t="s">
        <v>218</v>
      </c>
      <c r="I148" s="420" t="s">
        <v>75</v>
      </c>
      <c r="J148" s="421">
        <v>3061</v>
      </c>
      <c r="K148" s="421">
        <v>3114</v>
      </c>
      <c r="L148" s="421">
        <v>2081</v>
      </c>
      <c r="M148" s="421">
        <v>1033</v>
      </c>
      <c r="N148" s="421">
        <v>462</v>
      </c>
      <c r="O148" s="421"/>
      <c r="P148" s="421"/>
      <c r="Q148" s="421">
        <v>14.83</v>
      </c>
      <c r="R148" s="421">
        <v>44.71</v>
      </c>
    </row>
    <row r="149" spans="1:18">
      <c r="A149" s="166">
        <v>1937</v>
      </c>
      <c r="B149" s="172">
        <f t="shared" si="6"/>
        <v>15.63</v>
      </c>
      <c r="C149" s="172"/>
      <c r="D149" s="172">
        <f>$B$236+ricco_price_effects_and_etr!$D$25*100</f>
        <v>14.355874079073295</v>
      </c>
      <c r="E149" s="172"/>
      <c r="F149" s="157">
        <f t="shared" si="7"/>
        <v>16.804955336938377</v>
      </c>
      <c r="H149" s="420" t="s">
        <v>219</v>
      </c>
      <c r="I149" s="420" t="s">
        <v>75</v>
      </c>
      <c r="J149" s="421">
        <v>2091</v>
      </c>
      <c r="K149" s="421">
        <v>2088</v>
      </c>
      <c r="L149" s="421">
        <v>1392</v>
      </c>
      <c r="M149" s="421">
        <v>697</v>
      </c>
      <c r="N149" s="421">
        <v>371</v>
      </c>
      <c r="O149" s="421"/>
      <c r="P149" s="421"/>
      <c r="Q149" s="421">
        <v>17.75</v>
      </c>
      <c r="R149" s="421">
        <v>53.21</v>
      </c>
    </row>
    <row r="150" spans="1:18">
      <c r="A150" s="166">
        <v>1938</v>
      </c>
      <c r="B150" s="172">
        <f t="shared" si="6"/>
        <v>15.46</v>
      </c>
      <c r="C150" s="172"/>
      <c r="D150" s="172">
        <f>$B$236+ricco_price_effects_and_etr!$D$25*100</f>
        <v>14.355874079073295</v>
      </c>
      <c r="E150" s="172"/>
      <c r="F150" s="157">
        <f t="shared" si="7"/>
        <v>16.804955336938377</v>
      </c>
      <c r="H150" s="420" t="s">
        <v>220</v>
      </c>
      <c r="I150" s="420" t="s">
        <v>75</v>
      </c>
      <c r="J150" s="421">
        <v>1323</v>
      </c>
      <c r="K150" s="421">
        <v>1325</v>
      </c>
      <c r="L150" s="421">
        <v>886</v>
      </c>
      <c r="M150" s="421">
        <v>440</v>
      </c>
      <c r="N150" s="421">
        <v>260</v>
      </c>
      <c r="O150" s="421"/>
      <c r="P150" s="421"/>
      <c r="Q150" s="421">
        <v>19.59</v>
      </c>
      <c r="R150" s="421">
        <v>59.06</v>
      </c>
    </row>
    <row r="151" spans="1:18">
      <c r="A151" s="166">
        <v>1939</v>
      </c>
      <c r="B151" s="172">
        <f t="shared" si="6"/>
        <v>14.41</v>
      </c>
      <c r="C151" s="172"/>
      <c r="D151" s="172">
        <f>$B$236+ricco_price_effects_and_etr!$D$25*100</f>
        <v>14.355874079073295</v>
      </c>
      <c r="E151" s="172"/>
      <c r="F151" s="157">
        <f t="shared" si="7"/>
        <v>16.804955336938377</v>
      </c>
      <c r="H151" s="420" t="s">
        <v>221</v>
      </c>
      <c r="I151" s="420" t="s">
        <v>75</v>
      </c>
      <c r="J151" s="421">
        <v>1450</v>
      </c>
      <c r="K151" s="421">
        <v>1433</v>
      </c>
      <c r="L151" s="421">
        <v>904</v>
      </c>
      <c r="M151" s="421">
        <v>529</v>
      </c>
      <c r="N151" s="421">
        <v>284</v>
      </c>
      <c r="O151" s="421"/>
      <c r="P151" s="421"/>
      <c r="Q151" s="421">
        <v>19.8</v>
      </c>
      <c r="R151" s="421">
        <v>53.58</v>
      </c>
    </row>
    <row r="152" spans="1:18">
      <c r="A152" s="166">
        <v>1940</v>
      </c>
      <c r="B152" s="172">
        <f t="shared" si="6"/>
        <v>12.51</v>
      </c>
      <c r="C152" s="172"/>
      <c r="D152" s="172">
        <f>$B$236+ricco_price_effects_and_etr!$D$25*100</f>
        <v>14.355874079073295</v>
      </c>
      <c r="E152" s="172"/>
      <c r="F152" s="157">
        <f t="shared" si="7"/>
        <v>16.804955336938377</v>
      </c>
      <c r="H152" s="420" t="s">
        <v>222</v>
      </c>
      <c r="I152" s="420" t="s">
        <v>75</v>
      </c>
      <c r="J152" s="421">
        <v>1655</v>
      </c>
      <c r="K152" s="421">
        <v>1636</v>
      </c>
      <c r="L152" s="421">
        <v>991</v>
      </c>
      <c r="M152" s="421">
        <v>645</v>
      </c>
      <c r="N152" s="421">
        <v>301</v>
      </c>
      <c r="O152" s="421"/>
      <c r="P152" s="421"/>
      <c r="Q152" s="421">
        <v>18.41</v>
      </c>
      <c r="R152" s="421">
        <v>46.7</v>
      </c>
    </row>
    <row r="153" spans="1:18">
      <c r="A153" s="166">
        <v>1941</v>
      </c>
      <c r="B153" s="172">
        <f t="shared" si="6"/>
        <v>13.59</v>
      </c>
      <c r="C153" s="172"/>
      <c r="D153" s="172">
        <f>$B$236+ricco_price_effects_and_etr!$D$25*100</f>
        <v>14.355874079073295</v>
      </c>
      <c r="E153" s="172"/>
      <c r="F153" s="157">
        <f t="shared" si="7"/>
        <v>16.804955336938377</v>
      </c>
      <c r="H153" s="420" t="s">
        <v>223</v>
      </c>
      <c r="I153" s="420" t="s">
        <v>75</v>
      </c>
      <c r="J153" s="421">
        <v>2047</v>
      </c>
      <c r="K153" s="421">
        <v>2039</v>
      </c>
      <c r="L153" s="421">
        <v>1206</v>
      </c>
      <c r="M153" s="421">
        <v>833</v>
      </c>
      <c r="N153" s="421">
        <v>357</v>
      </c>
      <c r="O153" s="421"/>
      <c r="P153" s="421"/>
      <c r="Q153" s="421">
        <v>17.52</v>
      </c>
      <c r="R153" s="421">
        <v>42.88</v>
      </c>
    </row>
    <row r="154" spans="1:18">
      <c r="A154" s="166">
        <v>1942</v>
      </c>
      <c r="B154" s="172">
        <f t="shared" si="6"/>
        <v>11.51</v>
      </c>
      <c r="C154" s="172"/>
      <c r="D154" s="172">
        <f>$B$236+ricco_price_effects_and_etr!$D$25*100</f>
        <v>14.355874079073295</v>
      </c>
      <c r="E154" s="172"/>
      <c r="F154" s="157">
        <f t="shared" si="7"/>
        <v>16.804955336938377</v>
      </c>
      <c r="H154" s="420" t="s">
        <v>224</v>
      </c>
      <c r="I154" s="420" t="s">
        <v>75</v>
      </c>
      <c r="J154" s="421">
        <v>2423</v>
      </c>
      <c r="K154" s="421">
        <v>2424</v>
      </c>
      <c r="L154" s="421">
        <v>1385</v>
      </c>
      <c r="M154" s="421">
        <v>1039</v>
      </c>
      <c r="N154" s="421">
        <v>408</v>
      </c>
      <c r="O154" s="421"/>
      <c r="P154" s="421"/>
      <c r="Q154" s="421">
        <v>16.84</v>
      </c>
      <c r="R154" s="421">
        <v>39.28</v>
      </c>
    </row>
    <row r="155" spans="1:18">
      <c r="A155" s="166">
        <v>1943</v>
      </c>
      <c r="B155" s="172">
        <f t="shared" si="6"/>
        <v>11.57</v>
      </c>
      <c r="C155" s="172"/>
      <c r="D155" s="172">
        <f>$B$236+ricco_price_effects_and_etr!$D$25*100</f>
        <v>14.355874079073295</v>
      </c>
      <c r="E155" s="172"/>
      <c r="F155" s="157">
        <f t="shared" si="7"/>
        <v>16.804955336938377</v>
      </c>
      <c r="H155" s="420" t="s">
        <v>225</v>
      </c>
      <c r="I155" s="420" t="s">
        <v>75</v>
      </c>
      <c r="J155" s="421">
        <v>3084</v>
      </c>
      <c r="K155" s="421">
        <v>3010</v>
      </c>
      <c r="L155" s="421">
        <v>1765</v>
      </c>
      <c r="M155" s="421">
        <v>1245</v>
      </c>
      <c r="N155" s="421">
        <v>471</v>
      </c>
      <c r="O155" s="421"/>
      <c r="P155" s="421"/>
      <c r="Q155" s="421">
        <v>15.63</v>
      </c>
      <c r="R155" s="421">
        <v>37.799999999999997</v>
      </c>
    </row>
    <row r="156" spans="1:18">
      <c r="A156" s="166">
        <v>1944</v>
      </c>
      <c r="B156" s="172">
        <f t="shared" si="6"/>
        <v>9.4499999999999993</v>
      </c>
      <c r="C156" s="172"/>
      <c r="D156" s="172">
        <f>$B$236+ricco_price_effects_and_etr!$D$25*100</f>
        <v>14.355874079073295</v>
      </c>
      <c r="E156" s="172"/>
      <c r="F156" s="157">
        <f t="shared" si="7"/>
        <v>16.804955336938377</v>
      </c>
      <c r="H156" s="420" t="s">
        <v>226</v>
      </c>
      <c r="I156" s="420" t="s">
        <v>75</v>
      </c>
      <c r="J156" s="421">
        <v>1960</v>
      </c>
      <c r="K156" s="421">
        <v>1950</v>
      </c>
      <c r="L156" s="421">
        <v>1183</v>
      </c>
      <c r="M156" s="421">
        <v>767</v>
      </c>
      <c r="N156" s="421">
        <v>301</v>
      </c>
      <c r="O156" s="421"/>
      <c r="P156" s="421"/>
      <c r="Q156" s="421">
        <v>15.46</v>
      </c>
      <c r="R156" s="421">
        <v>39.299999999999997</v>
      </c>
    </row>
    <row r="157" spans="1:18">
      <c r="A157" s="166">
        <v>1945</v>
      </c>
      <c r="B157" s="172">
        <f t="shared" si="6"/>
        <v>9.2899999999999991</v>
      </c>
      <c r="C157" s="172"/>
      <c r="D157" s="172">
        <f>$B$236+ricco_price_effects_and_etr!$D$25*100</f>
        <v>14.355874079073295</v>
      </c>
      <c r="E157" s="172"/>
      <c r="F157" s="157">
        <f t="shared" si="7"/>
        <v>16.804955336938377</v>
      </c>
      <c r="H157" s="420" t="s">
        <v>227</v>
      </c>
      <c r="I157" s="420" t="s">
        <v>75</v>
      </c>
      <c r="J157" s="421">
        <v>2318</v>
      </c>
      <c r="K157" s="421">
        <v>2276</v>
      </c>
      <c r="L157" s="421">
        <v>1397</v>
      </c>
      <c r="M157" s="421">
        <v>879</v>
      </c>
      <c r="N157" s="421">
        <v>328</v>
      </c>
      <c r="O157" s="421"/>
      <c r="P157" s="421"/>
      <c r="Q157" s="421">
        <v>14.41</v>
      </c>
      <c r="R157" s="421">
        <v>37.33</v>
      </c>
    </row>
    <row r="158" spans="1:18">
      <c r="A158" s="166">
        <v>1946</v>
      </c>
      <c r="B158" s="172">
        <f t="shared" si="6"/>
        <v>9.9</v>
      </c>
      <c r="C158" s="172"/>
      <c r="D158" s="172">
        <f>$B$236+ricco_price_effects_and_etr!$D$25*100</f>
        <v>14.355874079073295</v>
      </c>
      <c r="E158" s="172"/>
      <c r="F158" s="157">
        <f t="shared" si="7"/>
        <v>16.804955336938377</v>
      </c>
      <c r="H158" s="420" t="s">
        <v>228</v>
      </c>
      <c r="I158" s="420" t="s">
        <v>75</v>
      </c>
      <c r="J158" s="421">
        <v>2625</v>
      </c>
      <c r="K158" s="421">
        <v>2541</v>
      </c>
      <c r="L158" s="421">
        <v>1649</v>
      </c>
      <c r="M158" s="421">
        <v>892</v>
      </c>
      <c r="N158" s="421">
        <v>318</v>
      </c>
      <c r="O158" s="421"/>
      <c r="P158" s="421"/>
      <c r="Q158" s="421">
        <v>12.51</v>
      </c>
      <c r="R158" s="421">
        <v>35.630000000000003</v>
      </c>
    </row>
    <row r="159" spans="1:18">
      <c r="A159" s="166">
        <v>1947</v>
      </c>
      <c r="B159" s="172">
        <f t="shared" si="6"/>
        <v>7.55</v>
      </c>
      <c r="C159" s="172"/>
      <c r="D159" s="172">
        <f>$B$236+ricco_price_effects_and_etr!$D$25*100</f>
        <v>14.355874079073295</v>
      </c>
      <c r="E159" s="172"/>
      <c r="F159" s="157">
        <f t="shared" si="7"/>
        <v>16.804955336938377</v>
      </c>
      <c r="H159" s="420" t="s">
        <v>229</v>
      </c>
      <c r="I159" s="420" t="s">
        <v>75</v>
      </c>
      <c r="J159" s="421">
        <v>3345</v>
      </c>
      <c r="K159" s="421">
        <v>3222</v>
      </c>
      <c r="L159" s="421">
        <v>2031</v>
      </c>
      <c r="M159" s="421">
        <v>1191</v>
      </c>
      <c r="N159" s="421">
        <v>438</v>
      </c>
      <c r="O159" s="421"/>
      <c r="P159" s="421"/>
      <c r="Q159" s="421">
        <v>13.59</v>
      </c>
      <c r="R159" s="421">
        <v>36.75</v>
      </c>
    </row>
    <row r="160" spans="1:18">
      <c r="A160" s="166">
        <v>1948</v>
      </c>
      <c r="B160" s="172">
        <f t="shared" si="6"/>
        <v>5.71</v>
      </c>
      <c r="C160" s="172"/>
      <c r="D160" s="172">
        <f>$B$236+ricco_price_effects_and_etr!$D$25*100</f>
        <v>14.355874079073295</v>
      </c>
      <c r="E160" s="172"/>
      <c r="F160" s="157">
        <f t="shared" si="7"/>
        <v>16.804955336938377</v>
      </c>
      <c r="H160" s="420" t="s">
        <v>230</v>
      </c>
      <c r="I160" s="420" t="s">
        <v>75</v>
      </c>
      <c r="J160" s="421">
        <v>2756</v>
      </c>
      <c r="K160" s="421">
        <v>2780</v>
      </c>
      <c r="L160" s="421">
        <v>1779</v>
      </c>
      <c r="M160" s="421">
        <v>1002</v>
      </c>
      <c r="N160" s="421">
        <v>320</v>
      </c>
      <c r="O160" s="421"/>
      <c r="P160" s="421"/>
      <c r="Q160" s="421">
        <v>11.51</v>
      </c>
      <c r="R160" s="421">
        <v>31.96</v>
      </c>
    </row>
    <row r="161" spans="1:18">
      <c r="A161" s="166">
        <v>1949</v>
      </c>
      <c r="B161" s="172">
        <f t="shared" si="6"/>
        <v>5.53</v>
      </c>
      <c r="C161" s="172"/>
      <c r="D161" s="172">
        <f>$B$236+ricco_price_effects_and_etr!$D$25*100</f>
        <v>14.355874079073295</v>
      </c>
      <c r="E161" s="172"/>
      <c r="F161" s="157">
        <f t="shared" si="7"/>
        <v>16.804955336938377</v>
      </c>
      <c r="H161" s="420" t="s">
        <v>231</v>
      </c>
      <c r="I161" s="420" t="s">
        <v>75</v>
      </c>
      <c r="J161" s="421">
        <v>3381</v>
      </c>
      <c r="K161" s="421">
        <v>3390</v>
      </c>
      <c r="L161" s="421">
        <v>2193</v>
      </c>
      <c r="M161" s="421">
        <v>1197</v>
      </c>
      <c r="N161" s="421">
        <v>393</v>
      </c>
      <c r="O161" s="421"/>
      <c r="P161" s="421"/>
      <c r="Q161" s="421">
        <v>11.57</v>
      </c>
      <c r="R161" s="421">
        <v>32.79</v>
      </c>
    </row>
    <row r="162" spans="1:18">
      <c r="A162" s="166">
        <v>1950</v>
      </c>
      <c r="B162" s="172">
        <f t="shared" ref="B162:B193" si="8">Q168</f>
        <v>5.97</v>
      </c>
      <c r="C162" s="172"/>
      <c r="D162" s="172">
        <f>$B$236+ricco_price_effects_and_etr!$D$25*100</f>
        <v>14.355874079073295</v>
      </c>
      <c r="E162" s="172"/>
      <c r="F162" s="157">
        <f t="shared" si="7"/>
        <v>16.804955336938377</v>
      </c>
      <c r="H162" s="420" t="s">
        <v>232</v>
      </c>
      <c r="I162" s="420" t="s">
        <v>75</v>
      </c>
      <c r="J162" s="421">
        <v>3929</v>
      </c>
      <c r="K162" s="421">
        <v>3887</v>
      </c>
      <c r="L162" s="421">
        <v>2718</v>
      </c>
      <c r="M162" s="421">
        <v>1170</v>
      </c>
      <c r="N162" s="421">
        <v>367</v>
      </c>
      <c r="O162" s="421"/>
      <c r="P162" s="421"/>
      <c r="Q162" s="421">
        <v>9.4499999999999993</v>
      </c>
      <c r="R162" s="421">
        <v>31.41</v>
      </c>
    </row>
    <row r="163" spans="1:18">
      <c r="A163" s="166">
        <v>1951</v>
      </c>
      <c r="B163" s="172">
        <f t="shared" si="8"/>
        <v>5.47</v>
      </c>
      <c r="C163" s="172"/>
      <c r="D163" s="172">
        <f>$B$236+ricco_price_effects_and_etr!$D$25*100</f>
        <v>14.355874079073295</v>
      </c>
      <c r="E163" s="172"/>
      <c r="F163" s="157">
        <f t="shared" si="7"/>
        <v>16.804955336938377</v>
      </c>
      <c r="H163" s="420" t="s">
        <v>233</v>
      </c>
      <c r="I163" s="420" t="s">
        <v>75</v>
      </c>
      <c r="J163" s="421">
        <v>4159</v>
      </c>
      <c r="K163" s="421">
        <v>4098</v>
      </c>
      <c r="L163" s="421">
        <v>2749</v>
      </c>
      <c r="M163" s="421">
        <v>1349</v>
      </c>
      <c r="N163" s="421">
        <v>381</v>
      </c>
      <c r="O163" s="421"/>
      <c r="P163" s="421"/>
      <c r="Q163" s="421">
        <v>9.2899999999999991</v>
      </c>
      <c r="R163" s="421">
        <v>28.24</v>
      </c>
    </row>
    <row r="164" spans="1:18">
      <c r="A164" s="166">
        <v>1952</v>
      </c>
      <c r="B164" s="172">
        <f t="shared" si="8"/>
        <v>5.3</v>
      </c>
      <c r="C164" s="172"/>
      <c r="D164" s="172">
        <f>$B$236+ricco_price_effects_and_etr!$D$25*100</f>
        <v>14.355874079073295</v>
      </c>
      <c r="E164" s="172"/>
      <c r="F164" s="157">
        <f t="shared" si="7"/>
        <v>16.804955336938377</v>
      </c>
      <c r="H164" s="420" t="s">
        <v>234</v>
      </c>
      <c r="I164" s="420" t="s">
        <v>75</v>
      </c>
      <c r="J164" s="421">
        <v>4942</v>
      </c>
      <c r="K164" s="421">
        <v>4825</v>
      </c>
      <c r="L164" s="421">
        <v>2935</v>
      </c>
      <c r="M164" s="421">
        <v>1890</v>
      </c>
      <c r="N164" s="421">
        <v>478</v>
      </c>
      <c r="O164" s="421"/>
      <c r="P164" s="421"/>
      <c r="Q164" s="421">
        <v>9.9</v>
      </c>
      <c r="R164" s="421">
        <v>25.28</v>
      </c>
    </row>
    <row r="165" spans="1:18">
      <c r="A165" s="166">
        <v>1953</v>
      </c>
      <c r="B165" s="172">
        <f t="shared" si="8"/>
        <v>5.42</v>
      </c>
      <c r="C165" s="172"/>
      <c r="D165" s="172">
        <f>$B$236+ricco_price_effects_and_etr!$D$25*100</f>
        <v>14.355874079073295</v>
      </c>
      <c r="E165" s="172"/>
      <c r="F165" s="157">
        <f t="shared" si="7"/>
        <v>16.804955336938377</v>
      </c>
      <c r="H165" s="420" t="s">
        <v>235</v>
      </c>
      <c r="I165" s="420" t="s">
        <v>75</v>
      </c>
      <c r="J165" s="421">
        <v>5756</v>
      </c>
      <c r="K165" s="421">
        <v>5666</v>
      </c>
      <c r="L165" s="421">
        <v>3455</v>
      </c>
      <c r="M165" s="421">
        <v>2212</v>
      </c>
      <c r="N165" s="421">
        <v>428</v>
      </c>
      <c r="O165" s="421"/>
      <c r="P165" s="421"/>
      <c r="Q165" s="421">
        <v>7.55</v>
      </c>
      <c r="R165" s="421">
        <v>19.34</v>
      </c>
    </row>
    <row r="166" spans="1:18">
      <c r="A166" s="166">
        <v>1954</v>
      </c>
      <c r="B166" s="172">
        <f t="shared" si="8"/>
        <v>5.17</v>
      </c>
      <c r="C166" s="172"/>
      <c r="D166" s="172">
        <f>$B$236+ricco_price_effects_and_etr!$D$25*100</f>
        <v>14.355874079073295</v>
      </c>
      <c r="E166" s="172"/>
      <c r="F166" s="157">
        <f t="shared" si="7"/>
        <v>16.804955336938377</v>
      </c>
      <c r="H166" s="420" t="s">
        <v>236</v>
      </c>
      <c r="I166" s="420" t="s">
        <v>75</v>
      </c>
      <c r="J166" s="421">
        <v>7124</v>
      </c>
      <c r="K166" s="421">
        <v>7092</v>
      </c>
      <c r="L166" s="421">
        <v>4175</v>
      </c>
      <c r="M166" s="421">
        <v>2918</v>
      </c>
      <c r="N166" s="421">
        <v>405</v>
      </c>
      <c r="O166" s="421"/>
      <c r="P166" s="421"/>
      <c r="Q166" s="421">
        <v>5.71</v>
      </c>
      <c r="R166" s="421">
        <v>13.87</v>
      </c>
    </row>
    <row r="167" spans="1:18">
      <c r="A167" s="166">
        <v>1955</v>
      </c>
      <c r="B167" s="172">
        <f t="shared" si="8"/>
        <v>5.59</v>
      </c>
      <c r="C167" s="172"/>
      <c r="D167" s="172">
        <f>$B$236+ricco_price_effects_and_etr!$D$25*100</f>
        <v>14.355874079073295</v>
      </c>
      <c r="E167" s="172"/>
      <c r="F167" s="157">
        <f t="shared" si="7"/>
        <v>16.804955336938377</v>
      </c>
      <c r="H167" s="420" t="s">
        <v>237</v>
      </c>
      <c r="I167" s="420" t="s">
        <v>75</v>
      </c>
      <c r="J167" s="421">
        <v>6622</v>
      </c>
      <c r="K167" s="421">
        <v>6592</v>
      </c>
      <c r="L167" s="421">
        <v>3883</v>
      </c>
      <c r="M167" s="421">
        <v>2708</v>
      </c>
      <c r="N167" s="421">
        <v>365</v>
      </c>
      <c r="O167" s="421"/>
      <c r="P167" s="421"/>
      <c r="Q167" s="421">
        <v>5.53</v>
      </c>
      <c r="R167" s="421">
        <v>13.46</v>
      </c>
    </row>
    <row r="168" spans="1:18">
      <c r="A168" s="166">
        <v>1956</v>
      </c>
      <c r="B168" s="172">
        <f t="shared" si="8"/>
        <v>5.67</v>
      </c>
      <c r="C168" s="172"/>
      <c r="D168" s="172">
        <f>$B$236+ricco_price_effects_and_etr!$D$25*100</f>
        <v>14.355874079073295</v>
      </c>
      <c r="E168" s="172"/>
      <c r="F168" s="157">
        <f t="shared" si="7"/>
        <v>16.804955336938377</v>
      </c>
      <c r="H168" s="420" t="s">
        <v>238</v>
      </c>
      <c r="I168" s="420" t="s">
        <v>75</v>
      </c>
      <c r="J168" s="421">
        <v>8852</v>
      </c>
      <c r="K168" s="421">
        <v>8743</v>
      </c>
      <c r="L168" s="421">
        <v>4767</v>
      </c>
      <c r="M168" s="421">
        <v>3976</v>
      </c>
      <c r="N168" s="421">
        <v>522</v>
      </c>
      <c r="O168" s="421"/>
      <c r="P168" s="421"/>
      <c r="Q168" s="421">
        <v>5.97</v>
      </c>
      <c r="R168" s="421">
        <v>13.14</v>
      </c>
    </row>
    <row r="169" spans="1:18">
      <c r="A169" s="166">
        <v>1957</v>
      </c>
      <c r="B169" s="172">
        <f t="shared" si="8"/>
        <v>5.76</v>
      </c>
      <c r="C169" s="172"/>
      <c r="D169" s="172">
        <f>$B$236+ricco_price_effects_and_etr!$D$25*100</f>
        <v>14.355874079073295</v>
      </c>
      <c r="E169" s="172"/>
      <c r="F169" s="157">
        <f t="shared" si="7"/>
        <v>16.804955336938377</v>
      </c>
      <c r="H169" s="420" t="s">
        <v>239</v>
      </c>
      <c r="I169" s="420" t="s">
        <v>75</v>
      </c>
      <c r="J169" s="421">
        <v>10967</v>
      </c>
      <c r="K169" s="421">
        <v>10817</v>
      </c>
      <c r="L169" s="421">
        <v>5993</v>
      </c>
      <c r="M169" s="421">
        <v>4824</v>
      </c>
      <c r="N169" s="421">
        <v>591</v>
      </c>
      <c r="O169" s="421"/>
      <c r="P169" s="421"/>
      <c r="Q169" s="421">
        <v>5.47</v>
      </c>
      <c r="R169" s="421">
        <v>12.26</v>
      </c>
    </row>
    <row r="170" spans="1:18">
      <c r="A170" s="166">
        <v>1958</v>
      </c>
      <c r="B170" s="172">
        <f t="shared" si="8"/>
        <v>6.44</v>
      </c>
      <c r="C170" s="172"/>
      <c r="D170" s="172">
        <f>$B$236+ricco_price_effects_and_etr!$D$25*100</f>
        <v>14.355874079073295</v>
      </c>
      <c r="E170" s="172"/>
      <c r="F170" s="157">
        <f t="shared" si="7"/>
        <v>16.804955336938377</v>
      </c>
      <c r="H170" s="420" t="s">
        <v>240</v>
      </c>
      <c r="I170" s="420" t="s">
        <v>75</v>
      </c>
      <c r="J170" s="421">
        <v>10717</v>
      </c>
      <c r="K170" s="421">
        <v>10747</v>
      </c>
      <c r="L170" s="421">
        <v>6257</v>
      </c>
      <c r="M170" s="421">
        <v>4491</v>
      </c>
      <c r="N170" s="421">
        <v>570</v>
      </c>
      <c r="O170" s="421"/>
      <c r="P170" s="421"/>
      <c r="Q170" s="421">
        <v>5.3</v>
      </c>
      <c r="R170" s="421">
        <v>12.69</v>
      </c>
    </row>
    <row r="171" spans="1:18">
      <c r="A171" s="166">
        <v>1959</v>
      </c>
      <c r="B171" s="172">
        <f t="shared" si="8"/>
        <v>7.02</v>
      </c>
      <c r="C171" s="172"/>
      <c r="D171" s="172">
        <f>$B$236+ricco_price_effects_and_etr!$D$25*100</f>
        <v>14.355874079073295</v>
      </c>
      <c r="E171" s="172"/>
      <c r="F171" s="157">
        <f t="shared" si="7"/>
        <v>16.804955336938377</v>
      </c>
      <c r="H171" s="420" t="s">
        <v>241</v>
      </c>
      <c r="I171" s="420" t="s">
        <v>75</v>
      </c>
      <c r="J171" s="421">
        <v>10873</v>
      </c>
      <c r="K171" s="421">
        <v>10779</v>
      </c>
      <c r="L171" s="421">
        <v>5920</v>
      </c>
      <c r="M171" s="421">
        <v>4859</v>
      </c>
      <c r="N171" s="421">
        <v>584</v>
      </c>
      <c r="O171" s="421"/>
      <c r="P171" s="421"/>
      <c r="Q171" s="421">
        <v>5.42</v>
      </c>
      <c r="R171" s="421">
        <v>12.02</v>
      </c>
    </row>
    <row r="172" spans="1:18">
      <c r="A172" s="166">
        <v>1960</v>
      </c>
      <c r="B172" s="172">
        <f t="shared" si="8"/>
        <v>7.4</v>
      </c>
      <c r="C172" s="172"/>
      <c r="D172" s="172">
        <f>$B$236+ricco_price_effects_and_etr!$D$25*100</f>
        <v>14.355874079073295</v>
      </c>
      <c r="E172" s="172"/>
      <c r="F172" s="157">
        <f t="shared" si="7"/>
        <v>16.804955336938377</v>
      </c>
      <c r="H172" s="420" t="s">
        <v>242</v>
      </c>
      <c r="I172" s="420" t="s">
        <v>75</v>
      </c>
      <c r="J172" s="421">
        <v>10215</v>
      </c>
      <c r="K172" s="421">
        <v>10240</v>
      </c>
      <c r="L172" s="421">
        <v>5668</v>
      </c>
      <c r="M172" s="421">
        <v>4572</v>
      </c>
      <c r="N172" s="421">
        <v>529</v>
      </c>
      <c r="O172" s="421"/>
      <c r="P172" s="421"/>
      <c r="Q172" s="421">
        <v>5.17</v>
      </c>
      <c r="R172" s="421">
        <v>11.58</v>
      </c>
    </row>
    <row r="173" spans="1:18">
      <c r="A173" s="166">
        <v>1961</v>
      </c>
      <c r="B173" s="172">
        <f t="shared" si="8"/>
        <v>7.21</v>
      </c>
      <c r="C173" s="172"/>
      <c r="D173" s="172">
        <f>$B$236+ricco_price_effects_and_etr!$D$25*100</f>
        <v>14.355874079073295</v>
      </c>
      <c r="E173" s="172"/>
      <c r="F173" s="157">
        <f t="shared" si="7"/>
        <v>16.804955336938377</v>
      </c>
      <c r="H173" s="420" t="s">
        <v>243</v>
      </c>
      <c r="I173" s="420" t="s">
        <v>75</v>
      </c>
      <c r="J173" s="421">
        <v>11384</v>
      </c>
      <c r="K173" s="421">
        <v>11337</v>
      </c>
      <c r="L173" s="421">
        <v>6037</v>
      </c>
      <c r="M173" s="421">
        <v>5300</v>
      </c>
      <c r="N173" s="421">
        <v>633</v>
      </c>
      <c r="O173" s="421"/>
      <c r="P173" s="421"/>
      <c r="Q173" s="421">
        <v>5.59</v>
      </c>
      <c r="R173" s="421">
        <v>11.95</v>
      </c>
    </row>
    <row r="174" spans="1:18">
      <c r="A174" s="166">
        <v>1962</v>
      </c>
      <c r="B174" s="172">
        <f t="shared" si="8"/>
        <v>7.5</v>
      </c>
      <c r="C174" s="172"/>
      <c r="D174" s="172">
        <f>$B$236+ricco_price_effects_and_etr!$D$25*100</f>
        <v>14.355874079073295</v>
      </c>
      <c r="E174" s="172"/>
      <c r="F174" s="157">
        <f t="shared" si="7"/>
        <v>16.804955336938377</v>
      </c>
      <c r="H174" s="420" t="s">
        <v>244</v>
      </c>
      <c r="I174" s="420" t="s">
        <v>75</v>
      </c>
      <c r="J174" s="421">
        <v>12615</v>
      </c>
      <c r="K174" s="421">
        <v>12516</v>
      </c>
      <c r="L174" s="421">
        <v>6235</v>
      </c>
      <c r="M174" s="421">
        <v>6281</v>
      </c>
      <c r="N174" s="421">
        <v>710</v>
      </c>
      <c r="O174" s="421"/>
      <c r="P174" s="421"/>
      <c r="Q174" s="421">
        <v>5.67</v>
      </c>
      <c r="R174" s="421">
        <v>11.3</v>
      </c>
    </row>
    <row r="175" spans="1:18">
      <c r="A175" s="166">
        <v>1963</v>
      </c>
      <c r="B175" s="172">
        <f t="shared" si="8"/>
        <v>7.29</v>
      </c>
      <c r="C175" s="172"/>
      <c r="D175" s="172">
        <f>$B$236+ricco_price_effects_and_etr!$D$25*100</f>
        <v>14.355874079073295</v>
      </c>
      <c r="E175" s="172"/>
      <c r="F175" s="157">
        <f t="shared" si="7"/>
        <v>16.804955336938377</v>
      </c>
      <c r="H175" s="420" t="s">
        <v>245</v>
      </c>
      <c r="I175" s="420" t="s">
        <v>75</v>
      </c>
      <c r="J175" s="421">
        <v>12982</v>
      </c>
      <c r="K175" s="421">
        <v>12951</v>
      </c>
      <c r="L175" s="421">
        <v>6036</v>
      </c>
      <c r="M175" s="421">
        <v>6914</v>
      </c>
      <c r="N175" s="421">
        <v>746</v>
      </c>
      <c r="O175" s="421"/>
      <c r="P175" s="421"/>
      <c r="Q175" s="421">
        <v>5.76</v>
      </c>
      <c r="R175" s="421">
        <v>10.79</v>
      </c>
    </row>
    <row r="176" spans="1:18">
      <c r="A176" s="166">
        <v>1964</v>
      </c>
      <c r="B176" s="172">
        <f t="shared" si="8"/>
        <v>7.2</v>
      </c>
      <c r="C176" s="172"/>
      <c r="D176" s="172">
        <f>$B$236+ricco_price_effects_and_etr!$D$25*100</f>
        <v>14.355874079073295</v>
      </c>
      <c r="E176" s="172"/>
      <c r="F176" s="157">
        <f t="shared" si="7"/>
        <v>16.804955336938377</v>
      </c>
      <c r="H176" s="420" t="s">
        <v>246</v>
      </c>
      <c r="I176" s="420" t="s">
        <v>75</v>
      </c>
      <c r="J176" s="421">
        <v>12792</v>
      </c>
      <c r="K176" s="421">
        <v>12739</v>
      </c>
      <c r="L176" s="421">
        <v>5342</v>
      </c>
      <c r="M176" s="421">
        <v>7398</v>
      </c>
      <c r="N176" s="421">
        <v>821</v>
      </c>
      <c r="O176" s="421"/>
      <c r="P176" s="421"/>
      <c r="Q176" s="421">
        <v>6.44</v>
      </c>
      <c r="R176" s="421">
        <v>11.09</v>
      </c>
    </row>
    <row r="177" spans="1:18">
      <c r="A177" s="166">
        <v>1965</v>
      </c>
      <c r="B177" s="172">
        <f t="shared" si="8"/>
        <v>7.72</v>
      </c>
      <c r="C177" s="172"/>
      <c r="D177" s="172">
        <f>$B$236+ricco_price_effects_and_etr!$D$25*100</f>
        <v>14.355874079073295</v>
      </c>
      <c r="E177" s="172"/>
      <c r="F177" s="157">
        <f t="shared" si="7"/>
        <v>16.804955336938377</v>
      </c>
      <c r="H177" s="420" t="s">
        <v>247</v>
      </c>
      <c r="I177" s="420" t="s">
        <v>75</v>
      </c>
      <c r="J177" s="421">
        <v>15207</v>
      </c>
      <c r="K177" s="421">
        <v>14994</v>
      </c>
      <c r="L177" s="421">
        <v>5823</v>
      </c>
      <c r="M177" s="421">
        <v>9170</v>
      </c>
      <c r="N177" s="421">
        <v>1052</v>
      </c>
      <c r="O177" s="421"/>
      <c r="P177" s="421"/>
      <c r="Q177" s="421">
        <v>7.02</v>
      </c>
      <c r="R177" s="421">
        <v>11.53</v>
      </c>
    </row>
    <row r="178" spans="1:18">
      <c r="A178" s="166">
        <v>1966</v>
      </c>
      <c r="B178" s="172">
        <f t="shared" si="8"/>
        <v>7.57</v>
      </c>
      <c r="C178" s="172"/>
      <c r="D178" s="172">
        <f>$B$236+ricco_price_effects_and_etr!$D$25*100</f>
        <v>14.355874079073295</v>
      </c>
      <c r="E178" s="172"/>
      <c r="F178" s="157">
        <f t="shared" si="7"/>
        <v>16.804955336938377</v>
      </c>
      <c r="H178" s="420" t="s">
        <v>248</v>
      </c>
      <c r="I178" s="420" t="s">
        <v>75</v>
      </c>
      <c r="J178" s="421">
        <v>14654</v>
      </c>
      <c r="K178" s="421">
        <v>14650</v>
      </c>
      <c r="L178" s="421">
        <v>5780</v>
      </c>
      <c r="M178" s="421">
        <v>8870</v>
      </c>
      <c r="N178" s="421">
        <v>1084</v>
      </c>
      <c r="O178" s="421"/>
      <c r="P178" s="421"/>
      <c r="Q178" s="421">
        <v>7.4</v>
      </c>
      <c r="R178" s="421">
        <v>12.22</v>
      </c>
    </row>
    <row r="179" spans="1:18">
      <c r="A179" s="166">
        <v>1967</v>
      </c>
      <c r="B179" s="172">
        <f t="shared" si="8"/>
        <v>7.54</v>
      </c>
      <c r="C179" s="172"/>
      <c r="D179" s="172">
        <f>$B$236+ricco_price_effects_and_etr!$D$25*100</f>
        <v>14.355874079073295</v>
      </c>
      <c r="E179" s="172"/>
      <c r="F179" s="157">
        <f t="shared" si="7"/>
        <v>16.804955336938377</v>
      </c>
      <c r="H179" s="420" t="s">
        <v>249</v>
      </c>
      <c r="I179" s="420" t="s">
        <v>75</v>
      </c>
      <c r="J179" s="421">
        <v>14714</v>
      </c>
      <c r="K179" s="421">
        <v>14658</v>
      </c>
      <c r="L179" s="421">
        <v>5923</v>
      </c>
      <c r="M179" s="421">
        <v>8735</v>
      </c>
      <c r="N179" s="421">
        <v>1057</v>
      </c>
      <c r="O179" s="421"/>
      <c r="P179" s="421"/>
      <c r="Q179" s="421">
        <v>7.21</v>
      </c>
      <c r="R179" s="421">
        <v>12.1</v>
      </c>
    </row>
    <row r="180" spans="1:18">
      <c r="A180" s="166">
        <v>1968</v>
      </c>
      <c r="B180" s="172">
        <f t="shared" si="8"/>
        <v>7.08</v>
      </c>
      <c r="C180" s="172"/>
      <c r="D180" s="172">
        <f>$B$236+ricco_price_effects_and_etr!$D$25*100</f>
        <v>14.355874079073295</v>
      </c>
      <c r="E180" s="172"/>
      <c r="F180" s="157">
        <f t="shared" si="7"/>
        <v>16.804955336938377</v>
      </c>
      <c r="H180" s="420" t="s">
        <v>250</v>
      </c>
      <c r="I180" s="420" t="s">
        <v>75</v>
      </c>
      <c r="J180" s="421">
        <v>16380</v>
      </c>
      <c r="K180" s="421">
        <v>16242</v>
      </c>
      <c r="L180" s="421">
        <v>6216</v>
      </c>
      <c r="M180" s="421">
        <v>10026</v>
      </c>
      <c r="N180" s="421">
        <v>1220</v>
      </c>
      <c r="O180" s="421"/>
      <c r="P180" s="421"/>
      <c r="Q180" s="421">
        <v>7.5</v>
      </c>
      <c r="R180" s="421">
        <v>12.17</v>
      </c>
    </row>
    <row r="181" spans="1:18">
      <c r="A181" s="166">
        <v>1969</v>
      </c>
      <c r="B181" s="172">
        <f t="shared" si="8"/>
        <v>7.11</v>
      </c>
      <c r="C181" s="172"/>
      <c r="D181" s="172">
        <f>$B$236+ricco_price_effects_and_etr!$D$25*100</f>
        <v>14.355874079073295</v>
      </c>
      <c r="E181" s="172"/>
      <c r="F181" s="157">
        <f t="shared" si="7"/>
        <v>16.804955336938377</v>
      </c>
      <c r="H181" s="420" t="s">
        <v>251</v>
      </c>
      <c r="I181" s="420" t="s">
        <v>75</v>
      </c>
      <c r="J181" s="421">
        <v>17138</v>
      </c>
      <c r="K181" s="421">
        <v>17001</v>
      </c>
      <c r="L181" s="421">
        <v>6258</v>
      </c>
      <c r="M181" s="421">
        <v>10743</v>
      </c>
      <c r="N181" s="421">
        <v>1240</v>
      </c>
      <c r="O181" s="421"/>
      <c r="P181" s="421"/>
      <c r="Q181" s="421">
        <v>7.29</v>
      </c>
      <c r="R181" s="421">
        <v>11.54</v>
      </c>
    </row>
    <row r="182" spans="1:18">
      <c r="A182" s="166">
        <v>1970</v>
      </c>
      <c r="B182" s="172">
        <f t="shared" si="8"/>
        <v>6.5</v>
      </c>
      <c r="C182" s="172"/>
      <c r="D182" s="172">
        <f>$B$236+ricco_price_effects_and_etr!$D$25*100</f>
        <v>14.355874079073295</v>
      </c>
      <c r="E182" s="172"/>
      <c r="F182" s="157">
        <f t="shared" si="7"/>
        <v>16.804955336938377</v>
      </c>
      <c r="H182" s="420" t="s">
        <v>252</v>
      </c>
      <c r="I182" s="420" t="s">
        <v>75</v>
      </c>
      <c r="J182" s="421">
        <v>18684</v>
      </c>
      <c r="K182" s="421">
        <v>18601</v>
      </c>
      <c r="L182" s="421">
        <v>7029</v>
      </c>
      <c r="M182" s="421">
        <v>11572</v>
      </c>
      <c r="N182" s="421">
        <v>1340</v>
      </c>
      <c r="O182" s="421"/>
      <c r="P182" s="421"/>
      <c r="Q182" s="421">
        <v>7.2</v>
      </c>
      <c r="R182" s="421">
        <v>11.58</v>
      </c>
    </row>
    <row r="183" spans="1:18">
      <c r="A183" s="166">
        <v>1971</v>
      </c>
      <c r="B183" s="172">
        <f t="shared" si="8"/>
        <v>6.08</v>
      </c>
      <c r="C183" s="172"/>
      <c r="D183" s="172">
        <f>$B$236+ricco_price_effects_and_etr!$D$25*100</f>
        <v>14.355874079073295</v>
      </c>
      <c r="E183" s="172"/>
      <c r="F183" s="157">
        <f t="shared" si="7"/>
        <v>16.804955336938377</v>
      </c>
      <c r="H183" s="420" t="s">
        <v>253</v>
      </c>
      <c r="I183" s="420" t="s">
        <v>75</v>
      </c>
      <c r="J183" s="421">
        <v>21364</v>
      </c>
      <c r="K183" s="421">
        <v>21282</v>
      </c>
      <c r="L183" s="421">
        <v>7434</v>
      </c>
      <c r="M183" s="421">
        <v>13848</v>
      </c>
      <c r="N183" s="421">
        <v>1643</v>
      </c>
      <c r="O183" s="421"/>
      <c r="P183" s="421"/>
      <c r="Q183" s="421">
        <v>7.72</v>
      </c>
      <c r="R183" s="421">
        <v>11.86</v>
      </c>
    </row>
    <row r="184" spans="1:18">
      <c r="A184" s="166">
        <v>1972</v>
      </c>
      <c r="B184" s="172">
        <f t="shared" si="8"/>
        <v>5.65</v>
      </c>
      <c r="C184" s="172"/>
      <c r="D184" s="172">
        <f>$B$236+ricco_price_effects_and_etr!$D$25*100</f>
        <v>14.355874079073295</v>
      </c>
      <c r="E184" s="172"/>
      <c r="F184" s="157">
        <f t="shared" si="7"/>
        <v>16.804955336938377</v>
      </c>
      <c r="H184" s="420" t="s">
        <v>254</v>
      </c>
      <c r="I184" s="420" t="s">
        <v>75</v>
      </c>
      <c r="J184" s="421">
        <v>25542</v>
      </c>
      <c r="K184" s="421">
        <v>25360</v>
      </c>
      <c r="L184" s="421">
        <v>9344</v>
      </c>
      <c r="M184" s="421">
        <v>16016</v>
      </c>
      <c r="N184" s="421">
        <v>1920</v>
      </c>
      <c r="O184" s="421"/>
      <c r="P184" s="421"/>
      <c r="Q184" s="421">
        <v>7.57</v>
      </c>
      <c r="R184" s="421">
        <v>11.99</v>
      </c>
    </row>
    <row r="185" spans="1:18">
      <c r="A185" s="166">
        <v>1973</v>
      </c>
      <c r="B185" s="172">
        <f t="shared" si="8"/>
        <v>5.24</v>
      </c>
      <c r="C185" s="172"/>
      <c r="D185" s="172">
        <f>$B$236+ricco_price_effects_and_etr!$D$25*100</f>
        <v>14.355874079073295</v>
      </c>
      <c r="E185" s="172"/>
      <c r="F185" s="157">
        <f t="shared" si="7"/>
        <v>16.804955336938377</v>
      </c>
      <c r="H185" s="420" t="s">
        <v>255</v>
      </c>
      <c r="I185" s="420" t="s">
        <v>75</v>
      </c>
      <c r="J185" s="421">
        <v>26812</v>
      </c>
      <c r="K185" s="421">
        <v>26733</v>
      </c>
      <c r="L185" s="421">
        <v>10215</v>
      </c>
      <c r="M185" s="421">
        <v>16518</v>
      </c>
      <c r="N185" s="421">
        <v>2016</v>
      </c>
      <c r="O185" s="421"/>
      <c r="P185" s="421"/>
      <c r="Q185" s="421">
        <v>7.54</v>
      </c>
      <c r="R185" s="421">
        <v>12.2</v>
      </c>
    </row>
    <row r="186" spans="1:18">
      <c r="A186" s="166">
        <v>1974</v>
      </c>
      <c r="B186" s="172">
        <f t="shared" si="8"/>
        <v>3.77</v>
      </c>
      <c r="C186" s="172"/>
      <c r="D186" s="172">
        <f>$B$236+ricco_price_effects_and_etr!$D$25*100</f>
        <v>14.355874079073295</v>
      </c>
      <c r="E186" s="172"/>
      <c r="F186" s="157">
        <f t="shared" si="7"/>
        <v>16.804955336938377</v>
      </c>
      <c r="H186" s="420" t="s">
        <v>256</v>
      </c>
      <c r="I186" s="420" t="s">
        <v>75</v>
      </c>
      <c r="J186" s="421">
        <v>33226</v>
      </c>
      <c r="K186" s="421">
        <v>33066</v>
      </c>
      <c r="L186" s="421">
        <v>12342</v>
      </c>
      <c r="M186" s="421">
        <v>20724</v>
      </c>
      <c r="N186" s="421">
        <v>2341</v>
      </c>
      <c r="O186" s="421"/>
      <c r="P186" s="421"/>
      <c r="Q186" s="421">
        <v>7.08</v>
      </c>
      <c r="R186" s="421">
        <v>11.3</v>
      </c>
    </row>
    <row r="187" spans="1:18">
      <c r="A187" s="166">
        <v>1975</v>
      </c>
      <c r="B187" s="172">
        <f t="shared" si="8"/>
        <v>3.92</v>
      </c>
      <c r="C187" s="172"/>
      <c r="D187" s="172">
        <f>$B$236+ricco_price_effects_and_etr!$D$25*100</f>
        <v>14.355874079073295</v>
      </c>
      <c r="E187" s="172"/>
      <c r="F187" s="157">
        <f t="shared" si="7"/>
        <v>16.804955336938377</v>
      </c>
      <c r="H187" s="420" t="s">
        <v>257</v>
      </c>
      <c r="I187" s="420" t="s">
        <v>75</v>
      </c>
      <c r="J187" s="421">
        <v>36043</v>
      </c>
      <c r="K187" s="421">
        <v>35863</v>
      </c>
      <c r="L187" s="421">
        <v>13057</v>
      </c>
      <c r="M187" s="421">
        <v>22805</v>
      </c>
      <c r="N187" s="421">
        <v>2551</v>
      </c>
      <c r="O187" s="421"/>
      <c r="P187" s="421"/>
      <c r="Q187" s="421">
        <v>7.11</v>
      </c>
      <c r="R187" s="421">
        <v>11.19</v>
      </c>
    </row>
    <row r="188" spans="1:18">
      <c r="A188" s="166">
        <v>1976</v>
      </c>
      <c r="B188" s="172">
        <f t="shared" si="8"/>
        <v>3.86</v>
      </c>
      <c r="C188" s="172"/>
      <c r="D188" s="172">
        <f>$B$236+ricco_price_effects_and_etr!$D$25*100</f>
        <v>14.355874079073295</v>
      </c>
      <c r="E188" s="172"/>
      <c r="F188" s="157">
        <f t="shared" si="7"/>
        <v>16.804955336938377</v>
      </c>
      <c r="H188" s="420" t="s">
        <v>258</v>
      </c>
      <c r="I188" s="420" t="s">
        <v>75</v>
      </c>
      <c r="J188" s="421">
        <v>39952</v>
      </c>
      <c r="K188" s="421">
        <v>39756</v>
      </c>
      <c r="L188" s="421">
        <v>13870</v>
      </c>
      <c r="M188" s="421">
        <v>25886</v>
      </c>
      <c r="N188" s="421">
        <v>2584</v>
      </c>
      <c r="O188" s="421"/>
      <c r="P188" s="421"/>
      <c r="Q188" s="421">
        <v>6.5</v>
      </c>
      <c r="R188" s="421">
        <v>9.98</v>
      </c>
    </row>
    <row r="189" spans="1:18">
      <c r="A189" s="166">
        <v>1977</v>
      </c>
      <c r="B189" s="172">
        <f t="shared" si="8"/>
        <v>3.73</v>
      </c>
      <c r="C189" s="172"/>
      <c r="D189" s="172">
        <f>$B$236+ricco_price_effects_and_etr!$D$25*100</f>
        <v>14.355874079073295</v>
      </c>
      <c r="E189" s="172"/>
      <c r="F189" s="157">
        <f t="shared" si="7"/>
        <v>16.804955336938377</v>
      </c>
      <c r="H189" s="420" t="s">
        <v>259</v>
      </c>
      <c r="I189" s="420" t="s">
        <v>75</v>
      </c>
      <c r="J189" s="421">
        <v>45563</v>
      </c>
      <c r="K189" s="421">
        <v>45516</v>
      </c>
      <c r="L189" s="421">
        <v>15286</v>
      </c>
      <c r="M189" s="421">
        <v>30230</v>
      </c>
      <c r="N189" s="421">
        <v>2767</v>
      </c>
      <c r="O189" s="421"/>
      <c r="P189" s="421"/>
      <c r="Q189" s="421">
        <v>6.08</v>
      </c>
      <c r="R189" s="421">
        <v>9.15</v>
      </c>
    </row>
    <row r="190" spans="1:18">
      <c r="A190" s="166">
        <v>1978</v>
      </c>
      <c r="B190" s="172">
        <f t="shared" si="8"/>
        <v>4.1399999999999997</v>
      </c>
      <c r="C190" s="172"/>
      <c r="D190" s="172">
        <f>$B$236+ricco_price_effects_and_etr!$D$25*100</f>
        <v>14.355874079073295</v>
      </c>
      <c r="E190" s="172"/>
      <c r="F190" s="157">
        <f t="shared" si="7"/>
        <v>16.804955336938377</v>
      </c>
      <c r="H190" s="420" t="s">
        <v>260</v>
      </c>
      <c r="I190" s="420" t="s">
        <v>75</v>
      </c>
      <c r="J190" s="421">
        <v>55582</v>
      </c>
      <c r="K190" s="421">
        <v>55290</v>
      </c>
      <c r="L190" s="421">
        <v>18915</v>
      </c>
      <c r="M190" s="421">
        <v>36375</v>
      </c>
      <c r="N190" s="421">
        <v>3124</v>
      </c>
      <c r="O190" s="421"/>
      <c r="P190" s="421"/>
      <c r="Q190" s="421">
        <v>5.65</v>
      </c>
      <c r="R190" s="421">
        <v>8.59</v>
      </c>
    </row>
    <row r="191" spans="1:18">
      <c r="A191" s="166">
        <v>1979</v>
      </c>
      <c r="B191" s="172">
        <f t="shared" si="8"/>
        <v>3.5</v>
      </c>
      <c r="C191" s="172"/>
      <c r="D191" s="172">
        <f>$B$236+ricco_price_effects_and_etr!$D$25*100</f>
        <v>14.355874079073295</v>
      </c>
      <c r="E191" s="172"/>
      <c r="F191" s="157">
        <f t="shared" si="7"/>
        <v>16.804955336938377</v>
      </c>
      <c r="H191" s="420" t="s">
        <v>261</v>
      </c>
      <c r="I191" s="420" t="s">
        <v>75</v>
      </c>
      <c r="J191" s="421">
        <v>69475</v>
      </c>
      <c r="K191" s="421">
        <v>69024</v>
      </c>
      <c r="L191" s="421">
        <v>28258</v>
      </c>
      <c r="M191" s="421">
        <v>40766</v>
      </c>
      <c r="N191" s="421">
        <v>3620</v>
      </c>
      <c r="O191" s="421"/>
      <c r="P191" s="421"/>
      <c r="Q191" s="421">
        <v>5.24</v>
      </c>
      <c r="R191" s="421">
        <v>8.8800000000000008</v>
      </c>
    </row>
    <row r="192" spans="1:18">
      <c r="A192" s="166">
        <v>1980</v>
      </c>
      <c r="B192" s="172">
        <f t="shared" si="8"/>
        <v>3.09</v>
      </c>
      <c r="C192" s="172"/>
      <c r="D192" s="172">
        <f>$B$236+ricco_price_effects_and_etr!$D$25*100</f>
        <v>14.355874079073295</v>
      </c>
      <c r="E192" s="172"/>
      <c r="F192" s="157">
        <f t="shared" si="7"/>
        <v>16.804955336938377</v>
      </c>
      <c r="H192" s="420" t="s">
        <v>262</v>
      </c>
      <c r="I192" s="420" t="s">
        <v>75</v>
      </c>
      <c r="J192" s="421">
        <v>100997</v>
      </c>
      <c r="K192" s="421">
        <v>100140</v>
      </c>
      <c r="L192" s="421">
        <v>52052</v>
      </c>
      <c r="M192" s="421">
        <v>48088</v>
      </c>
      <c r="N192" s="421">
        <v>3771</v>
      </c>
      <c r="O192" s="421"/>
      <c r="P192" s="421"/>
      <c r="Q192" s="421">
        <v>3.77</v>
      </c>
      <c r="R192" s="421">
        <v>7.84</v>
      </c>
    </row>
    <row r="193" spans="1:18">
      <c r="A193" s="166">
        <v>1981</v>
      </c>
      <c r="B193" s="172">
        <f t="shared" si="8"/>
        <v>3.43</v>
      </c>
      <c r="C193" s="172"/>
      <c r="D193" s="172">
        <f>$B$236+ricco_price_effects_and_etr!$D$25*100</f>
        <v>14.355874079073295</v>
      </c>
      <c r="E193" s="172"/>
      <c r="F193" s="157">
        <f t="shared" si="7"/>
        <v>16.804955336938377</v>
      </c>
      <c r="H193" s="420" t="s">
        <v>263</v>
      </c>
      <c r="I193" s="420" t="s">
        <v>75</v>
      </c>
      <c r="J193" s="421">
        <v>96902</v>
      </c>
      <c r="K193" s="421">
        <v>96516</v>
      </c>
      <c r="L193" s="421">
        <v>31030</v>
      </c>
      <c r="M193" s="421">
        <v>65486</v>
      </c>
      <c r="N193" s="421">
        <v>3780</v>
      </c>
      <c r="O193" s="421"/>
      <c r="P193" s="421"/>
      <c r="Q193" s="421">
        <v>3.92</v>
      </c>
      <c r="R193" s="421">
        <v>5.77</v>
      </c>
    </row>
    <row r="194" spans="1:18">
      <c r="A194" s="166">
        <v>1982</v>
      </c>
      <c r="B194" s="172">
        <v>3.4369999999999998</v>
      </c>
      <c r="C194" s="172"/>
      <c r="D194" s="172">
        <f>$B$236+ricco_price_effects_and_etr!$D$25*100</f>
        <v>14.355874079073295</v>
      </c>
      <c r="E194" s="172"/>
      <c r="F194" s="157">
        <f t="shared" ref="F194:F237" si="9">$E$237</f>
        <v>16.804955336938377</v>
      </c>
      <c r="H194" s="420" t="s">
        <v>264</v>
      </c>
      <c r="I194" s="420" t="s">
        <v>75</v>
      </c>
      <c r="J194" s="421">
        <v>122126</v>
      </c>
      <c r="K194" s="421">
        <v>121121</v>
      </c>
      <c r="L194" s="421">
        <v>37190</v>
      </c>
      <c r="M194" s="421">
        <v>83931</v>
      </c>
      <c r="N194" s="421">
        <v>4675</v>
      </c>
      <c r="O194" s="421"/>
      <c r="P194" s="421"/>
      <c r="Q194" s="421">
        <v>3.86</v>
      </c>
      <c r="R194" s="421">
        <v>5.57</v>
      </c>
    </row>
    <row r="195" spans="1:18">
      <c r="A195" s="166">
        <v>1983</v>
      </c>
      <c r="B195" s="172">
        <v>3.3330000000000002</v>
      </c>
      <c r="C195" s="172"/>
      <c r="D195" s="172">
        <f>$B$236+ricco_price_effects_and_etr!$D$25*100</f>
        <v>14.355874079073295</v>
      </c>
      <c r="E195" s="172"/>
      <c r="F195" s="157">
        <f t="shared" si="9"/>
        <v>16.804955336938377</v>
      </c>
      <c r="H195" s="420" t="s">
        <v>265</v>
      </c>
      <c r="I195" s="420" t="s">
        <v>75</v>
      </c>
      <c r="J195" s="421">
        <v>148719</v>
      </c>
      <c r="K195" s="421">
        <v>147075</v>
      </c>
      <c r="L195" s="421">
        <v>43633</v>
      </c>
      <c r="M195" s="421">
        <v>103442</v>
      </c>
      <c r="N195" s="421">
        <v>5485</v>
      </c>
      <c r="O195" s="421"/>
      <c r="P195" s="421"/>
      <c r="Q195" s="421">
        <v>3.73</v>
      </c>
      <c r="R195" s="421">
        <v>5.3</v>
      </c>
    </row>
    <row r="196" spans="1:18">
      <c r="A196" s="166">
        <v>1984</v>
      </c>
      <c r="B196" s="172">
        <v>3.54</v>
      </c>
      <c r="C196" s="172"/>
      <c r="D196" s="172">
        <f>$B$236+ricco_price_effects_and_etr!$D$25*100</f>
        <v>14.355874079073295</v>
      </c>
      <c r="E196" s="172"/>
      <c r="F196" s="157">
        <f t="shared" si="9"/>
        <v>16.804955336938377</v>
      </c>
      <c r="H196" s="420" t="s">
        <v>266</v>
      </c>
      <c r="I196" s="420" t="s">
        <v>75</v>
      </c>
      <c r="J196" s="421">
        <v>173250</v>
      </c>
      <c r="K196" s="421">
        <v>172952</v>
      </c>
      <c r="L196" s="421">
        <v>51827</v>
      </c>
      <c r="M196" s="421">
        <v>121125</v>
      </c>
      <c r="N196" s="421">
        <v>7162</v>
      </c>
      <c r="O196" s="421"/>
      <c r="P196" s="421"/>
      <c r="Q196" s="421">
        <v>4.1399999999999997</v>
      </c>
      <c r="R196" s="421">
        <v>5.91</v>
      </c>
    </row>
    <row r="197" spans="1:18">
      <c r="A197" s="166">
        <v>1985</v>
      </c>
      <c r="B197" s="172">
        <v>3.5419999999999998</v>
      </c>
      <c r="C197" s="172"/>
      <c r="D197" s="172">
        <f>$B$236+ricco_price_effects_and_etr!$D$25*100</f>
        <v>14.355874079073295</v>
      </c>
      <c r="E197" s="172"/>
      <c r="F197" s="157">
        <f t="shared" si="9"/>
        <v>16.804955336938377</v>
      </c>
      <c r="H197" s="420" t="s">
        <v>267</v>
      </c>
      <c r="I197" s="420" t="s">
        <v>75</v>
      </c>
      <c r="J197" s="421">
        <v>207058</v>
      </c>
      <c r="K197" s="421">
        <v>205922</v>
      </c>
      <c r="L197" s="421">
        <v>103278</v>
      </c>
      <c r="M197" s="421">
        <v>102645</v>
      </c>
      <c r="N197" s="421">
        <v>7202</v>
      </c>
      <c r="O197" s="421"/>
      <c r="P197" s="421"/>
      <c r="Q197" s="421">
        <v>3.5</v>
      </c>
      <c r="R197" s="421">
        <v>7.02</v>
      </c>
    </row>
    <row r="198" spans="1:18">
      <c r="A198" s="166">
        <v>1986</v>
      </c>
      <c r="B198" s="172">
        <v>3.7010000000000001</v>
      </c>
      <c r="C198" s="172"/>
      <c r="D198" s="172">
        <f>$B$236+ricco_price_effects_and_etr!$D$25*100</f>
        <v>14.355874079073295</v>
      </c>
      <c r="E198" s="172"/>
      <c r="F198" s="157">
        <f t="shared" si="9"/>
        <v>16.804955336938377</v>
      </c>
      <c r="H198" s="420" t="s">
        <v>268</v>
      </c>
      <c r="I198" s="420" t="s">
        <v>75</v>
      </c>
      <c r="J198" s="421">
        <v>245262</v>
      </c>
      <c r="K198" s="421">
        <v>239943</v>
      </c>
      <c r="L198" s="421">
        <v>107092</v>
      </c>
      <c r="M198" s="421">
        <v>132851</v>
      </c>
      <c r="N198" s="421">
        <v>7535</v>
      </c>
      <c r="O198" s="421"/>
      <c r="P198" s="421"/>
      <c r="Q198" s="421">
        <v>3.09</v>
      </c>
      <c r="R198" s="421">
        <v>5.67</v>
      </c>
    </row>
    <row r="199" spans="1:18">
      <c r="A199" s="166">
        <v>1987</v>
      </c>
      <c r="B199" s="172">
        <v>3.7229999999999999</v>
      </c>
      <c r="C199" s="172"/>
      <c r="D199" s="172">
        <f>$B$236+ricco_price_effects_and_etr!$D$25*100</f>
        <v>14.355874079073295</v>
      </c>
      <c r="E199" s="172"/>
      <c r="F199" s="157">
        <f t="shared" si="9"/>
        <v>16.804955336938377</v>
      </c>
      <c r="H199" s="420" t="s">
        <v>269</v>
      </c>
      <c r="I199" s="420" t="s">
        <v>75</v>
      </c>
      <c r="J199" s="421">
        <v>260982</v>
      </c>
      <c r="K199" s="421">
        <v>259012</v>
      </c>
      <c r="L199" s="421">
        <v>76338</v>
      </c>
      <c r="M199" s="421">
        <v>182674</v>
      </c>
      <c r="N199" s="421">
        <v>8893</v>
      </c>
      <c r="O199" s="421"/>
      <c r="P199" s="421"/>
      <c r="Q199" s="421">
        <v>3.43</v>
      </c>
      <c r="R199" s="421">
        <v>4.87</v>
      </c>
    </row>
    <row r="200" spans="1:18">
      <c r="A200" s="166">
        <v>1988</v>
      </c>
      <c r="B200" s="172">
        <v>3.6240000000000001</v>
      </c>
      <c r="C200" s="172"/>
      <c r="D200" s="172">
        <f>$B$236+ricco_price_effects_and_etr!$D$25*100</f>
        <v>14.355874079073295</v>
      </c>
      <c r="E200" s="172"/>
      <c r="F200" s="157">
        <f t="shared" si="9"/>
        <v>16.804955336938377</v>
      </c>
      <c r="H200" s="420" t="s">
        <v>270</v>
      </c>
      <c r="I200" s="420" t="s">
        <v>75</v>
      </c>
      <c r="J200" s="421">
        <v>243953</v>
      </c>
      <c r="K200" s="421">
        <v>242340</v>
      </c>
      <c r="L200" s="421">
        <v>64745</v>
      </c>
      <c r="M200" s="421">
        <v>177594</v>
      </c>
      <c r="N200" s="421">
        <v>8688</v>
      </c>
      <c r="O200" s="421"/>
      <c r="P200" s="421"/>
      <c r="Q200" s="421">
        <v>3.59</v>
      </c>
      <c r="R200" s="421">
        <v>5.22</v>
      </c>
    </row>
    <row r="201" spans="1:18">
      <c r="A201" s="166">
        <v>1989</v>
      </c>
      <c r="B201" s="172">
        <v>3.5430000000000001</v>
      </c>
      <c r="C201" s="172"/>
      <c r="D201" s="172">
        <f>$B$236+ricco_price_effects_and_etr!$D$25*100</f>
        <v>14.355874079073295</v>
      </c>
      <c r="E201" s="172"/>
      <c r="F201" s="157">
        <f t="shared" si="9"/>
        <v>16.804955336938377</v>
      </c>
      <c r="H201" s="420" t="s">
        <v>271</v>
      </c>
      <c r="I201" s="420" t="s">
        <v>75</v>
      </c>
      <c r="J201" s="421">
        <v>258048</v>
      </c>
      <c r="K201" s="421">
        <v>256679</v>
      </c>
      <c r="L201" s="421">
        <v>83397</v>
      </c>
      <c r="M201" s="421">
        <v>173283</v>
      </c>
      <c r="N201" s="421">
        <v>9430</v>
      </c>
      <c r="O201" s="421"/>
      <c r="P201" s="421"/>
      <c r="Q201" s="421">
        <v>3.67</v>
      </c>
      <c r="R201" s="421">
        <v>5.44</v>
      </c>
    </row>
    <row r="202" spans="1:18">
      <c r="A202" s="166">
        <v>1990</v>
      </c>
      <c r="B202" s="172">
        <v>3.28</v>
      </c>
      <c r="C202" s="172"/>
      <c r="D202" s="172">
        <f>$B$236+ricco_price_effects_and_etr!$D$25*100</f>
        <v>14.355874079073295</v>
      </c>
      <c r="E202" s="172"/>
      <c r="F202" s="157">
        <f t="shared" si="9"/>
        <v>16.804955336938377</v>
      </c>
      <c r="H202" s="420" t="s">
        <v>272</v>
      </c>
      <c r="I202" s="420" t="s">
        <v>75</v>
      </c>
      <c r="J202" s="421">
        <v>325726</v>
      </c>
      <c r="K202" s="421">
        <v>322989</v>
      </c>
      <c r="L202" s="421">
        <v>102977</v>
      </c>
      <c r="M202" s="421">
        <v>220012</v>
      </c>
      <c r="N202" s="421">
        <v>12042</v>
      </c>
      <c r="O202" s="421"/>
      <c r="P202" s="421"/>
      <c r="Q202" s="421">
        <v>3.73</v>
      </c>
      <c r="R202" s="421">
        <v>5.47</v>
      </c>
    </row>
    <row r="203" spans="1:18">
      <c r="A203" s="166">
        <v>1991</v>
      </c>
      <c r="B203" s="172">
        <v>3.2320000000000002</v>
      </c>
      <c r="C203" s="172"/>
      <c r="D203" s="172">
        <f>$B$236+ricco_price_effects_and_etr!$D$25*100</f>
        <v>14.355874079073295</v>
      </c>
      <c r="E203" s="172"/>
      <c r="F203" s="157">
        <f t="shared" si="9"/>
        <v>16.804955336938377</v>
      </c>
      <c r="H203" s="420" t="s">
        <v>273</v>
      </c>
      <c r="I203" s="420" t="s">
        <v>75</v>
      </c>
      <c r="J203" s="421">
        <v>345275</v>
      </c>
      <c r="K203" s="421">
        <v>343553</v>
      </c>
      <c r="L203" s="421">
        <v>106035</v>
      </c>
      <c r="M203" s="421">
        <v>237518</v>
      </c>
      <c r="N203" s="421">
        <v>13067</v>
      </c>
      <c r="O203" s="421"/>
      <c r="P203" s="421"/>
      <c r="Q203" s="421">
        <v>3.8</v>
      </c>
      <c r="R203" s="421">
        <v>5.5</v>
      </c>
    </row>
    <row r="204" spans="1:18">
      <c r="A204" s="166">
        <v>1992</v>
      </c>
      <c r="B204" s="172">
        <v>3.238</v>
      </c>
      <c r="C204" s="172"/>
      <c r="D204" s="172">
        <f>$B$236+ricco_price_effects_and_etr!$D$25*100</f>
        <v>14.355874079073295</v>
      </c>
      <c r="E204" s="172"/>
      <c r="F204" s="157">
        <f t="shared" si="9"/>
        <v>16.804955336938377</v>
      </c>
      <c r="H204" s="420" t="s">
        <v>274</v>
      </c>
      <c r="I204" s="420" t="s">
        <v>75</v>
      </c>
      <c r="J204" s="421">
        <v>365438</v>
      </c>
      <c r="K204" s="421">
        <v>368657</v>
      </c>
      <c r="L204" s="421">
        <v>121742</v>
      </c>
      <c r="M204" s="421">
        <v>246915</v>
      </c>
      <c r="N204" s="421">
        <v>13312</v>
      </c>
      <c r="O204" s="421"/>
      <c r="P204" s="421"/>
      <c r="Q204" s="421">
        <v>3.61</v>
      </c>
      <c r="R204" s="421">
        <v>5.39</v>
      </c>
    </row>
    <row r="205" spans="1:18">
      <c r="A205" s="166">
        <v>1993</v>
      </c>
      <c r="B205" s="172">
        <v>3.218</v>
      </c>
      <c r="C205" s="172"/>
      <c r="D205" s="172">
        <f>$B$236+ricco_price_effects_and_etr!$D$25*100</f>
        <v>14.355874079073295</v>
      </c>
      <c r="E205" s="172"/>
      <c r="F205" s="157">
        <f t="shared" si="9"/>
        <v>16.804955336938377</v>
      </c>
      <c r="H205" s="420" t="s">
        <v>275</v>
      </c>
      <c r="I205" s="420" t="s">
        <v>75</v>
      </c>
      <c r="J205" s="421">
        <v>406241</v>
      </c>
      <c r="K205" s="421">
        <v>402066</v>
      </c>
      <c r="L205" s="421">
        <v>132152</v>
      </c>
      <c r="M205" s="421">
        <v>269914</v>
      </c>
      <c r="N205" s="421">
        <v>13923</v>
      </c>
      <c r="O205" s="421"/>
      <c r="P205" s="421"/>
      <c r="Q205" s="421">
        <v>3.46</v>
      </c>
      <c r="R205" s="421">
        <v>5.16</v>
      </c>
    </row>
    <row r="206" spans="1:18">
      <c r="A206" s="166">
        <v>1994</v>
      </c>
      <c r="B206" s="172">
        <v>3.0350000000000001</v>
      </c>
      <c r="C206" s="172"/>
      <c r="D206" s="172">
        <f>$B$236+ricco_price_effects_and_etr!$D$25*100</f>
        <v>14.355874079073295</v>
      </c>
      <c r="E206" s="172"/>
      <c r="F206" s="157">
        <f t="shared" si="9"/>
        <v>16.804955336938377</v>
      </c>
      <c r="H206" s="420" t="s">
        <v>276</v>
      </c>
      <c r="I206" s="420" t="s">
        <v>75</v>
      </c>
      <c r="J206" s="421">
        <v>440952</v>
      </c>
      <c r="K206" s="421">
        <v>437140</v>
      </c>
      <c r="L206" s="421">
        <v>151693</v>
      </c>
      <c r="M206" s="421">
        <v>285447</v>
      </c>
      <c r="N206" s="421">
        <v>15054</v>
      </c>
      <c r="O206" s="421"/>
      <c r="P206" s="421"/>
      <c r="Q206" s="421">
        <v>3.44</v>
      </c>
      <c r="R206" s="421">
        <v>5.27</v>
      </c>
    </row>
    <row r="207" spans="1:18">
      <c r="A207" s="166">
        <v>1995</v>
      </c>
      <c r="B207" s="172">
        <v>2.468</v>
      </c>
      <c r="C207" s="172"/>
      <c r="D207" s="172">
        <f>$B$236+ricco_price_effects_and_etr!$D$25*100</f>
        <v>14.355874079073295</v>
      </c>
      <c r="E207" s="172"/>
      <c r="F207" s="157">
        <f t="shared" si="9"/>
        <v>16.804955336938377</v>
      </c>
      <c r="H207" s="420" t="s">
        <v>277</v>
      </c>
      <c r="I207" s="420" t="s">
        <v>75</v>
      </c>
      <c r="J207" s="421">
        <v>473397</v>
      </c>
      <c r="K207" s="421">
        <v>468012</v>
      </c>
      <c r="L207" s="421">
        <v>156365</v>
      </c>
      <c r="M207" s="421">
        <v>311647</v>
      </c>
      <c r="N207" s="421">
        <v>16096</v>
      </c>
      <c r="O207" s="421"/>
      <c r="P207" s="421"/>
      <c r="Q207" s="421">
        <v>3.44</v>
      </c>
      <c r="R207" s="421">
        <v>5.16</v>
      </c>
    </row>
    <row r="208" spans="1:18">
      <c r="A208" s="166">
        <v>1996</v>
      </c>
      <c r="B208" s="172">
        <v>2.2320000000000002</v>
      </c>
      <c r="C208" s="172"/>
      <c r="D208" s="172">
        <f>$B$236+ricco_price_effects_and_etr!$D$25*100</f>
        <v>14.355874079073295</v>
      </c>
      <c r="E208" s="172"/>
      <c r="F208" s="157">
        <f t="shared" si="9"/>
        <v>16.804955336938377</v>
      </c>
      <c r="H208" s="420" t="s">
        <v>278</v>
      </c>
      <c r="I208" s="420" t="s">
        <v>75</v>
      </c>
      <c r="J208" s="421">
        <v>496028</v>
      </c>
      <c r="K208" s="421">
        <v>490554</v>
      </c>
      <c r="L208" s="421">
        <v>161108</v>
      </c>
      <c r="M208" s="421">
        <v>329446</v>
      </c>
      <c r="N208" s="421">
        <v>16339</v>
      </c>
      <c r="O208" s="421"/>
      <c r="P208" s="421"/>
      <c r="Q208" s="421">
        <v>3.33</v>
      </c>
      <c r="R208" s="421">
        <v>4.96</v>
      </c>
    </row>
    <row r="209" spans="1:18">
      <c r="A209" s="166">
        <v>1997</v>
      </c>
      <c r="B209" s="172">
        <v>2.069</v>
      </c>
      <c r="C209" s="172"/>
      <c r="D209" s="172">
        <f>$B$236+ricco_price_effects_and_etr!$D$25*100</f>
        <v>14.355874079073295</v>
      </c>
      <c r="E209" s="172"/>
      <c r="F209" s="157">
        <f t="shared" si="9"/>
        <v>16.804955336938377</v>
      </c>
      <c r="H209" s="420" t="s">
        <v>279</v>
      </c>
      <c r="I209" s="420" t="s">
        <v>75</v>
      </c>
      <c r="J209" s="421">
        <v>488832</v>
      </c>
      <c r="K209" s="421">
        <v>483028</v>
      </c>
      <c r="L209" s="421">
        <v>167641</v>
      </c>
      <c r="M209" s="421">
        <v>315386</v>
      </c>
      <c r="N209" s="421">
        <v>16197</v>
      </c>
      <c r="O209" s="421"/>
      <c r="P209" s="421"/>
      <c r="Q209" s="421">
        <v>3.35</v>
      </c>
      <c r="R209" s="421">
        <v>5.14</v>
      </c>
    </row>
    <row r="210" spans="1:18">
      <c r="A210" s="166">
        <v>1998</v>
      </c>
      <c r="B210" s="172">
        <v>1.9750000000000001</v>
      </c>
      <c r="C210" s="172"/>
      <c r="D210" s="172">
        <f>$B$236+ricco_price_effects_and_etr!$D$25*100</f>
        <v>14.355874079073295</v>
      </c>
      <c r="E210" s="172"/>
      <c r="F210" s="157">
        <f t="shared" si="9"/>
        <v>16.804955336938377</v>
      </c>
      <c r="H210" s="420" t="s">
        <v>280</v>
      </c>
      <c r="I210" s="420" t="s">
        <v>75</v>
      </c>
      <c r="J210" s="421">
        <v>532053</v>
      </c>
      <c r="K210" s="421">
        <v>525091</v>
      </c>
      <c r="L210" s="421">
        <v>194583</v>
      </c>
      <c r="M210" s="421">
        <v>330508</v>
      </c>
      <c r="N210" s="421">
        <v>17164</v>
      </c>
      <c r="O210" s="421"/>
      <c r="P210" s="421"/>
      <c r="Q210" s="421">
        <v>3.27</v>
      </c>
      <c r="R210" s="421">
        <v>5.19</v>
      </c>
    </row>
    <row r="211" spans="1:18">
      <c r="A211" s="166">
        <v>1999</v>
      </c>
      <c r="B211" s="172">
        <v>1.7809999999999999</v>
      </c>
      <c r="C211" s="172"/>
      <c r="D211" s="172">
        <f>$B$236+ricco_price_effects_and_etr!$D$25*100</f>
        <v>14.355874079073295</v>
      </c>
      <c r="E211" s="172"/>
      <c r="F211" s="157">
        <f t="shared" si="9"/>
        <v>16.804955336938377</v>
      </c>
      <c r="H211" s="420" t="s">
        <v>281</v>
      </c>
      <c r="I211" s="420" t="s">
        <v>75</v>
      </c>
      <c r="J211" s="421">
        <v>580469</v>
      </c>
      <c r="K211" s="421">
        <v>574863</v>
      </c>
      <c r="L211" s="421">
        <v>236007</v>
      </c>
      <c r="M211" s="421">
        <v>338856</v>
      </c>
      <c r="N211" s="421">
        <v>18334</v>
      </c>
      <c r="O211" s="421"/>
      <c r="P211" s="421"/>
      <c r="Q211" s="421">
        <v>3.19</v>
      </c>
      <c r="R211" s="421">
        <v>5.41</v>
      </c>
    </row>
    <row r="212" spans="1:18">
      <c r="A212" s="166">
        <v>2000</v>
      </c>
      <c r="B212" s="172">
        <v>1.59</v>
      </c>
      <c r="C212" s="172"/>
      <c r="D212" s="172">
        <f>$B$236+ricco_price_effects_and_etr!$D$25*100</f>
        <v>14.355874079073295</v>
      </c>
      <c r="E212" s="172"/>
      <c r="F212" s="157">
        <f t="shared" si="9"/>
        <v>16.804955336938377</v>
      </c>
      <c r="H212" s="420" t="s">
        <v>282</v>
      </c>
      <c r="I212" s="420" t="s">
        <v>75</v>
      </c>
      <c r="J212" s="421">
        <v>663830</v>
      </c>
      <c r="K212" s="421">
        <v>657885</v>
      </c>
      <c r="L212" s="421">
        <v>292257</v>
      </c>
      <c r="M212" s="421">
        <v>365628</v>
      </c>
      <c r="N212" s="421">
        <v>19846</v>
      </c>
      <c r="O212" s="421"/>
      <c r="P212" s="421"/>
      <c r="Q212" s="421">
        <v>3.02</v>
      </c>
      <c r="R212" s="421">
        <v>5.43</v>
      </c>
    </row>
    <row r="213" spans="1:18">
      <c r="A213" s="166">
        <v>2001</v>
      </c>
      <c r="B213" s="172">
        <v>1.65</v>
      </c>
      <c r="C213" s="172"/>
      <c r="D213" s="172">
        <f>$B$236+ricco_price_effects_and_etr!$D$25*100</f>
        <v>14.355874079073295</v>
      </c>
      <c r="E213" s="172"/>
      <c r="F213" s="157">
        <f t="shared" si="9"/>
        <v>16.804955336938377</v>
      </c>
      <c r="H213" s="420" t="s">
        <v>283</v>
      </c>
      <c r="I213" s="420" t="s">
        <v>75</v>
      </c>
      <c r="J213" s="421">
        <v>743505</v>
      </c>
      <c r="K213" s="421">
        <v>739660</v>
      </c>
      <c r="L213" s="421">
        <v>373948</v>
      </c>
      <c r="M213" s="421">
        <v>365713</v>
      </c>
      <c r="N213" s="421">
        <v>18597</v>
      </c>
      <c r="O213" s="421"/>
      <c r="P213" s="421"/>
      <c r="Q213" s="421">
        <v>2.5099999999999998</v>
      </c>
      <c r="R213" s="421">
        <v>5.09</v>
      </c>
    </row>
    <row r="214" spans="1:18">
      <c r="A214" s="166">
        <v>2002</v>
      </c>
      <c r="B214" s="172">
        <v>1.556</v>
      </c>
      <c r="C214" s="172"/>
      <c r="D214" s="172">
        <f>$B$236+ricco_price_effects_and_etr!$D$25*100</f>
        <v>14.355874079073295</v>
      </c>
      <c r="E214" s="172"/>
      <c r="F214" s="157">
        <f t="shared" si="9"/>
        <v>16.804955336938377</v>
      </c>
      <c r="H214" s="420" t="s">
        <v>284</v>
      </c>
      <c r="I214" s="420" t="s">
        <v>75</v>
      </c>
      <c r="J214" s="421">
        <v>791316</v>
      </c>
      <c r="K214" s="421">
        <v>790468</v>
      </c>
      <c r="L214" s="421">
        <v>406640</v>
      </c>
      <c r="M214" s="421">
        <v>383829</v>
      </c>
      <c r="N214" s="421">
        <v>18005</v>
      </c>
      <c r="O214" s="421"/>
      <c r="P214" s="421"/>
      <c r="Q214" s="421">
        <v>2.2799999999999998</v>
      </c>
      <c r="R214" s="421">
        <v>4.6900000000000004</v>
      </c>
    </row>
    <row r="215" spans="1:18">
      <c r="A215" s="166">
        <v>2003</v>
      </c>
      <c r="B215" s="172">
        <v>1.5469999999999999</v>
      </c>
      <c r="C215" s="172"/>
      <c r="D215" s="172">
        <f>$B$236+ricco_price_effects_and_etr!$D$25*100</f>
        <v>14.355874079073295</v>
      </c>
      <c r="E215" s="172"/>
      <c r="F215" s="157">
        <f t="shared" si="9"/>
        <v>16.804955336938377</v>
      </c>
      <c r="H215" s="420" t="s">
        <v>285</v>
      </c>
      <c r="I215" s="420" t="s">
        <v>75</v>
      </c>
      <c r="J215" s="421">
        <v>870213</v>
      </c>
      <c r="K215" s="421">
        <v>862426</v>
      </c>
      <c r="L215" s="421">
        <v>458169</v>
      </c>
      <c r="M215" s="421">
        <v>404257</v>
      </c>
      <c r="N215" s="421">
        <v>18428</v>
      </c>
      <c r="O215" s="421"/>
      <c r="P215" s="421"/>
      <c r="Q215" s="421">
        <v>2.14</v>
      </c>
      <c r="R215" s="421">
        <v>4.5599999999999996</v>
      </c>
    </row>
    <row r="216" spans="1:18">
      <c r="A216" s="166">
        <v>2004</v>
      </c>
      <c r="B216" s="172">
        <v>1.4379999999999999</v>
      </c>
      <c r="C216" s="172"/>
      <c r="D216" s="172">
        <f>$B$236+ricco_price_effects_and_etr!$D$25*100</f>
        <v>14.355874079073295</v>
      </c>
      <c r="E216" s="172"/>
      <c r="F216" s="157">
        <f t="shared" si="9"/>
        <v>16.804955336938377</v>
      </c>
      <c r="H216" s="420" t="s">
        <v>286</v>
      </c>
      <c r="I216" s="420" t="s">
        <v>75</v>
      </c>
      <c r="J216" s="421">
        <v>913885</v>
      </c>
      <c r="K216" s="421">
        <v>907647</v>
      </c>
      <c r="L216" s="421">
        <v>521132</v>
      </c>
      <c r="M216" s="421">
        <v>386514</v>
      </c>
      <c r="N216" s="421">
        <v>18270</v>
      </c>
      <c r="O216" s="421"/>
      <c r="P216" s="421"/>
      <c r="Q216" s="421">
        <v>2.0099999999999998</v>
      </c>
      <c r="R216" s="421">
        <v>4.7300000000000004</v>
      </c>
    </row>
    <row r="217" spans="1:18">
      <c r="A217" s="166">
        <v>2005</v>
      </c>
      <c r="B217" s="172">
        <v>1.375</v>
      </c>
      <c r="C217" s="172"/>
      <c r="D217" s="172">
        <f>$B$236+ricco_price_effects_and_etr!$D$25*100</f>
        <v>14.355874079073295</v>
      </c>
      <c r="E217" s="172"/>
      <c r="F217" s="157">
        <f t="shared" si="9"/>
        <v>16.804955336938377</v>
      </c>
      <c r="H217" s="420" t="s">
        <v>287</v>
      </c>
      <c r="I217" s="420" t="s">
        <v>75</v>
      </c>
      <c r="J217" s="421">
        <v>1024766</v>
      </c>
      <c r="K217" s="421">
        <v>1017435</v>
      </c>
      <c r="L217" s="421">
        <v>652936</v>
      </c>
      <c r="M217" s="421">
        <v>364498</v>
      </c>
      <c r="N217" s="421">
        <v>18464</v>
      </c>
      <c r="O217" s="421"/>
      <c r="P217" s="421"/>
      <c r="Q217" s="421">
        <v>1.81</v>
      </c>
      <c r="R217" s="421">
        <v>5.07</v>
      </c>
    </row>
    <row r="218" spans="1:18">
      <c r="A218" s="166">
        <v>2006</v>
      </c>
      <c r="B218" s="172">
        <v>1.3120000000000001</v>
      </c>
      <c r="C218" s="172"/>
      <c r="D218" s="172">
        <f>$B$236+ricco_price_effects_and_etr!$D$25*100</f>
        <v>14.355874079073295</v>
      </c>
      <c r="E218" s="172"/>
      <c r="F218" s="157">
        <f t="shared" si="9"/>
        <v>16.804955336938377</v>
      </c>
      <c r="H218" s="420" t="s">
        <v>288</v>
      </c>
      <c r="I218" s="420" t="s">
        <v>75</v>
      </c>
      <c r="J218" s="421">
        <v>1216888</v>
      </c>
      <c r="K218" s="421">
        <v>1205339</v>
      </c>
      <c r="L218" s="421">
        <v>797605</v>
      </c>
      <c r="M218" s="421">
        <v>407734</v>
      </c>
      <c r="N218" s="421">
        <v>19754</v>
      </c>
      <c r="O218" s="421"/>
      <c r="P218" s="421"/>
      <c r="Q218" s="421">
        <v>1.64</v>
      </c>
      <c r="R218" s="421">
        <v>4.84</v>
      </c>
    </row>
    <row r="219" spans="1:18">
      <c r="A219" s="166">
        <v>2007</v>
      </c>
      <c r="B219" s="172">
        <v>1.345</v>
      </c>
      <c r="C219" s="172"/>
      <c r="D219" s="172">
        <f>$B$236+ricco_price_effects_and_etr!$D$25*100</f>
        <v>14.355874079073295</v>
      </c>
      <c r="E219" s="172"/>
      <c r="F219" s="157">
        <f t="shared" si="9"/>
        <v>16.804955336938377</v>
      </c>
    </row>
    <row r="220" spans="1:18">
      <c r="A220" s="166">
        <v>2008</v>
      </c>
      <c r="B220" s="172">
        <v>1.2729999999999999</v>
      </c>
      <c r="C220" s="172"/>
      <c r="D220" s="172">
        <f>$B$236+ricco_price_effects_and_etr!$D$25*100</f>
        <v>14.355874079073295</v>
      </c>
      <c r="E220" s="172"/>
      <c r="F220" s="157">
        <f t="shared" si="9"/>
        <v>16.804955336938377</v>
      </c>
    </row>
    <row r="221" spans="1:18">
      <c r="A221" s="166">
        <v>2009</v>
      </c>
      <c r="B221" s="172">
        <v>1.353</v>
      </c>
      <c r="C221" s="172"/>
      <c r="D221" s="172">
        <f>$B$236+ricco_price_effects_and_etr!$D$25*100</f>
        <v>14.355874079073295</v>
      </c>
      <c r="E221" s="172"/>
      <c r="F221" s="157">
        <f t="shared" si="9"/>
        <v>16.804955336938377</v>
      </c>
      <c r="J221" s="419" t="s">
        <v>289</v>
      </c>
    </row>
    <row r="222" spans="1:18">
      <c r="A222" s="166">
        <v>2010</v>
      </c>
      <c r="B222" s="172">
        <v>1.3740000000000001</v>
      </c>
      <c r="C222" s="172"/>
      <c r="D222" s="172">
        <f>$B$236+ricco_price_effects_and_etr!$D$25*100</f>
        <v>14.355874079073295</v>
      </c>
      <c r="E222" s="172"/>
      <c r="F222" s="157">
        <f t="shared" si="9"/>
        <v>16.804955336938377</v>
      </c>
      <c r="J222" s="422" t="s">
        <v>290</v>
      </c>
      <c r="K222" s="423"/>
      <c r="L222" s="423"/>
      <c r="M222" s="423"/>
      <c r="N222" s="423"/>
      <c r="O222" s="423"/>
      <c r="P222" s="423"/>
      <c r="Q222" s="423"/>
      <c r="R222" s="424"/>
    </row>
    <row r="223" spans="1:18">
      <c r="A223" s="166">
        <v>2011</v>
      </c>
      <c r="B223" s="172">
        <v>1.337</v>
      </c>
      <c r="C223" s="172"/>
      <c r="D223" s="172">
        <f>$B$236+ricco_price_effects_and_etr!$D$25*100</f>
        <v>14.355874079073295</v>
      </c>
      <c r="E223" s="172"/>
      <c r="F223" s="157">
        <f t="shared" si="9"/>
        <v>16.804955336938377</v>
      </c>
      <c r="J223" s="422" t="s">
        <v>291</v>
      </c>
      <c r="K223" s="423"/>
      <c r="L223" s="423"/>
      <c r="M223" s="423"/>
      <c r="N223" s="423"/>
      <c r="O223" s="423"/>
      <c r="P223" s="423"/>
      <c r="Q223" s="423"/>
      <c r="R223" s="424"/>
    </row>
    <row r="224" spans="1:18">
      <c r="A224" s="166">
        <v>2012</v>
      </c>
      <c r="B224" s="172">
        <v>1.3380000000000001</v>
      </c>
      <c r="C224" s="172"/>
      <c r="D224" s="172">
        <f>$B$236+ricco_price_effects_and_etr!$D$25*100</f>
        <v>14.355874079073295</v>
      </c>
      <c r="E224" s="172"/>
      <c r="F224" s="157">
        <f t="shared" si="9"/>
        <v>16.804955336938377</v>
      </c>
      <c r="J224" s="422" t="s">
        <v>292</v>
      </c>
      <c r="K224" s="423"/>
      <c r="L224" s="423"/>
      <c r="M224" s="423"/>
      <c r="N224" s="423"/>
      <c r="O224" s="423"/>
      <c r="P224" s="423"/>
      <c r="Q224" s="423"/>
      <c r="R224" s="424"/>
    </row>
    <row r="225" spans="1:6">
      <c r="A225" s="166">
        <v>2013</v>
      </c>
      <c r="B225" s="172">
        <v>1.421</v>
      </c>
      <c r="C225" s="172"/>
      <c r="D225" s="172">
        <f>$B$236+ricco_price_effects_and_etr!$D$25*100</f>
        <v>14.355874079073295</v>
      </c>
      <c r="E225" s="172"/>
      <c r="F225" s="157">
        <f t="shared" si="9"/>
        <v>16.804955336938377</v>
      </c>
    </row>
    <row r="226" spans="1:6">
      <c r="A226" s="166">
        <v>2014</v>
      </c>
      <c r="B226" s="172">
        <v>1.4359999999999999</v>
      </c>
      <c r="C226" s="172"/>
      <c r="D226" s="172">
        <f>$B$236+ricco_price_effects_and_etr!$D$25*100</f>
        <v>14.355874079073295</v>
      </c>
      <c r="E226" s="172"/>
      <c r="F226" s="157">
        <f t="shared" si="9"/>
        <v>16.804955336938377</v>
      </c>
    </row>
    <row r="227" spans="1:6">
      <c r="A227" s="166">
        <v>2015</v>
      </c>
      <c r="B227" s="172">
        <v>1.5289999999999999</v>
      </c>
      <c r="C227" s="172"/>
      <c r="D227" s="172">
        <f>$B$236+ricco_price_effects_and_etr!$D$25*100</f>
        <v>14.355874079073295</v>
      </c>
      <c r="E227" s="172"/>
      <c r="F227" s="157">
        <f t="shared" si="9"/>
        <v>16.804955336938377</v>
      </c>
    </row>
    <row r="228" spans="1:6">
      <c r="A228" s="166">
        <v>2016</v>
      </c>
      <c r="B228" s="172">
        <v>1.552</v>
      </c>
      <c r="C228" s="172"/>
      <c r="D228" s="172">
        <f>$B$236+ricco_price_effects_and_etr!$D$25*100</f>
        <v>14.355874079073295</v>
      </c>
      <c r="E228" s="172"/>
      <c r="F228" s="157">
        <f t="shared" si="9"/>
        <v>16.804955336938377</v>
      </c>
    </row>
    <row r="229" spans="1:6">
      <c r="A229" s="166">
        <v>2017</v>
      </c>
      <c r="B229" s="172">
        <v>1.486</v>
      </c>
      <c r="C229" s="172"/>
      <c r="D229" s="172">
        <f>$B$236+ricco_price_effects_and_etr!$D$25*100</f>
        <v>14.355874079073295</v>
      </c>
      <c r="E229" s="172"/>
      <c r="F229" s="157">
        <f t="shared" si="9"/>
        <v>16.804955336938377</v>
      </c>
    </row>
    <row r="230" spans="1:6">
      <c r="A230" s="166">
        <v>2018</v>
      </c>
      <c r="B230" s="172">
        <v>1.9410000000000001</v>
      </c>
      <c r="C230" s="172"/>
      <c r="D230" s="172">
        <f>$B$236+ricco_price_effects_and_etr!$D$25*100</f>
        <v>14.355874079073295</v>
      </c>
      <c r="E230" s="172"/>
      <c r="F230" s="157">
        <f t="shared" si="9"/>
        <v>16.804955336938377</v>
      </c>
    </row>
    <row r="231" spans="1:6">
      <c r="A231" s="166">
        <v>2019</v>
      </c>
      <c r="B231" s="172">
        <v>2.944</v>
      </c>
      <c r="C231" s="172"/>
      <c r="D231" s="172">
        <f>$B$236+ricco_price_effects_and_etr!$D$25*100</f>
        <v>14.355874079073295</v>
      </c>
      <c r="E231" s="172"/>
      <c r="F231" s="157">
        <f t="shared" si="9"/>
        <v>16.804955336938377</v>
      </c>
    </row>
    <row r="232" spans="1:6">
      <c r="A232" s="166">
        <v>2020</v>
      </c>
      <c r="B232" s="172">
        <v>2.8450000000000002</v>
      </c>
      <c r="C232" s="172"/>
      <c r="D232" s="172">
        <f>$B$236+ricco_price_effects_and_etr!$D$25*100</f>
        <v>14.355874079073295</v>
      </c>
      <c r="E232" s="172"/>
      <c r="F232" s="157">
        <f t="shared" si="9"/>
        <v>16.804955336938377</v>
      </c>
    </row>
    <row r="233" spans="1:6">
      <c r="A233" s="166">
        <v>2021</v>
      </c>
      <c r="B233" s="172">
        <v>3.0110000000000001</v>
      </c>
      <c r="C233" s="172"/>
      <c r="D233" s="172">
        <f>$B$236+ricco_price_effects_and_etr!$D$25*100</f>
        <v>14.355874079073295</v>
      </c>
      <c r="E233" s="172"/>
      <c r="F233" s="157">
        <f t="shared" si="9"/>
        <v>16.804955336938377</v>
      </c>
    </row>
    <row r="234" spans="1:6">
      <c r="A234" s="166">
        <v>2022</v>
      </c>
      <c r="B234" s="172">
        <v>3.0049999999999999</v>
      </c>
      <c r="C234" s="172"/>
      <c r="D234" s="172">
        <f>$B$236+ricco_price_effects_and_etr!$D$25*100</f>
        <v>14.355874079073295</v>
      </c>
      <c r="E234" s="172"/>
      <c r="F234" s="157">
        <f t="shared" si="9"/>
        <v>16.804955336938377</v>
      </c>
    </row>
    <row r="235" spans="1:6">
      <c r="A235" s="166">
        <v>2023</v>
      </c>
      <c r="B235" s="172">
        <v>2.4870000000000001</v>
      </c>
      <c r="C235" s="172"/>
      <c r="D235" s="172">
        <f>$B$236+ricco_price_effects_and_etr!$D$25*100</f>
        <v>14.355874079073295</v>
      </c>
      <c r="E235" s="172"/>
      <c r="F235" s="157">
        <f t="shared" si="9"/>
        <v>16.804955336938377</v>
      </c>
    </row>
    <row r="236" spans="1:6">
      <c r="A236" s="166">
        <v>2024</v>
      </c>
      <c r="B236" s="172">
        <v>2.4180000000000001</v>
      </c>
      <c r="C236" s="172">
        <f>B236</f>
        <v>2.4180000000000001</v>
      </c>
      <c r="D236" s="172">
        <f>$B$236+ricco_price_effects_and_etr!$D$25*100</f>
        <v>14.355874079073295</v>
      </c>
      <c r="E236" s="172">
        <f>$B$236</f>
        <v>2.4180000000000001</v>
      </c>
      <c r="F236" s="157">
        <f>$E$237</f>
        <v>16.804955336938377</v>
      </c>
    </row>
    <row r="237" spans="1:6" ht="12.95" thickBot="1">
      <c r="A237" s="173">
        <v>2025</v>
      </c>
      <c r="B237" s="174"/>
      <c r="C237" s="174">
        <f>$C$236+ricco_price_effects_and_etr!$D$25*100</f>
        <v>14.355874079073295</v>
      </c>
      <c r="D237" s="174">
        <f>$B$236+ricco_price_effects_and_etr!$D$25*100</f>
        <v>14.355874079073295</v>
      </c>
      <c r="E237" s="174">
        <f>ricco_price_effects_and_etr!$D$24*100+$E$236</f>
        <v>16.804955336938377</v>
      </c>
      <c r="F237" s="159">
        <f t="shared" si="9"/>
        <v>16.804955336938377</v>
      </c>
    </row>
    <row r="239" spans="1:6">
      <c r="D239" s="172">
        <f>D236-C236</f>
        <v>11.937874079073296</v>
      </c>
      <c r="F239" s="172">
        <f>F236-E236</f>
        <v>14.386955336938378</v>
      </c>
    </row>
  </sheetData>
  <mergeCells count="8">
    <mergeCell ref="J1:R1"/>
    <mergeCell ref="H3:I7"/>
    <mergeCell ref="J3:M3"/>
    <mergeCell ref="N3:R3"/>
    <mergeCell ref="J4:J5"/>
    <mergeCell ref="K4:M4"/>
    <mergeCell ref="N4:N5"/>
    <mergeCell ref="Q4:R4"/>
  </mergeCells>
  <pageMargins left="0.75" right="0.75" top="1" bottom="1" header="0.5" footer="0.5"/>
  <pageSetup paperSize="9" scale="0" firstPageNumber="0" fitToWidth="0" fitToHeight="0" orientation="portrait" horizontalDpi="300" verticalDpi="30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3209-C904-43A0-BE9E-2009476A829A}">
  <sheetPr codeName="Sheet3"/>
  <dimension ref="A1:E334"/>
  <sheetViews>
    <sheetView view="pageBreakPreview" topLeftCell="A290" zoomScale="86" zoomScaleNormal="70" zoomScaleSheetLayoutView="86" workbookViewId="0">
      <selection activeCell="C304" sqref="C304"/>
    </sheetView>
  </sheetViews>
  <sheetFormatPr defaultColWidth="9" defaultRowHeight="14.45"/>
  <cols>
    <col min="1" max="1" width="9" style="207"/>
    <col min="2" max="2" width="16.5703125" style="213" customWidth="1"/>
    <col min="3" max="3" width="25.28515625" style="207" customWidth="1"/>
    <col min="4" max="4" width="16.42578125" style="207" customWidth="1"/>
    <col min="5" max="5" width="13.7109375" style="207" customWidth="1"/>
    <col min="6" max="16384" width="9" style="207"/>
  </cols>
  <sheetData>
    <row r="1" spans="1:4" s="204" customFormat="1">
      <c r="B1" s="203"/>
      <c r="C1" s="203" t="s">
        <v>46</v>
      </c>
      <c r="D1" s="203" t="s">
        <v>293</v>
      </c>
    </row>
    <row r="2" spans="1:4" s="204" customFormat="1">
      <c r="A2" s="207">
        <f t="shared" ref="A2:A65" si="0">MONTH(B2)</f>
        <v>1</v>
      </c>
      <c r="B2" s="205">
        <v>45659</v>
      </c>
      <c r="C2" s="206">
        <v>2.4</v>
      </c>
    </row>
    <row r="3" spans="1:4" s="204" customFormat="1">
      <c r="A3" s="207">
        <f t="shared" si="0"/>
        <v>1</v>
      </c>
      <c r="B3" s="205">
        <v>45660</v>
      </c>
      <c r="C3" s="206">
        <v>2.4</v>
      </c>
    </row>
    <row r="4" spans="1:4" s="204" customFormat="1">
      <c r="A4" s="207">
        <f t="shared" si="0"/>
        <v>1</v>
      </c>
      <c r="B4" s="205">
        <v>45661</v>
      </c>
      <c r="C4" s="206">
        <v>2.4</v>
      </c>
    </row>
    <row r="5" spans="1:4" s="204" customFormat="1">
      <c r="A5" s="207">
        <f t="shared" si="0"/>
        <v>1</v>
      </c>
      <c r="B5" s="205">
        <v>45662</v>
      </c>
      <c r="C5" s="206">
        <v>2.4</v>
      </c>
    </row>
    <row r="6" spans="1:4" s="204" customFormat="1">
      <c r="A6" s="207">
        <f t="shared" si="0"/>
        <v>1</v>
      </c>
      <c r="B6" s="205">
        <v>45663</v>
      </c>
      <c r="C6" s="206">
        <v>2.4</v>
      </c>
    </row>
    <row r="7" spans="1:4" s="204" customFormat="1">
      <c r="A7" s="207">
        <f t="shared" si="0"/>
        <v>1</v>
      </c>
      <c r="B7" s="205">
        <v>45664</v>
      </c>
      <c r="C7" s="206">
        <v>2.4</v>
      </c>
    </row>
    <row r="8" spans="1:4" s="204" customFormat="1">
      <c r="A8" s="207">
        <f t="shared" si="0"/>
        <v>1</v>
      </c>
      <c r="B8" s="205">
        <v>45665</v>
      </c>
      <c r="C8" s="206">
        <v>2.4</v>
      </c>
    </row>
    <row r="9" spans="1:4" s="204" customFormat="1">
      <c r="A9" s="207">
        <f t="shared" si="0"/>
        <v>1</v>
      </c>
      <c r="B9" s="205">
        <v>45666</v>
      </c>
      <c r="C9" s="206">
        <v>2.4</v>
      </c>
    </row>
    <row r="10" spans="1:4" s="204" customFormat="1">
      <c r="A10" s="207">
        <f t="shared" si="0"/>
        <v>1</v>
      </c>
      <c r="B10" s="205">
        <v>45667</v>
      </c>
      <c r="C10" s="206">
        <v>2.4</v>
      </c>
    </row>
    <row r="11" spans="1:4" s="204" customFormat="1">
      <c r="A11" s="207">
        <f t="shared" si="0"/>
        <v>1</v>
      </c>
      <c r="B11" s="205">
        <v>45668</v>
      </c>
      <c r="C11" s="206">
        <v>2.4</v>
      </c>
    </row>
    <row r="12" spans="1:4" s="204" customFormat="1">
      <c r="A12" s="207">
        <f t="shared" si="0"/>
        <v>1</v>
      </c>
      <c r="B12" s="205">
        <v>45669</v>
      </c>
      <c r="C12" s="206">
        <v>2.4</v>
      </c>
    </row>
    <row r="13" spans="1:4" s="204" customFormat="1">
      <c r="A13" s="207">
        <f t="shared" si="0"/>
        <v>1</v>
      </c>
      <c r="B13" s="205">
        <v>45670</v>
      </c>
      <c r="C13" s="206">
        <v>2.4</v>
      </c>
    </row>
    <row r="14" spans="1:4" s="204" customFormat="1">
      <c r="A14" s="207">
        <f t="shared" si="0"/>
        <v>1</v>
      </c>
      <c r="B14" s="205">
        <v>45671</v>
      </c>
      <c r="C14" s="206">
        <v>2.4</v>
      </c>
    </row>
    <row r="15" spans="1:4" s="204" customFormat="1">
      <c r="A15" s="207">
        <f t="shared" si="0"/>
        <v>1</v>
      </c>
      <c r="B15" s="205">
        <v>45672</v>
      </c>
      <c r="C15" s="206">
        <v>2.4</v>
      </c>
    </row>
    <row r="16" spans="1:4" s="204" customFormat="1">
      <c r="A16" s="207">
        <f t="shared" si="0"/>
        <v>1</v>
      </c>
      <c r="B16" s="205">
        <v>45673</v>
      </c>
      <c r="C16" s="206">
        <v>2.4</v>
      </c>
    </row>
    <row r="17" spans="1:3" s="204" customFormat="1">
      <c r="A17" s="207">
        <f t="shared" si="0"/>
        <v>1</v>
      </c>
      <c r="B17" s="205">
        <v>45674</v>
      </c>
      <c r="C17" s="206">
        <v>2.4</v>
      </c>
    </row>
    <row r="18" spans="1:3" s="204" customFormat="1">
      <c r="A18" s="207">
        <f t="shared" si="0"/>
        <v>1</v>
      </c>
      <c r="B18" s="205">
        <v>45675</v>
      </c>
      <c r="C18" s="206">
        <v>2.4</v>
      </c>
    </row>
    <row r="19" spans="1:3" s="204" customFormat="1">
      <c r="A19" s="207">
        <f t="shared" si="0"/>
        <v>1</v>
      </c>
      <c r="B19" s="205">
        <v>45676</v>
      </c>
      <c r="C19" s="206">
        <v>2.4</v>
      </c>
    </row>
    <row r="20" spans="1:3" s="204" customFormat="1">
      <c r="A20" s="207">
        <f t="shared" si="0"/>
        <v>1</v>
      </c>
      <c r="B20" s="205">
        <v>45677</v>
      </c>
      <c r="C20" s="206">
        <v>2.4</v>
      </c>
    </row>
    <row r="21" spans="1:3">
      <c r="A21" s="207">
        <f t="shared" si="0"/>
        <v>1</v>
      </c>
      <c r="B21" s="205">
        <v>45678</v>
      </c>
      <c r="C21" s="206">
        <v>2.4</v>
      </c>
    </row>
    <row r="22" spans="1:3">
      <c r="A22" s="207">
        <f t="shared" si="0"/>
        <v>1</v>
      </c>
      <c r="B22" s="205">
        <v>45679</v>
      </c>
      <c r="C22" s="206">
        <v>2.4</v>
      </c>
    </row>
    <row r="23" spans="1:3">
      <c r="A23" s="207">
        <f t="shared" si="0"/>
        <v>1</v>
      </c>
      <c r="B23" s="205">
        <v>45680</v>
      </c>
      <c r="C23" s="206">
        <v>2.4</v>
      </c>
    </row>
    <row r="24" spans="1:3">
      <c r="A24" s="207">
        <f t="shared" si="0"/>
        <v>1</v>
      </c>
      <c r="B24" s="205">
        <v>45681</v>
      </c>
      <c r="C24" s="206">
        <v>2.4</v>
      </c>
    </row>
    <row r="25" spans="1:3">
      <c r="A25" s="207">
        <f t="shared" si="0"/>
        <v>1</v>
      </c>
      <c r="B25" s="205">
        <v>45682</v>
      </c>
      <c r="C25" s="206">
        <v>2.4</v>
      </c>
    </row>
    <row r="26" spans="1:3">
      <c r="A26" s="207">
        <f t="shared" si="0"/>
        <v>1</v>
      </c>
      <c r="B26" s="205">
        <v>45683</v>
      </c>
      <c r="C26" s="206">
        <v>2.4</v>
      </c>
    </row>
    <row r="27" spans="1:3">
      <c r="A27" s="207">
        <f t="shared" si="0"/>
        <v>1</v>
      </c>
      <c r="B27" s="205">
        <v>45684</v>
      </c>
      <c r="C27" s="206">
        <v>2.4</v>
      </c>
    </row>
    <row r="28" spans="1:3">
      <c r="A28" s="207">
        <f t="shared" si="0"/>
        <v>1</v>
      </c>
      <c r="B28" s="205">
        <v>45685</v>
      </c>
      <c r="C28" s="206">
        <v>2.4</v>
      </c>
    </row>
    <row r="29" spans="1:3">
      <c r="A29" s="207">
        <f t="shared" si="0"/>
        <v>1</v>
      </c>
      <c r="B29" s="205">
        <v>45686</v>
      </c>
      <c r="C29" s="206">
        <v>2.4</v>
      </c>
    </row>
    <row r="30" spans="1:3">
      <c r="A30" s="207">
        <f t="shared" si="0"/>
        <v>1</v>
      </c>
      <c r="B30" s="205">
        <v>45687</v>
      </c>
      <c r="C30" s="206">
        <v>2.4</v>
      </c>
    </row>
    <row r="31" spans="1:3">
      <c r="A31" s="207">
        <f t="shared" si="0"/>
        <v>1</v>
      </c>
      <c r="B31" s="205">
        <v>45688</v>
      </c>
      <c r="C31" s="206">
        <v>2.4</v>
      </c>
    </row>
    <row r="32" spans="1:3">
      <c r="A32" s="207">
        <f t="shared" si="0"/>
        <v>2</v>
      </c>
      <c r="B32" s="205">
        <v>45689</v>
      </c>
      <c r="C32" s="206">
        <v>2.4</v>
      </c>
    </row>
    <row r="33" spans="1:4">
      <c r="A33" s="207">
        <f t="shared" si="0"/>
        <v>2</v>
      </c>
      <c r="B33" s="205">
        <v>45690</v>
      </c>
      <c r="C33" s="206">
        <v>2.4</v>
      </c>
    </row>
    <row r="34" spans="1:4">
      <c r="A34" s="207">
        <f t="shared" si="0"/>
        <v>2</v>
      </c>
      <c r="B34" s="205">
        <v>45691</v>
      </c>
      <c r="C34" s="206">
        <v>2.4</v>
      </c>
    </row>
    <row r="35" spans="1:4">
      <c r="A35" s="207">
        <f t="shared" si="0"/>
        <v>2</v>
      </c>
      <c r="B35" s="205">
        <v>45692</v>
      </c>
      <c r="C35" s="206">
        <v>3.8</v>
      </c>
      <c r="D35" s="207" t="s">
        <v>294</v>
      </c>
    </row>
    <row r="36" spans="1:4">
      <c r="A36" s="207">
        <f t="shared" si="0"/>
        <v>2</v>
      </c>
      <c r="B36" s="205">
        <v>45693</v>
      </c>
      <c r="C36" s="206">
        <v>3.8</v>
      </c>
    </row>
    <row r="37" spans="1:4">
      <c r="A37" s="207">
        <f t="shared" si="0"/>
        <v>2</v>
      </c>
      <c r="B37" s="205">
        <v>45694</v>
      </c>
      <c r="C37" s="206">
        <v>3.8</v>
      </c>
    </row>
    <row r="38" spans="1:4">
      <c r="A38" s="207">
        <f t="shared" si="0"/>
        <v>2</v>
      </c>
      <c r="B38" s="205">
        <v>45695</v>
      </c>
      <c r="C38" s="206">
        <v>3.8</v>
      </c>
    </row>
    <row r="39" spans="1:4">
      <c r="A39" s="207">
        <f t="shared" si="0"/>
        <v>2</v>
      </c>
      <c r="B39" s="205">
        <v>45696</v>
      </c>
      <c r="C39" s="206">
        <v>3.8</v>
      </c>
    </row>
    <row r="40" spans="1:4">
      <c r="A40" s="207">
        <f t="shared" si="0"/>
        <v>2</v>
      </c>
      <c r="B40" s="205">
        <v>45697</v>
      </c>
      <c r="C40" s="206">
        <v>3.8</v>
      </c>
    </row>
    <row r="41" spans="1:4">
      <c r="A41" s="207">
        <f t="shared" si="0"/>
        <v>2</v>
      </c>
      <c r="B41" s="205">
        <v>45698</v>
      </c>
      <c r="C41" s="206">
        <v>3.8</v>
      </c>
    </row>
    <row r="42" spans="1:4">
      <c r="A42" s="207">
        <f t="shared" si="0"/>
        <v>2</v>
      </c>
      <c r="B42" s="205">
        <v>45699</v>
      </c>
      <c r="C42" s="206">
        <v>3.8</v>
      </c>
    </row>
    <row r="43" spans="1:4">
      <c r="A43" s="207">
        <f t="shared" si="0"/>
        <v>2</v>
      </c>
      <c r="B43" s="205">
        <v>45700</v>
      </c>
      <c r="C43" s="206">
        <v>3.8</v>
      </c>
    </row>
    <row r="44" spans="1:4">
      <c r="A44" s="207">
        <f t="shared" si="0"/>
        <v>2</v>
      </c>
      <c r="B44" s="205">
        <v>45701</v>
      </c>
      <c r="C44" s="206">
        <v>3.8</v>
      </c>
    </row>
    <row r="45" spans="1:4">
      <c r="A45" s="207">
        <f t="shared" si="0"/>
        <v>2</v>
      </c>
      <c r="B45" s="205">
        <v>45702</v>
      </c>
      <c r="C45" s="206">
        <v>3.8</v>
      </c>
    </row>
    <row r="46" spans="1:4">
      <c r="A46" s="207">
        <f t="shared" si="0"/>
        <v>2</v>
      </c>
      <c r="B46" s="205">
        <v>45703</v>
      </c>
      <c r="C46" s="206">
        <v>3.8</v>
      </c>
    </row>
    <row r="47" spans="1:4">
      <c r="A47" s="207">
        <f t="shared" si="0"/>
        <v>2</v>
      </c>
      <c r="B47" s="205">
        <v>45704</v>
      </c>
      <c r="C47" s="206">
        <v>3.8</v>
      </c>
    </row>
    <row r="48" spans="1:4">
      <c r="A48" s="207">
        <f t="shared" si="0"/>
        <v>2</v>
      </c>
      <c r="B48" s="205">
        <v>45705</v>
      </c>
      <c r="C48" s="206">
        <v>3.8</v>
      </c>
    </row>
    <row r="49" spans="1:4">
      <c r="A49" s="207">
        <f t="shared" si="0"/>
        <v>2</v>
      </c>
      <c r="B49" s="205">
        <v>45706</v>
      </c>
      <c r="C49" s="206">
        <v>3.8</v>
      </c>
    </row>
    <row r="50" spans="1:4">
      <c r="A50" s="207">
        <f t="shared" si="0"/>
        <v>2</v>
      </c>
      <c r="B50" s="205">
        <v>45707</v>
      </c>
      <c r="C50" s="206">
        <v>3.8</v>
      </c>
    </row>
    <row r="51" spans="1:4">
      <c r="A51" s="207">
        <f t="shared" si="0"/>
        <v>2</v>
      </c>
      <c r="B51" s="205">
        <v>45708</v>
      </c>
      <c r="C51" s="206">
        <v>3.8</v>
      </c>
    </row>
    <row r="52" spans="1:4">
      <c r="A52" s="207">
        <f t="shared" si="0"/>
        <v>2</v>
      </c>
      <c r="B52" s="205">
        <v>45709</v>
      </c>
      <c r="C52" s="206">
        <v>3.8</v>
      </c>
    </row>
    <row r="53" spans="1:4">
      <c r="A53" s="207">
        <f t="shared" si="0"/>
        <v>2</v>
      </c>
      <c r="B53" s="205">
        <v>45710</v>
      </c>
      <c r="C53" s="206">
        <v>3.8</v>
      </c>
    </row>
    <row r="54" spans="1:4">
      <c r="A54" s="207">
        <f t="shared" si="0"/>
        <v>2</v>
      </c>
      <c r="B54" s="205">
        <v>45711</v>
      </c>
      <c r="C54" s="206">
        <v>3.8</v>
      </c>
    </row>
    <row r="55" spans="1:4">
      <c r="A55" s="207">
        <f t="shared" si="0"/>
        <v>2</v>
      </c>
      <c r="B55" s="205">
        <v>45712</v>
      </c>
      <c r="C55" s="206">
        <v>3.8</v>
      </c>
    </row>
    <row r="56" spans="1:4">
      <c r="A56" s="207">
        <f t="shared" si="0"/>
        <v>2</v>
      </c>
      <c r="B56" s="205">
        <v>45713</v>
      </c>
      <c r="C56" s="206">
        <v>3.8</v>
      </c>
    </row>
    <row r="57" spans="1:4">
      <c r="A57" s="207">
        <f t="shared" si="0"/>
        <v>2</v>
      </c>
      <c r="B57" s="205">
        <v>45714</v>
      </c>
      <c r="C57" s="206">
        <v>3.8</v>
      </c>
    </row>
    <row r="58" spans="1:4">
      <c r="A58" s="207">
        <f t="shared" si="0"/>
        <v>2</v>
      </c>
      <c r="B58" s="205">
        <v>45715</v>
      </c>
      <c r="C58" s="206">
        <v>3.8</v>
      </c>
    </row>
    <row r="59" spans="1:4">
      <c r="A59" s="207">
        <f t="shared" si="0"/>
        <v>2</v>
      </c>
      <c r="B59" s="205">
        <v>45716</v>
      </c>
      <c r="C59" s="206">
        <v>3.8</v>
      </c>
    </row>
    <row r="60" spans="1:4">
      <c r="A60" s="207">
        <f t="shared" si="0"/>
        <v>3</v>
      </c>
      <c r="B60" s="205">
        <v>45717</v>
      </c>
      <c r="C60" s="206">
        <v>3.8</v>
      </c>
    </row>
    <row r="61" spans="1:4">
      <c r="A61" s="207">
        <f t="shared" si="0"/>
        <v>3</v>
      </c>
      <c r="B61" s="205">
        <v>45718</v>
      </c>
      <c r="C61" s="206">
        <v>3.8</v>
      </c>
    </row>
    <row r="62" spans="1:4">
      <c r="A62" s="207">
        <f t="shared" si="0"/>
        <v>3</v>
      </c>
      <c r="B62" s="205">
        <v>45719</v>
      </c>
      <c r="C62" s="206">
        <v>3.8</v>
      </c>
    </row>
    <row r="63" spans="1:4">
      <c r="A63" s="207">
        <f t="shared" si="0"/>
        <v>3</v>
      </c>
      <c r="B63" s="205">
        <v>45720</v>
      </c>
      <c r="C63" s="206">
        <v>8.6</v>
      </c>
      <c r="D63" s="207" t="s">
        <v>295</v>
      </c>
    </row>
    <row r="64" spans="1:4">
      <c r="A64" s="207">
        <f t="shared" si="0"/>
        <v>3</v>
      </c>
      <c r="B64" s="205">
        <v>45721</v>
      </c>
      <c r="C64" s="206">
        <v>8.6</v>
      </c>
    </row>
    <row r="65" spans="1:4">
      <c r="A65" s="207">
        <f t="shared" si="0"/>
        <v>3</v>
      </c>
      <c r="B65" s="205">
        <v>45722</v>
      </c>
      <c r="C65" s="206">
        <v>8.6</v>
      </c>
    </row>
    <row r="66" spans="1:4">
      <c r="A66" s="207">
        <f t="shared" ref="A66:A129" si="1">MONTH(B66)</f>
        <v>3</v>
      </c>
      <c r="B66" s="205">
        <v>45723</v>
      </c>
      <c r="C66" s="206">
        <v>8.6</v>
      </c>
    </row>
    <row r="67" spans="1:4">
      <c r="A67" s="207">
        <f t="shared" si="1"/>
        <v>3</v>
      </c>
      <c r="B67" s="205">
        <v>45724</v>
      </c>
      <c r="C67" s="206">
        <v>8.6</v>
      </c>
    </row>
    <row r="68" spans="1:4">
      <c r="A68" s="207">
        <f t="shared" si="1"/>
        <v>3</v>
      </c>
      <c r="B68" s="205">
        <v>45725</v>
      </c>
      <c r="C68" s="206">
        <v>8.6</v>
      </c>
    </row>
    <row r="69" spans="1:4">
      <c r="A69" s="207">
        <f t="shared" si="1"/>
        <v>3</v>
      </c>
      <c r="B69" s="205">
        <v>45726</v>
      </c>
      <c r="C69" s="206">
        <v>8.6</v>
      </c>
    </row>
    <row r="70" spans="1:4">
      <c r="A70" s="207">
        <f t="shared" si="1"/>
        <v>3</v>
      </c>
      <c r="B70" s="205">
        <v>45727</v>
      </c>
      <c r="C70" s="206">
        <v>8.6</v>
      </c>
    </row>
    <row r="71" spans="1:4" ht="15.95">
      <c r="A71" s="207">
        <f t="shared" si="1"/>
        <v>3</v>
      </c>
      <c r="B71" s="205">
        <v>45728</v>
      </c>
      <c r="C71" s="206">
        <v>9.8000000000000007</v>
      </c>
      <c r="D71" s="208" t="s">
        <v>296</v>
      </c>
    </row>
    <row r="72" spans="1:4">
      <c r="A72" s="207">
        <f t="shared" si="1"/>
        <v>3</v>
      </c>
      <c r="B72" s="205">
        <v>45729</v>
      </c>
      <c r="C72" s="206">
        <v>9.8000000000000007</v>
      </c>
    </row>
    <row r="73" spans="1:4">
      <c r="A73" s="207">
        <f t="shared" si="1"/>
        <v>3</v>
      </c>
      <c r="B73" s="205">
        <v>45730</v>
      </c>
      <c r="C73" s="206">
        <v>9.8000000000000007</v>
      </c>
    </row>
    <row r="74" spans="1:4">
      <c r="A74" s="207">
        <f t="shared" si="1"/>
        <v>3</v>
      </c>
      <c r="B74" s="205">
        <v>45731</v>
      </c>
      <c r="C74" s="206">
        <v>9.8000000000000007</v>
      </c>
    </row>
    <row r="75" spans="1:4">
      <c r="A75" s="207">
        <f t="shared" si="1"/>
        <v>3</v>
      </c>
      <c r="B75" s="205">
        <v>45732</v>
      </c>
      <c r="C75" s="206">
        <v>9.8000000000000007</v>
      </c>
    </row>
    <row r="76" spans="1:4">
      <c r="A76" s="207">
        <f t="shared" si="1"/>
        <v>3</v>
      </c>
      <c r="B76" s="205">
        <v>45733</v>
      </c>
      <c r="C76" s="206">
        <v>9.8000000000000007</v>
      </c>
    </row>
    <row r="77" spans="1:4">
      <c r="A77" s="207">
        <f t="shared" si="1"/>
        <v>3</v>
      </c>
      <c r="B77" s="205">
        <v>45734</v>
      </c>
      <c r="C77" s="206">
        <v>9.8000000000000007</v>
      </c>
    </row>
    <row r="78" spans="1:4">
      <c r="A78" s="207">
        <f t="shared" si="1"/>
        <v>3</v>
      </c>
      <c r="B78" s="205">
        <v>45735</v>
      </c>
      <c r="C78" s="206">
        <v>9.8000000000000007</v>
      </c>
    </row>
    <row r="79" spans="1:4">
      <c r="A79" s="207">
        <f t="shared" si="1"/>
        <v>3</v>
      </c>
      <c r="B79" s="205">
        <v>45736</v>
      </c>
      <c r="C79" s="206">
        <v>9.8000000000000007</v>
      </c>
    </row>
    <row r="80" spans="1:4">
      <c r="A80" s="207">
        <f t="shared" si="1"/>
        <v>3</v>
      </c>
      <c r="B80" s="205">
        <v>45737</v>
      </c>
      <c r="C80" s="206">
        <v>9.8000000000000007</v>
      </c>
    </row>
    <row r="81" spans="1:4">
      <c r="A81" s="207">
        <f t="shared" si="1"/>
        <v>3</v>
      </c>
      <c r="B81" s="205">
        <v>45738</v>
      </c>
      <c r="C81" s="206">
        <v>9.8000000000000007</v>
      </c>
    </row>
    <row r="82" spans="1:4">
      <c r="A82" s="207">
        <f t="shared" si="1"/>
        <v>3</v>
      </c>
      <c r="B82" s="205">
        <v>45739</v>
      </c>
      <c r="C82" s="206">
        <v>9.8000000000000007</v>
      </c>
    </row>
    <row r="83" spans="1:4">
      <c r="A83" s="207">
        <f t="shared" si="1"/>
        <v>3</v>
      </c>
      <c r="B83" s="205">
        <v>45740</v>
      </c>
      <c r="C83" s="206">
        <v>9.8000000000000007</v>
      </c>
    </row>
    <row r="84" spans="1:4">
      <c r="A84" s="207">
        <f t="shared" si="1"/>
        <v>3</v>
      </c>
      <c r="B84" s="205">
        <v>45741</v>
      </c>
      <c r="C84" s="206">
        <v>9.8000000000000007</v>
      </c>
    </row>
    <row r="85" spans="1:4">
      <c r="A85" s="207">
        <f t="shared" si="1"/>
        <v>3</v>
      </c>
      <c r="B85" s="205">
        <v>45742</v>
      </c>
      <c r="C85" s="206">
        <v>9.8000000000000007</v>
      </c>
    </row>
    <row r="86" spans="1:4">
      <c r="A86" s="207">
        <f t="shared" si="1"/>
        <v>3</v>
      </c>
      <c r="B86" s="205">
        <v>45743</v>
      </c>
      <c r="C86" s="206">
        <v>9.8000000000000007</v>
      </c>
    </row>
    <row r="87" spans="1:4">
      <c r="A87" s="207">
        <f t="shared" si="1"/>
        <v>3</v>
      </c>
      <c r="B87" s="205">
        <v>45744</v>
      </c>
      <c r="C87" s="206">
        <v>9.8000000000000007</v>
      </c>
    </row>
    <row r="88" spans="1:4">
      <c r="A88" s="207">
        <f t="shared" si="1"/>
        <v>3</v>
      </c>
      <c r="B88" s="205">
        <v>45745</v>
      </c>
      <c r="C88" s="206">
        <v>9.8000000000000007</v>
      </c>
    </row>
    <row r="89" spans="1:4">
      <c r="A89" s="207">
        <f t="shared" si="1"/>
        <v>3</v>
      </c>
      <c r="B89" s="205">
        <v>45746</v>
      </c>
      <c r="C89" s="206">
        <v>9.8000000000000007</v>
      </c>
    </row>
    <row r="90" spans="1:4">
      <c r="A90" s="207">
        <f t="shared" si="1"/>
        <v>3</v>
      </c>
      <c r="B90" s="205">
        <v>45747</v>
      </c>
      <c r="C90" s="206">
        <v>9.8000000000000007</v>
      </c>
    </row>
    <row r="91" spans="1:4">
      <c r="A91" s="207">
        <f t="shared" si="1"/>
        <v>4</v>
      </c>
      <c r="B91" s="205">
        <v>45748</v>
      </c>
      <c r="C91" s="206">
        <v>9.8000000000000007</v>
      </c>
    </row>
    <row r="92" spans="1:4" ht="15.95">
      <c r="A92" s="207">
        <f t="shared" si="1"/>
        <v>4</v>
      </c>
      <c r="B92" s="205">
        <v>45749</v>
      </c>
      <c r="C92" s="206">
        <v>22.44</v>
      </c>
      <c r="D92" s="208" t="s">
        <v>297</v>
      </c>
    </row>
    <row r="93" spans="1:4">
      <c r="A93" s="207">
        <f t="shared" si="1"/>
        <v>4</v>
      </c>
      <c r="B93" s="205">
        <v>45750</v>
      </c>
      <c r="C93" s="206">
        <v>22.44</v>
      </c>
    </row>
    <row r="94" spans="1:4">
      <c r="A94" s="207">
        <f t="shared" si="1"/>
        <v>4</v>
      </c>
      <c r="B94" s="205">
        <v>45751</v>
      </c>
      <c r="C94" s="206">
        <v>22.44</v>
      </c>
    </row>
    <row r="95" spans="1:4">
      <c r="A95" s="207">
        <f t="shared" si="1"/>
        <v>4</v>
      </c>
      <c r="B95" s="205">
        <v>45752</v>
      </c>
      <c r="C95" s="206">
        <v>22.44</v>
      </c>
    </row>
    <row r="96" spans="1:4">
      <c r="A96" s="207">
        <f t="shared" si="1"/>
        <v>4</v>
      </c>
      <c r="B96" s="205">
        <v>45753</v>
      </c>
      <c r="C96" s="206">
        <v>22.44</v>
      </c>
    </row>
    <row r="97" spans="1:4">
      <c r="A97" s="207">
        <f t="shared" si="1"/>
        <v>4</v>
      </c>
      <c r="B97" s="205">
        <v>45754</v>
      </c>
      <c r="C97" s="206">
        <v>22.44</v>
      </c>
    </row>
    <row r="98" spans="1:4">
      <c r="A98" s="207">
        <f t="shared" si="1"/>
        <v>4</v>
      </c>
      <c r="B98" s="205">
        <v>45755</v>
      </c>
      <c r="C98" s="206">
        <v>22.44</v>
      </c>
    </row>
    <row r="99" spans="1:4" ht="15.95">
      <c r="A99" s="207">
        <f t="shared" si="1"/>
        <v>4</v>
      </c>
      <c r="B99" s="205">
        <v>45756</v>
      </c>
      <c r="C99" s="209">
        <v>27</v>
      </c>
      <c r="D99" s="207" t="s">
        <v>298</v>
      </c>
    </row>
    <row r="100" spans="1:4" ht="15.95">
      <c r="A100" s="207">
        <f t="shared" si="1"/>
        <v>4</v>
      </c>
      <c r="B100" s="205">
        <v>45757</v>
      </c>
      <c r="C100" s="209">
        <v>27</v>
      </c>
    </row>
    <row r="101" spans="1:4" ht="15.95">
      <c r="A101" s="207">
        <f t="shared" si="1"/>
        <v>4</v>
      </c>
      <c r="B101" s="205">
        <v>45758</v>
      </c>
      <c r="C101" s="209">
        <v>27</v>
      </c>
    </row>
    <row r="102" spans="1:4" ht="15.95">
      <c r="A102" s="207">
        <f t="shared" si="1"/>
        <v>4</v>
      </c>
      <c r="B102" s="205">
        <v>45759</v>
      </c>
      <c r="C102" s="209">
        <v>27</v>
      </c>
    </row>
    <row r="103" spans="1:4">
      <c r="A103" s="207">
        <f t="shared" si="1"/>
        <v>4</v>
      </c>
      <c r="B103" s="205">
        <v>45760</v>
      </c>
      <c r="C103" s="206">
        <v>27.99</v>
      </c>
      <c r="D103" s="207" t="s">
        <v>299</v>
      </c>
    </row>
    <row r="104" spans="1:4">
      <c r="A104" s="207">
        <f t="shared" si="1"/>
        <v>4</v>
      </c>
      <c r="B104" s="205">
        <v>45761</v>
      </c>
      <c r="C104" s="206">
        <v>27.99</v>
      </c>
    </row>
    <row r="105" spans="1:4">
      <c r="A105" s="207">
        <f t="shared" si="1"/>
        <v>4</v>
      </c>
      <c r="B105" s="205">
        <v>45762</v>
      </c>
      <c r="C105" s="206">
        <v>27.99</v>
      </c>
    </row>
    <row r="106" spans="1:4">
      <c r="A106" s="207">
        <f t="shared" si="1"/>
        <v>4</v>
      </c>
      <c r="B106" s="205">
        <v>45763</v>
      </c>
      <c r="C106" s="206">
        <v>27.99</v>
      </c>
    </row>
    <row r="107" spans="1:4">
      <c r="A107" s="207">
        <f t="shared" si="1"/>
        <v>4</v>
      </c>
      <c r="B107" s="205">
        <v>45764</v>
      </c>
      <c r="C107" s="206">
        <v>27.99</v>
      </c>
    </row>
    <row r="108" spans="1:4">
      <c r="A108" s="207">
        <f t="shared" si="1"/>
        <v>4</v>
      </c>
      <c r="B108" s="205">
        <v>45765</v>
      </c>
      <c r="C108" s="206">
        <v>27.99</v>
      </c>
    </row>
    <row r="109" spans="1:4">
      <c r="A109" s="207">
        <f t="shared" si="1"/>
        <v>4</v>
      </c>
      <c r="B109" s="205">
        <v>45766</v>
      </c>
      <c r="C109" s="206">
        <v>27.99</v>
      </c>
    </row>
    <row r="110" spans="1:4">
      <c r="A110" s="207">
        <f t="shared" si="1"/>
        <v>4</v>
      </c>
      <c r="B110" s="205">
        <v>45767</v>
      </c>
      <c r="C110" s="206">
        <v>27.99</v>
      </c>
    </row>
    <row r="111" spans="1:4">
      <c r="A111" s="207">
        <f t="shared" si="1"/>
        <v>4</v>
      </c>
      <c r="B111" s="205">
        <v>45768</v>
      </c>
      <c r="C111" s="206">
        <v>27.99</v>
      </c>
    </row>
    <row r="112" spans="1:4">
      <c r="A112" s="207">
        <f t="shared" si="1"/>
        <v>4</v>
      </c>
      <c r="B112" s="205">
        <v>45769</v>
      </c>
      <c r="C112" s="206">
        <v>27.99</v>
      </c>
    </row>
    <row r="113" spans="1:3">
      <c r="A113" s="207">
        <f t="shared" si="1"/>
        <v>4</v>
      </c>
      <c r="B113" s="205">
        <v>45770</v>
      </c>
      <c r="C113" s="206">
        <v>27.99</v>
      </c>
    </row>
    <row r="114" spans="1:3">
      <c r="A114" s="207">
        <f t="shared" si="1"/>
        <v>4</v>
      </c>
      <c r="B114" s="205">
        <v>45771</v>
      </c>
      <c r="C114" s="206">
        <v>27.99</v>
      </c>
    </row>
    <row r="115" spans="1:3">
      <c r="A115" s="207">
        <f t="shared" si="1"/>
        <v>4</v>
      </c>
      <c r="B115" s="205">
        <v>45772</v>
      </c>
      <c r="C115" s="206">
        <v>27.99</v>
      </c>
    </row>
    <row r="116" spans="1:3">
      <c r="A116" s="207">
        <f t="shared" si="1"/>
        <v>4</v>
      </c>
      <c r="B116" s="205">
        <v>45773</v>
      </c>
      <c r="C116" s="206">
        <v>27.99</v>
      </c>
    </row>
    <row r="117" spans="1:3">
      <c r="A117" s="207">
        <f t="shared" si="1"/>
        <v>4</v>
      </c>
      <c r="B117" s="205">
        <v>45774</v>
      </c>
      <c r="C117" s="206">
        <v>27.99</v>
      </c>
    </row>
    <row r="118" spans="1:3">
      <c r="A118" s="207">
        <f t="shared" si="1"/>
        <v>4</v>
      </c>
      <c r="B118" s="205">
        <v>45775</v>
      </c>
      <c r="C118" s="206">
        <v>27.99</v>
      </c>
    </row>
    <row r="119" spans="1:3">
      <c r="A119" s="207">
        <f t="shared" si="1"/>
        <v>4</v>
      </c>
      <c r="B119" s="205">
        <v>45776</v>
      </c>
      <c r="C119" s="206">
        <v>27.99</v>
      </c>
    </row>
    <row r="120" spans="1:3">
      <c r="A120" s="207">
        <f t="shared" si="1"/>
        <v>4</v>
      </c>
      <c r="B120" s="205">
        <v>45777</v>
      </c>
      <c r="C120" s="206">
        <v>27.99</v>
      </c>
    </row>
    <row r="121" spans="1:3">
      <c r="A121" s="207">
        <f t="shared" si="1"/>
        <v>5</v>
      </c>
      <c r="B121" s="205">
        <v>45778</v>
      </c>
      <c r="C121" s="206">
        <v>27.99</v>
      </c>
    </row>
    <row r="122" spans="1:3">
      <c r="A122" s="207">
        <f t="shared" si="1"/>
        <v>5</v>
      </c>
      <c r="B122" s="205">
        <v>45779</v>
      </c>
      <c r="C122" s="206">
        <v>27.99</v>
      </c>
    </row>
    <row r="123" spans="1:3">
      <c r="A123" s="207">
        <f t="shared" si="1"/>
        <v>5</v>
      </c>
      <c r="B123" s="205">
        <v>45780</v>
      </c>
      <c r="C123" s="206">
        <v>27.99</v>
      </c>
    </row>
    <row r="124" spans="1:3">
      <c r="A124" s="207">
        <f t="shared" si="1"/>
        <v>5</v>
      </c>
      <c r="B124" s="205">
        <v>45781</v>
      </c>
      <c r="C124" s="206">
        <v>27.99</v>
      </c>
    </row>
    <row r="125" spans="1:3">
      <c r="A125" s="207">
        <f t="shared" si="1"/>
        <v>5</v>
      </c>
      <c r="B125" s="205">
        <v>45782</v>
      </c>
      <c r="C125" s="206">
        <v>27.99</v>
      </c>
    </row>
    <row r="126" spans="1:3">
      <c r="A126" s="207">
        <f t="shared" si="1"/>
        <v>5</v>
      </c>
      <c r="B126" s="205">
        <v>45783</v>
      </c>
      <c r="C126" s="206">
        <v>27.99</v>
      </c>
    </row>
    <row r="127" spans="1:3">
      <c r="A127" s="207">
        <f t="shared" si="1"/>
        <v>5</v>
      </c>
      <c r="B127" s="205">
        <v>45784</v>
      </c>
      <c r="C127" s="206">
        <v>27.99</v>
      </c>
    </row>
    <row r="128" spans="1:3">
      <c r="A128" s="207">
        <f t="shared" si="1"/>
        <v>5</v>
      </c>
      <c r="B128" s="205">
        <v>45785</v>
      </c>
      <c r="C128" s="206">
        <v>27.62</v>
      </c>
    </row>
    <row r="129" spans="1:4">
      <c r="A129" s="207">
        <f t="shared" si="1"/>
        <v>5</v>
      </c>
      <c r="B129" s="205">
        <v>45786</v>
      </c>
      <c r="C129" s="206">
        <v>27.62</v>
      </c>
    </row>
    <row r="130" spans="1:4">
      <c r="A130" s="207">
        <f t="shared" ref="A130:A193" si="2">MONTH(B130)</f>
        <v>5</v>
      </c>
      <c r="B130" s="205">
        <v>45787</v>
      </c>
      <c r="C130" s="206">
        <v>27.62</v>
      </c>
    </row>
    <row r="131" spans="1:4">
      <c r="A131" s="207">
        <f t="shared" si="2"/>
        <v>5</v>
      </c>
      <c r="B131" s="205">
        <v>45788</v>
      </c>
      <c r="C131" s="206">
        <v>27.62</v>
      </c>
    </row>
    <row r="132" spans="1:4" ht="15.95">
      <c r="A132" s="207">
        <f t="shared" si="2"/>
        <v>5</v>
      </c>
      <c r="B132" s="205">
        <v>45789</v>
      </c>
      <c r="C132" s="206">
        <v>17.829999999999998</v>
      </c>
      <c r="D132" s="208" t="s">
        <v>300</v>
      </c>
    </row>
    <row r="133" spans="1:4">
      <c r="A133" s="207">
        <f t="shared" si="2"/>
        <v>5</v>
      </c>
      <c r="B133" s="205">
        <v>45790</v>
      </c>
      <c r="C133" s="206">
        <v>17.829999999999998</v>
      </c>
    </row>
    <row r="134" spans="1:4">
      <c r="A134" s="207">
        <f t="shared" si="2"/>
        <v>5</v>
      </c>
      <c r="B134" s="205">
        <v>45791</v>
      </c>
      <c r="C134" s="206">
        <v>17.829999999999998</v>
      </c>
    </row>
    <row r="135" spans="1:4">
      <c r="A135" s="207">
        <f t="shared" si="2"/>
        <v>5</v>
      </c>
      <c r="B135" s="205">
        <v>45792</v>
      </c>
      <c r="C135" s="206">
        <v>17.829999999999998</v>
      </c>
    </row>
    <row r="136" spans="1:4">
      <c r="A136" s="207">
        <f t="shared" si="2"/>
        <v>5</v>
      </c>
      <c r="B136" s="205">
        <v>45793</v>
      </c>
      <c r="C136" s="206">
        <v>17.829999999999998</v>
      </c>
    </row>
    <row r="137" spans="1:4">
      <c r="A137" s="207">
        <f t="shared" si="2"/>
        <v>5</v>
      </c>
      <c r="B137" s="205">
        <v>45794</v>
      </c>
      <c r="C137" s="206">
        <v>17.829999999999998</v>
      </c>
    </row>
    <row r="138" spans="1:4">
      <c r="A138" s="207">
        <f t="shared" si="2"/>
        <v>5</v>
      </c>
      <c r="B138" s="205">
        <v>45795</v>
      </c>
      <c r="C138" s="206">
        <v>17.829999999999998</v>
      </c>
    </row>
    <row r="139" spans="1:4">
      <c r="A139" s="207">
        <f t="shared" si="2"/>
        <v>5</v>
      </c>
      <c r="B139" s="205">
        <v>45796</v>
      </c>
      <c r="C139" s="206">
        <v>17.829999999999998</v>
      </c>
    </row>
    <row r="140" spans="1:4">
      <c r="A140" s="207">
        <f t="shared" si="2"/>
        <v>5</v>
      </c>
      <c r="B140" s="205">
        <v>45797</v>
      </c>
      <c r="C140" s="206">
        <v>17.829999999999998</v>
      </c>
    </row>
    <row r="141" spans="1:4">
      <c r="A141" s="207">
        <f t="shared" si="2"/>
        <v>5</v>
      </c>
      <c r="B141" s="205">
        <v>45798</v>
      </c>
      <c r="C141" s="206">
        <v>17.829999999999998</v>
      </c>
    </row>
    <row r="142" spans="1:4">
      <c r="A142" s="207">
        <f t="shared" si="2"/>
        <v>5</v>
      </c>
      <c r="B142" s="205">
        <v>45799</v>
      </c>
      <c r="C142" s="206">
        <v>17.829999999999998</v>
      </c>
    </row>
    <row r="143" spans="1:4" ht="15.95">
      <c r="A143" s="207">
        <f t="shared" si="2"/>
        <v>5</v>
      </c>
      <c r="B143" s="205">
        <v>45800</v>
      </c>
      <c r="C143" s="206">
        <v>21.87</v>
      </c>
      <c r="D143" s="208" t="s">
        <v>301</v>
      </c>
    </row>
    <row r="144" spans="1:4">
      <c r="A144" s="207">
        <f t="shared" si="2"/>
        <v>5</v>
      </c>
      <c r="B144" s="205">
        <v>45801</v>
      </c>
      <c r="C144" s="206">
        <v>21.87</v>
      </c>
    </row>
    <row r="145" spans="1:4" ht="15.95">
      <c r="A145" s="207">
        <f t="shared" si="2"/>
        <v>5</v>
      </c>
      <c r="B145" s="205">
        <v>45802</v>
      </c>
      <c r="C145" s="206">
        <f>$C$142</f>
        <v>17.829999999999998</v>
      </c>
      <c r="D145" s="208" t="s">
        <v>302</v>
      </c>
    </row>
    <row r="146" spans="1:4">
      <c r="A146" s="207">
        <f t="shared" si="2"/>
        <v>5</v>
      </c>
      <c r="B146" s="205">
        <v>45803</v>
      </c>
      <c r="C146" s="206">
        <f t="shared" ref="C146:C148" si="3">$C$142</f>
        <v>17.829999999999998</v>
      </c>
    </row>
    <row r="147" spans="1:4">
      <c r="A147" s="207">
        <f t="shared" si="2"/>
        <v>5</v>
      </c>
      <c r="B147" s="205">
        <v>45804</v>
      </c>
      <c r="C147" s="206">
        <f t="shared" si="3"/>
        <v>17.829999999999998</v>
      </c>
    </row>
    <row r="148" spans="1:4">
      <c r="A148" s="207">
        <f t="shared" si="2"/>
        <v>5</v>
      </c>
      <c r="B148" s="205">
        <v>45805</v>
      </c>
      <c r="C148" s="206">
        <f t="shared" si="3"/>
        <v>17.829999999999998</v>
      </c>
    </row>
    <row r="149" spans="1:4">
      <c r="A149" s="207">
        <f t="shared" si="2"/>
        <v>5</v>
      </c>
      <c r="B149" s="205">
        <v>45806</v>
      </c>
      <c r="C149" s="206">
        <v>6.94</v>
      </c>
      <c r="D149" s="207" t="s">
        <v>303</v>
      </c>
    </row>
    <row r="150" spans="1:4">
      <c r="A150" s="207">
        <f t="shared" si="2"/>
        <v>5</v>
      </c>
      <c r="B150" s="205">
        <v>45807</v>
      </c>
      <c r="C150" s="206">
        <v>14.4</v>
      </c>
      <c r="D150" s="207" t="s">
        <v>304</v>
      </c>
    </row>
    <row r="151" spans="1:4">
      <c r="A151" s="207">
        <f t="shared" si="2"/>
        <v>5</v>
      </c>
      <c r="B151" s="205">
        <v>45808</v>
      </c>
      <c r="C151" s="206">
        <v>15.6</v>
      </c>
      <c r="D151" s="207" t="s">
        <v>305</v>
      </c>
    </row>
    <row r="152" spans="1:4">
      <c r="A152" s="207">
        <f t="shared" si="2"/>
        <v>6</v>
      </c>
      <c r="B152" s="205">
        <v>45809</v>
      </c>
      <c r="C152" s="206">
        <v>15.6</v>
      </c>
    </row>
    <row r="153" spans="1:4">
      <c r="A153" s="207">
        <f t="shared" si="2"/>
        <v>6</v>
      </c>
      <c r="B153" s="205">
        <v>45810</v>
      </c>
      <c r="C153" s="206">
        <v>15.6</v>
      </c>
      <c r="D153" s="210"/>
    </row>
    <row r="154" spans="1:4">
      <c r="A154" s="207">
        <f t="shared" si="2"/>
        <v>6</v>
      </c>
      <c r="B154" s="211">
        <v>45811</v>
      </c>
      <c r="C154" s="212">
        <v>15.6</v>
      </c>
      <c r="D154" s="210"/>
    </row>
    <row r="155" spans="1:4">
      <c r="A155" s="207">
        <f t="shared" si="2"/>
        <v>6</v>
      </c>
      <c r="B155" s="205">
        <v>45812</v>
      </c>
      <c r="C155" s="206">
        <v>15.6</v>
      </c>
    </row>
    <row r="156" spans="1:4">
      <c r="A156" s="207">
        <f t="shared" si="2"/>
        <v>6</v>
      </c>
      <c r="B156" s="205">
        <v>45813</v>
      </c>
      <c r="C156" s="212">
        <v>15.6</v>
      </c>
    </row>
    <row r="157" spans="1:4">
      <c r="A157" s="207">
        <f t="shared" si="2"/>
        <v>6</v>
      </c>
      <c r="B157" s="211">
        <v>45814</v>
      </c>
      <c r="C157" s="206">
        <v>15.6</v>
      </c>
    </row>
    <row r="158" spans="1:4">
      <c r="A158" s="207">
        <f t="shared" si="2"/>
        <v>6</v>
      </c>
      <c r="B158" s="205">
        <v>45815</v>
      </c>
      <c r="C158" s="212">
        <v>15.6</v>
      </c>
    </row>
    <row r="159" spans="1:4">
      <c r="A159" s="207">
        <f t="shared" si="2"/>
        <v>6</v>
      </c>
      <c r="B159" s="205">
        <v>45816</v>
      </c>
      <c r="C159" s="206">
        <v>15.6</v>
      </c>
    </row>
    <row r="160" spans="1:4">
      <c r="A160" s="207">
        <f t="shared" si="2"/>
        <v>6</v>
      </c>
      <c r="B160" s="211">
        <v>45817</v>
      </c>
      <c r="C160" s="212">
        <v>15.6</v>
      </c>
    </row>
    <row r="161" spans="1:3">
      <c r="A161" s="207">
        <f t="shared" si="2"/>
        <v>6</v>
      </c>
      <c r="B161" s="205">
        <v>45818</v>
      </c>
      <c r="C161" s="206">
        <v>15.6</v>
      </c>
    </row>
    <row r="162" spans="1:3">
      <c r="A162" s="207">
        <f t="shared" si="2"/>
        <v>6</v>
      </c>
      <c r="B162" s="205">
        <v>45819</v>
      </c>
      <c r="C162" s="212">
        <v>15.6</v>
      </c>
    </row>
    <row r="163" spans="1:3">
      <c r="A163" s="207">
        <f t="shared" si="2"/>
        <v>6</v>
      </c>
      <c r="B163" s="211">
        <v>45820</v>
      </c>
      <c r="C163" s="206">
        <v>15.6</v>
      </c>
    </row>
    <row r="164" spans="1:3">
      <c r="A164" s="207">
        <f t="shared" si="2"/>
        <v>6</v>
      </c>
      <c r="B164" s="205">
        <v>45821</v>
      </c>
      <c r="C164" s="212">
        <v>15.6</v>
      </c>
    </row>
    <row r="165" spans="1:3">
      <c r="A165" s="207">
        <f t="shared" si="2"/>
        <v>6</v>
      </c>
      <c r="B165" s="205">
        <v>45822</v>
      </c>
      <c r="C165" s="206">
        <v>15.6</v>
      </c>
    </row>
    <row r="166" spans="1:3">
      <c r="A166" s="207">
        <f t="shared" si="2"/>
        <v>6</v>
      </c>
      <c r="B166" s="211">
        <v>45823</v>
      </c>
      <c r="C166" s="212">
        <v>15.6</v>
      </c>
    </row>
    <row r="167" spans="1:3">
      <c r="A167" s="207">
        <f t="shared" si="2"/>
        <v>6</v>
      </c>
      <c r="B167" s="205">
        <v>45824</v>
      </c>
      <c r="C167" s="206">
        <v>15.6</v>
      </c>
    </row>
    <row r="168" spans="1:3">
      <c r="A168" s="207">
        <f t="shared" si="2"/>
        <v>6</v>
      </c>
      <c r="B168" s="205">
        <v>45825</v>
      </c>
      <c r="C168" s="212">
        <v>15.6</v>
      </c>
    </row>
    <row r="169" spans="1:3">
      <c r="A169" s="207">
        <f t="shared" si="2"/>
        <v>6</v>
      </c>
      <c r="B169" s="211">
        <v>45826</v>
      </c>
      <c r="C169" s="206">
        <v>15.6</v>
      </c>
    </row>
    <row r="170" spans="1:3">
      <c r="A170" s="207">
        <f t="shared" si="2"/>
        <v>6</v>
      </c>
      <c r="B170" s="205">
        <v>45827</v>
      </c>
      <c r="C170" s="212">
        <v>15.6</v>
      </c>
    </row>
    <row r="171" spans="1:3">
      <c r="A171" s="207">
        <f t="shared" si="2"/>
        <v>6</v>
      </c>
      <c r="B171" s="205">
        <v>45828</v>
      </c>
      <c r="C171" s="206">
        <v>15.6</v>
      </c>
    </row>
    <row r="172" spans="1:3">
      <c r="A172" s="207">
        <f t="shared" si="2"/>
        <v>6</v>
      </c>
      <c r="B172" s="211">
        <v>45829</v>
      </c>
      <c r="C172" s="212">
        <v>15.6</v>
      </c>
    </row>
    <row r="173" spans="1:3">
      <c r="A173" s="207">
        <f t="shared" si="2"/>
        <v>6</v>
      </c>
      <c r="B173" s="205">
        <v>45830</v>
      </c>
      <c r="C173" s="206">
        <v>15.6</v>
      </c>
    </row>
    <row r="174" spans="1:3">
      <c r="A174" s="207">
        <f t="shared" si="2"/>
        <v>6</v>
      </c>
      <c r="B174" s="205">
        <v>45831</v>
      </c>
      <c r="C174" s="207">
        <v>15.8</v>
      </c>
    </row>
    <row r="175" spans="1:3">
      <c r="A175" s="207">
        <f t="shared" si="2"/>
        <v>6</v>
      </c>
      <c r="B175" s="211">
        <v>45832</v>
      </c>
      <c r="C175" s="207">
        <v>15.8</v>
      </c>
    </row>
    <row r="176" spans="1:3">
      <c r="A176" s="207">
        <f t="shared" si="2"/>
        <v>6</v>
      </c>
      <c r="B176" s="205">
        <v>45833</v>
      </c>
      <c r="C176" s="207">
        <v>15.8</v>
      </c>
    </row>
    <row r="177" spans="1:5">
      <c r="A177" s="207">
        <f t="shared" si="2"/>
        <v>6</v>
      </c>
      <c r="B177" s="205">
        <v>45834</v>
      </c>
      <c r="C177" s="207">
        <v>15.8</v>
      </c>
    </row>
    <row r="178" spans="1:5">
      <c r="A178" s="207">
        <f t="shared" si="2"/>
        <v>6</v>
      </c>
      <c r="B178" s="211">
        <v>45835</v>
      </c>
      <c r="C178" s="207">
        <v>15.8</v>
      </c>
    </row>
    <row r="179" spans="1:5">
      <c r="A179" s="207">
        <f t="shared" si="2"/>
        <v>6</v>
      </c>
      <c r="B179" s="205">
        <v>45836</v>
      </c>
      <c r="C179" s="207">
        <v>15.8</v>
      </c>
    </row>
    <row r="180" spans="1:5">
      <c r="A180" s="207">
        <f t="shared" si="2"/>
        <v>6</v>
      </c>
      <c r="B180" s="205">
        <v>45837</v>
      </c>
      <c r="C180" s="207">
        <v>15.8</v>
      </c>
    </row>
    <row r="181" spans="1:5">
      <c r="A181" s="207">
        <f t="shared" si="2"/>
        <v>6</v>
      </c>
      <c r="B181" s="211">
        <v>45838</v>
      </c>
      <c r="C181" s="207">
        <v>15.8</v>
      </c>
      <c r="E181" s="207">
        <f>AVERAGE(C152:C181)</f>
        <v>15.653333333333338</v>
      </c>
    </row>
    <row r="182" spans="1:5">
      <c r="A182" s="207">
        <f t="shared" si="2"/>
        <v>7</v>
      </c>
      <c r="B182" s="205">
        <v>45839</v>
      </c>
      <c r="C182" s="207">
        <v>15.8</v>
      </c>
    </row>
    <row r="183" spans="1:5">
      <c r="A183" s="207">
        <f t="shared" si="2"/>
        <v>7</v>
      </c>
      <c r="B183" s="205">
        <v>45840</v>
      </c>
      <c r="C183" s="207">
        <v>16.600000000000001</v>
      </c>
    </row>
    <row r="184" spans="1:5">
      <c r="A184" s="207">
        <f t="shared" si="2"/>
        <v>7</v>
      </c>
      <c r="B184" s="211">
        <v>45841</v>
      </c>
      <c r="C184" s="207">
        <v>16.600000000000001</v>
      </c>
    </row>
    <row r="185" spans="1:5">
      <c r="A185" s="207">
        <f t="shared" si="2"/>
        <v>7</v>
      </c>
      <c r="B185" s="205">
        <v>45842</v>
      </c>
      <c r="C185" s="207">
        <v>16.600000000000001</v>
      </c>
    </row>
    <row r="186" spans="1:5">
      <c r="A186" s="207">
        <f t="shared" si="2"/>
        <v>7</v>
      </c>
      <c r="B186" s="205">
        <v>45843</v>
      </c>
      <c r="C186" s="207">
        <v>16.600000000000001</v>
      </c>
    </row>
    <row r="187" spans="1:5">
      <c r="A187" s="207">
        <f t="shared" si="2"/>
        <v>7</v>
      </c>
      <c r="B187" s="211">
        <v>45844</v>
      </c>
      <c r="C187" s="207">
        <v>16.600000000000001</v>
      </c>
    </row>
    <row r="188" spans="1:5">
      <c r="A188" s="207">
        <f t="shared" si="2"/>
        <v>7</v>
      </c>
      <c r="B188" s="205">
        <v>45845</v>
      </c>
      <c r="C188" s="207">
        <v>16.600000000000001</v>
      </c>
    </row>
    <row r="189" spans="1:5">
      <c r="A189" s="207">
        <f t="shared" si="2"/>
        <v>7</v>
      </c>
      <c r="B189" s="205">
        <v>45846</v>
      </c>
      <c r="C189" s="207">
        <v>16.600000000000001</v>
      </c>
    </row>
    <row r="190" spans="1:5">
      <c r="A190" s="207">
        <f t="shared" si="2"/>
        <v>7</v>
      </c>
      <c r="B190" s="211">
        <v>45847</v>
      </c>
      <c r="C190" s="207">
        <v>16.600000000000001</v>
      </c>
    </row>
    <row r="191" spans="1:5">
      <c r="A191" s="207">
        <f t="shared" si="2"/>
        <v>7</v>
      </c>
      <c r="B191" s="205">
        <v>45848</v>
      </c>
      <c r="C191" s="207">
        <v>16.600000000000001</v>
      </c>
    </row>
    <row r="192" spans="1:5">
      <c r="A192" s="207">
        <f t="shared" si="2"/>
        <v>7</v>
      </c>
      <c r="B192" s="211">
        <v>45849</v>
      </c>
      <c r="C192" s="207">
        <v>16.600000000000001</v>
      </c>
    </row>
    <row r="193" spans="1:3">
      <c r="A193" s="207">
        <f t="shared" si="2"/>
        <v>7</v>
      </c>
      <c r="B193" s="205">
        <v>45850</v>
      </c>
      <c r="C193" s="207">
        <v>16.600000000000001</v>
      </c>
    </row>
    <row r="194" spans="1:3">
      <c r="A194" s="207">
        <f t="shared" ref="A194:A243" si="4">MONTH(B194)</f>
        <v>7</v>
      </c>
      <c r="B194" s="211">
        <v>45851</v>
      </c>
      <c r="C194" s="207">
        <v>16.600000000000001</v>
      </c>
    </row>
    <row r="195" spans="1:3">
      <c r="A195" s="207">
        <f t="shared" si="4"/>
        <v>7</v>
      </c>
      <c r="B195" s="205">
        <v>45852</v>
      </c>
      <c r="C195" s="207">
        <v>16.600000000000001</v>
      </c>
    </row>
    <row r="196" spans="1:3">
      <c r="A196" s="207">
        <f t="shared" si="4"/>
        <v>7</v>
      </c>
      <c r="B196" s="211">
        <v>45853</v>
      </c>
      <c r="C196" s="207">
        <v>16.600000000000001</v>
      </c>
    </row>
    <row r="197" spans="1:3">
      <c r="A197" s="207">
        <f t="shared" si="4"/>
        <v>7</v>
      </c>
      <c r="B197" s="205">
        <v>45854</v>
      </c>
      <c r="C197" s="207">
        <v>16.600000000000001</v>
      </c>
    </row>
    <row r="198" spans="1:3">
      <c r="A198" s="207">
        <f t="shared" si="4"/>
        <v>7</v>
      </c>
      <c r="B198" s="211">
        <v>45855</v>
      </c>
      <c r="C198" s="207">
        <v>16.600000000000001</v>
      </c>
    </row>
    <row r="199" spans="1:3">
      <c r="A199" s="207">
        <f t="shared" si="4"/>
        <v>7</v>
      </c>
      <c r="B199" s="205">
        <v>45856</v>
      </c>
      <c r="C199" s="207">
        <v>16.600000000000001</v>
      </c>
    </row>
    <row r="200" spans="1:3">
      <c r="A200" s="207">
        <f t="shared" si="4"/>
        <v>7</v>
      </c>
      <c r="B200" s="211">
        <v>45857</v>
      </c>
      <c r="C200" s="207">
        <v>16.600000000000001</v>
      </c>
    </row>
    <row r="201" spans="1:3">
      <c r="A201" s="207">
        <f t="shared" si="4"/>
        <v>7</v>
      </c>
      <c r="B201" s="205">
        <v>45858</v>
      </c>
      <c r="C201" s="207">
        <v>16.600000000000001</v>
      </c>
    </row>
    <row r="202" spans="1:3">
      <c r="A202" s="207">
        <f t="shared" si="4"/>
        <v>7</v>
      </c>
      <c r="B202" s="211">
        <v>45859</v>
      </c>
      <c r="C202" s="207">
        <v>16.600000000000001</v>
      </c>
    </row>
    <row r="203" spans="1:3">
      <c r="A203" s="207">
        <f t="shared" si="4"/>
        <v>7</v>
      </c>
      <c r="B203" s="205">
        <v>45860</v>
      </c>
      <c r="C203" s="207">
        <v>16.600000000000001</v>
      </c>
    </row>
    <row r="204" spans="1:3">
      <c r="A204" s="207">
        <f t="shared" si="4"/>
        <v>7</v>
      </c>
      <c r="B204" s="211">
        <v>45861</v>
      </c>
      <c r="C204" s="207">
        <v>16.600000000000001</v>
      </c>
    </row>
    <row r="205" spans="1:3">
      <c r="A205" s="207">
        <f t="shared" si="4"/>
        <v>7</v>
      </c>
      <c r="B205" s="205">
        <v>45862</v>
      </c>
      <c r="C205" s="207">
        <v>16.600000000000001</v>
      </c>
    </row>
    <row r="206" spans="1:3">
      <c r="A206" s="207">
        <f t="shared" si="4"/>
        <v>7</v>
      </c>
      <c r="B206" s="211">
        <v>45863</v>
      </c>
      <c r="C206" s="207">
        <v>16.600000000000001</v>
      </c>
    </row>
    <row r="207" spans="1:3">
      <c r="A207" s="207">
        <f t="shared" si="4"/>
        <v>7</v>
      </c>
      <c r="B207" s="205">
        <v>45864</v>
      </c>
      <c r="C207" s="207">
        <v>16.600000000000001</v>
      </c>
    </row>
    <row r="208" spans="1:3">
      <c r="A208" s="207">
        <f t="shared" si="4"/>
        <v>7</v>
      </c>
      <c r="B208" s="211">
        <v>45865</v>
      </c>
      <c r="C208" s="207">
        <v>16.600000000000001</v>
      </c>
    </row>
    <row r="209" spans="1:3">
      <c r="A209" s="207">
        <f t="shared" si="4"/>
        <v>7</v>
      </c>
      <c r="B209" s="205">
        <v>45866</v>
      </c>
      <c r="C209" s="207">
        <v>16.600000000000001</v>
      </c>
    </row>
    <row r="210" spans="1:3">
      <c r="A210" s="207">
        <f t="shared" si="4"/>
        <v>7</v>
      </c>
      <c r="B210" s="211">
        <v>45867</v>
      </c>
      <c r="C210" s="207">
        <v>16.600000000000001</v>
      </c>
    </row>
    <row r="211" spans="1:3">
      <c r="A211" s="207">
        <f t="shared" si="4"/>
        <v>7</v>
      </c>
      <c r="B211" s="205">
        <v>45868</v>
      </c>
      <c r="C211" s="207">
        <v>16.600000000000001</v>
      </c>
    </row>
    <row r="212" spans="1:3">
      <c r="A212" s="207">
        <f t="shared" si="4"/>
        <v>7</v>
      </c>
      <c r="B212" s="211">
        <v>45869</v>
      </c>
      <c r="C212" s="207">
        <v>16.600000000000001</v>
      </c>
    </row>
    <row r="213" spans="1:3">
      <c r="A213" s="207">
        <f t="shared" si="4"/>
        <v>8</v>
      </c>
      <c r="B213" s="205">
        <v>45870</v>
      </c>
      <c r="C213" s="207">
        <f>C212</f>
        <v>16.600000000000001</v>
      </c>
    </row>
    <row r="214" spans="1:3">
      <c r="A214" s="207">
        <f t="shared" si="4"/>
        <v>8</v>
      </c>
      <c r="B214" s="211">
        <v>45871</v>
      </c>
      <c r="C214" s="207">
        <f t="shared" ref="C214:C218" si="5">C213</f>
        <v>16.600000000000001</v>
      </c>
    </row>
    <row r="215" spans="1:3">
      <c r="A215" s="207">
        <f t="shared" si="4"/>
        <v>8</v>
      </c>
      <c r="B215" s="205">
        <v>45872</v>
      </c>
      <c r="C215" s="207">
        <f t="shared" si="5"/>
        <v>16.600000000000001</v>
      </c>
    </row>
    <row r="216" spans="1:3">
      <c r="A216" s="207">
        <f t="shared" si="4"/>
        <v>8</v>
      </c>
      <c r="B216" s="211">
        <v>45873</v>
      </c>
      <c r="C216" s="207">
        <f t="shared" si="5"/>
        <v>16.600000000000001</v>
      </c>
    </row>
    <row r="217" spans="1:3">
      <c r="A217" s="207">
        <f t="shared" si="4"/>
        <v>8</v>
      </c>
      <c r="B217" s="205">
        <v>45874</v>
      </c>
      <c r="C217" s="207">
        <f t="shared" si="5"/>
        <v>16.600000000000001</v>
      </c>
    </row>
    <row r="218" spans="1:3">
      <c r="A218" s="207">
        <f t="shared" si="4"/>
        <v>8</v>
      </c>
      <c r="B218" s="211">
        <v>45875</v>
      </c>
      <c r="C218" s="207">
        <f t="shared" si="5"/>
        <v>16.600000000000001</v>
      </c>
    </row>
    <row r="219" spans="1:3">
      <c r="A219" s="207">
        <f t="shared" si="4"/>
        <v>8</v>
      </c>
      <c r="B219" s="205">
        <v>45876</v>
      </c>
      <c r="C219" s="207">
        <v>18.600000000000001</v>
      </c>
    </row>
    <row r="220" spans="1:3">
      <c r="A220" s="207">
        <f>MONTH(B220)</f>
        <v>8</v>
      </c>
      <c r="B220" s="211">
        <v>45877</v>
      </c>
      <c r="C220" s="207">
        <v>18.600000000000001</v>
      </c>
    </row>
    <row r="221" spans="1:3">
      <c r="A221" s="207">
        <f t="shared" si="4"/>
        <v>8</v>
      </c>
      <c r="B221" s="205">
        <v>45878</v>
      </c>
      <c r="C221" s="207">
        <v>18.600000000000001</v>
      </c>
    </row>
    <row r="222" spans="1:3">
      <c r="A222" s="207">
        <f t="shared" si="4"/>
        <v>8</v>
      </c>
      <c r="B222" s="211">
        <v>45879</v>
      </c>
      <c r="C222" s="207">
        <v>18.600000000000001</v>
      </c>
    </row>
    <row r="223" spans="1:3">
      <c r="A223" s="207">
        <f t="shared" si="4"/>
        <v>8</v>
      </c>
      <c r="B223" s="205">
        <v>45880</v>
      </c>
      <c r="C223" s="207">
        <v>18.600000000000001</v>
      </c>
    </row>
    <row r="224" spans="1:3">
      <c r="A224" s="207">
        <f t="shared" si="4"/>
        <v>8</v>
      </c>
      <c r="B224" s="211">
        <v>45881</v>
      </c>
      <c r="C224" s="207">
        <v>18.600000000000001</v>
      </c>
    </row>
    <row r="225" spans="1:3">
      <c r="A225" s="207">
        <f t="shared" si="4"/>
        <v>8</v>
      </c>
      <c r="B225" s="205">
        <v>45882</v>
      </c>
      <c r="C225" s="207">
        <v>18.600000000000001</v>
      </c>
    </row>
    <row r="226" spans="1:3">
      <c r="A226" s="207">
        <f t="shared" si="4"/>
        <v>8</v>
      </c>
      <c r="B226" s="211">
        <v>45883</v>
      </c>
      <c r="C226" s="207">
        <v>18.600000000000001</v>
      </c>
    </row>
    <row r="227" spans="1:3">
      <c r="A227" s="207">
        <f t="shared" si="4"/>
        <v>8</v>
      </c>
      <c r="B227" s="205">
        <v>45884</v>
      </c>
      <c r="C227" s="207">
        <v>18.600000000000001</v>
      </c>
    </row>
    <row r="228" spans="1:3">
      <c r="A228" s="207">
        <f t="shared" si="4"/>
        <v>8</v>
      </c>
      <c r="B228" s="211">
        <v>45885</v>
      </c>
      <c r="C228" s="207">
        <v>18.600000000000001</v>
      </c>
    </row>
    <row r="229" spans="1:3">
      <c r="A229" s="207">
        <f t="shared" si="4"/>
        <v>8</v>
      </c>
      <c r="B229" s="205">
        <v>45886</v>
      </c>
      <c r="C229" s="207">
        <v>18.600000000000001</v>
      </c>
    </row>
    <row r="230" spans="1:3">
      <c r="A230" s="207">
        <f t="shared" si="4"/>
        <v>8</v>
      </c>
      <c r="B230" s="211">
        <v>45887</v>
      </c>
      <c r="C230" s="207">
        <v>18.600000000000001</v>
      </c>
    </row>
    <row r="231" spans="1:3">
      <c r="A231" s="207">
        <f t="shared" si="4"/>
        <v>8</v>
      </c>
      <c r="B231" s="205">
        <v>45888</v>
      </c>
      <c r="C231" s="207">
        <v>18.600000000000001</v>
      </c>
    </row>
    <row r="232" spans="1:3">
      <c r="A232" s="207">
        <f t="shared" si="4"/>
        <v>8</v>
      </c>
      <c r="B232" s="211">
        <v>45889</v>
      </c>
      <c r="C232" s="207">
        <v>18.600000000000001</v>
      </c>
    </row>
    <row r="233" spans="1:3">
      <c r="A233" s="207">
        <f t="shared" si="4"/>
        <v>8</v>
      </c>
      <c r="B233" s="205">
        <v>45890</v>
      </c>
      <c r="C233" s="207">
        <v>18.600000000000001</v>
      </c>
    </row>
    <row r="234" spans="1:3">
      <c r="A234" s="207">
        <f t="shared" si="4"/>
        <v>8</v>
      </c>
      <c r="B234" s="211">
        <v>45891</v>
      </c>
      <c r="C234" s="207">
        <v>18.600000000000001</v>
      </c>
    </row>
    <row r="235" spans="1:3">
      <c r="A235" s="207">
        <f t="shared" si="4"/>
        <v>8</v>
      </c>
      <c r="B235" s="205">
        <v>45892</v>
      </c>
      <c r="C235" s="207">
        <v>18.600000000000001</v>
      </c>
    </row>
    <row r="236" spans="1:3">
      <c r="A236" s="207">
        <f t="shared" si="4"/>
        <v>8</v>
      </c>
      <c r="B236" s="211">
        <v>45893</v>
      </c>
      <c r="C236" s="207">
        <v>18.600000000000001</v>
      </c>
    </row>
    <row r="237" spans="1:3">
      <c r="A237" s="207">
        <f t="shared" si="4"/>
        <v>8</v>
      </c>
      <c r="B237" s="205">
        <v>45894</v>
      </c>
      <c r="C237" s="207">
        <v>18.600000000000001</v>
      </c>
    </row>
    <row r="238" spans="1:3">
      <c r="A238" s="207">
        <f t="shared" si="4"/>
        <v>8</v>
      </c>
      <c r="B238" s="211">
        <v>45895</v>
      </c>
      <c r="C238" s="207">
        <v>18.600000000000001</v>
      </c>
    </row>
    <row r="239" spans="1:3">
      <c r="A239" s="207">
        <f t="shared" si="4"/>
        <v>8</v>
      </c>
      <c r="B239" s="205">
        <v>45896</v>
      </c>
      <c r="C239" s="207">
        <v>18.600000000000001</v>
      </c>
    </row>
    <row r="240" spans="1:3">
      <c r="A240" s="207">
        <f t="shared" si="4"/>
        <v>8</v>
      </c>
      <c r="B240" s="211">
        <v>45897</v>
      </c>
      <c r="C240" s="207">
        <v>18.600000000000001</v>
      </c>
    </row>
    <row r="241" spans="1:3">
      <c r="A241" s="207">
        <f t="shared" si="4"/>
        <v>8</v>
      </c>
      <c r="B241" s="205">
        <v>45898</v>
      </c>
      <c r="C241" s="207">
        <v>18.600000000000001</v>
      </c>
    </row>
    <row r="242" spans="1:3">
      <c r="A242" s="207">
        <f t="shared" si="4"/>
        <v>8</v>
      </c>
      <c r="B242" s="211">
        <v>45899</v>
      </c>
      <c r="C242" s="207">
        <v>18.600000000000001</v>
      </c>
    </row>
    <row r="243" spans="1:3">
      <c r="A243" s="207">
        <f t="shared" si="4"/>
        <v>8</v>
      </c>
      <c r="B243" s="205">
        <v>45900</v>
      </c>
      <c r="C243" s="207">
        <v>18.600000000000001</v>
      </c>
    </row>
    <row r="244" spans="1:3">
      <c r="B244" s="211">
        <v>45901</v>
      </c>
      <c r="C244" s="207">
        <v>18.600000000000001</v>
      </c>
    </row>
    <row r="245" spans="1:3">
      <c r="B245" s="205">
        <v>45902</v>
      </c>
      <c r="C245" s="207">
        <v>18.600000000000001</v>
      </c>
    </row>
    <row r="246" spans="1:3">
      <c r="B246" s="211">
        <v>45903</v>
      </c>
      <c r="C246" s="207">
        <v>17.399999999999999</v>
      </c>
    </row>
    <row r="247" spans="1:3">
      <c r="B247" s="205">
        <v>45904</v>
      </c>
      <c r="C247" s="207">
        <v>17.399999999999999</v>
      </c>
    </row>
    <row r="248" spans="1:3">
      <c r="B248" s="211">
        <v>45905</v>
      </c>
      <c r="C248" s="207">
        <v>17.399999999999999</v>
      </c>
    </row>
    <row r="249" spans="1:3">
      <c r="B249" s="205">
        <v>45906</v>
      </c>
      <c r="C249" s="207">
        <v>17.399999999999999</v>
      </c>
    </row>
    <row r="250" spans="1:3">
      <c r="B250" s="211">
        <v>45907</v>
      </c>
      <c r="C250" s="207">
        <v>17.399999999999999</v>
      </c>
    </row>
    <row r="251" spans="1:3">
      <c r="B251" s="205">
        <v>45908</v>
      </c>
      <c r="C251" s="207">
        <v>17.399999999999999</v>
      </c>
    </row>
    <row r="252" spans="1:3">
      <c r="B252" s="211">
        <v>45909</v>
      </c>
      <c r="C252" s="207">
        <v>17.399999999999999</v>
      </c>
    </row>
    <row r="253" spans="1:3">
      <c r="B253" s="205">
        <v>45910</v>
      </c>
      <c r="C253" s="207">
        <v>17.399999999999999</v>
      </c>
    </row>
    <row r="254" spans="1:3">
      <c r="B254" s="211">
        <v>45911</v>
      </c>
      <c r="C254" s="207">
        <v>17.399999999999999</v>
      </c>
    </row>
    <row r="255" spans="1:3">
      <c r="B255" s="205">
        <v>45912</v>
      </c>
      <c r="C255" s="207">
        <v>17.399999999999999</v>
      </c>
    </row>
    <row r="256" spans="1:3">
      <c r="B256" s="211">
        <v>45913</v>
      </c>
      <c r="C256" s="207">
        <v>17.399999999999999</v>
      </c>
    </row>
    <row r="257" spans="2:3">
      <c r="B257" s="205">
        <v>45914</v>
      </c>
      <c r="C257" s="207">
        <v>17.399999999999999</v>
      </c>
    </row>
    <row r="258" spans="2:3">
      <c r="B258" s="211">
        <v>45915</v>
      </c>
      <c r="C258" s="207">
        <v>17.399999999999999</v>
      </c>
    </row>
    <row r="259" spans="2:3">
      <c r="B259" s="205">
        <v>45916</v>
      </c>
      <c r="C259" s="207">
        <v>17.399999999999999</v>
      </c>
    </row>
    <row r="260" spans="2:3">
      <c r="B260" s="211">
        <v>45917</v>
      </c>
      <c r="C260" s="207">
        <v>17.399999999999999</v>
      </c>
    </row>
    <row r="261" spans="2:3">
      <c r="B261" s="205">
        <v>45918</v>
      </c>
      <c r="C261" s="207">
        <v>17.399999999999999</v>
      </c>
    </row>
    <row r="262" spans="2:3">
      <c r="B262" s="211">
        <v>45919</v>
      </c>
      <c r="C262" s="207">
        <v>17.399999999999999</v>
      </c>
    </row>
    <row r="263" spans="2:3">
      <c r="B263" s="205">
        <v>45920</v>
      </c>
      <c r="C263" s="207">
        <v>17.399999999999999</v>
      </c>
    </row>
    <row r="264" spans="2:3">
      <c r="B264" s="211">
        <v>45921</v>
      </c>
      <c r="C264" s="207">
        <v>17.399999999999999</v>
      </c>
    </row>
    <row r="265" spans="2:3">
      <c r="B265" s="205">
        <v>45922</v>
      </c>
      <c r="C265" s="207">
        <v>17.399999999999999</v>
      </c>
    </row>
    <row r="266" spans="2:3">
      <c r="B266" s="211">
        <v>45923</v>
      </c>
      <c r="C266" s="207">
        <v>17.399999999999999</v>
      </c>
    </row>
    <row r="267" spans="2:3">
      <c r="B267" s="205">
        <v>45924</v>
      </c>
      <c r="C267" s="207">
        <v>17.399999999999999</v>
      </c>
    </row>
    <row r="268" spans="2:3">
      <c r="B268" s="211">
        <v>45925</v>
      </c>
      <c r="C268" s="207">
        <v>17.399999999999999</v>
      </c>
    </row>
    <row r="269" spans="2:3">
      <c r="B269" s="205">
        <v>45926</v>
      </c>
      <c r="C269" s="207">
        <v>17.399999999999999</v>
      </c>
    </row>
    <row r="270" spans="2:3">
      <c r="B270" s="211">
        <v>45927</v>
      </c>
      <c r="C270" s="207">
        <v>17.399999999999999</v>
      </c>
    </row>
    <row r="271" spans="2:3">
      <c r="B271" s="205">
        <v>45928</v>
      </c>
      <c r="C271" s="207">
        <v>17.399999999999999</v>
      </c>
    </row>
    <row r="272" spans="2:3">
      <c r="B272" s="211">
        <v>45929</v>
      </c>
      <c r="C272" s="207">
        <v>17.399999999999999</v>
      </c>
    </row>
    <row r="273" spans="2:3">
      <c r="B273" s="205">
        <v>45930</v>
      </c>
      <c r="C273" s="207">
        <v>17.399999999999999</v>
      </c>
    </row>
    <row r="274" spans="2:3">
      <c r="B274" s="211">
        <v>45931</v>
      </c>
      <c r="C274" s="207">
        <v>17.399999999999999</v>
      </c>
    </row>
    <row r="275" spans="2:3">
      <c r="B275" s="205">
        <v>45932</v>
      </c>
      <c r="C275" s="207">
        <v>17.399999999999999</v>
      </c>
    </row>
    <row r="276" spans="2:3">
      <c r="B276" s="211">
        <v>45933</v>
      </c>
      <c r="C276" s="207">
        <v>17.399999999999999</v>
      </c>
    </row>
    <row r="277" spans="2:3">
      <c r="B277" s="205">
        <v>45934</v>
      </c>
      <c r="C277" s="207">
        <v>17.399999999999999</v>
      </c>
    </row>
    <row r="278" spans="2:3">
      <c r="B278" s="211">
        <v>45935</v>
      </c>
      <c r="C278" s="207">
        <v>17.399999999999999</v>
      </c>
    </row>
    <row r="279" spans="2:3">
      <c r="B279" s="205">
        <v>45936</v>
      </c>
      <c r="C279" s="207">
        <v>17.399999999999999</v>
      </c>
    </row>
    <row r="280" spans="2:3">
      <c r="B280" s="211">
        <v>45937</v>
      </c>
      <c r="C280" s="207">
        <v>17.399999999999999</v>
      </c>
    </row>
    <row r="281" spans="2:3">
      <c r="B281" s="205">
        <v>45938</v>
      </c>
      <c r="C281" s="207">
        <v>17.399999999999999</v>
      </c>
    </row>
    <row r="282" spans="2:3">
      <c r="B282" s="211">
        <v>45939</v>
      </c>
      <c r="C282" s="207">
        <v>17.399999999999999</v>
      </c>
    </row>
    <row r="283" spans="2:3">
      <c r="B283" s="205">
        <v>45940</v>
      </c>
      <c r="C283" s="207">
        <v>17.399999999999999</v>
      </c>
    </row>
    <row r="284" spans="2:3">
      <c r="B284" s="211">
        <v>45941</v>
      </c>
      <c r="C284" s="207">
        <v>17.399999999999999</v>
      </c>
    </row>
    <row r="285" spans="2:3">
      <c r="B285" s="205">
        <v>45942</v>
      </c>
      <c r="C285" s="207">
        <v>17.399999999999999</v>
      </c>
    </row>
    <row r="286" spans="2:3">
      <c r="B286" s="211">
        <v>45943</v>
      </c>
      <c r="C286" s="207">
        <v>17.399999999999999</v>
      </c>
    </row>
    <row r="287" spans="2:3">
      <c r="B287" s="205">
        <v>45944</v>
      </c>
      <c r="C287" s="207">
        <v>17.399999999999999</v>
      </c>
    </row>
    <row r="288" spans="2:3">
      <c r="B288" s="211">
        <v>45945</v>
      </c>
      <c r="C288" s="207">
        <v>17.399999999999999</v>
      </c>
    </row>
    <row r="289" spans="2:3">
      <c r="B289" s="205">
        <v>45946</v>
      </c>
      <c r="C289" s="207">
        <v>17.399999999999999</v>
      </c>
    </row>
    <row r="290" spans="2:3">
      <c r="B290" s="211">
        <v>45947</v>
      </c>
      <c r="C290" s="253">
        <f t="shared" ref="C290:C302" si="6">$C$304+2</f>
        <v>19.084955336938378</v>
      </c>
    </row>
    <row r="291" spans="2:3">
      <c r="B291" s="205">
        <v>45948</v>
      </c>
      <c r="C291" s="253">
        <f t="shared" si="6"/>
        <v>19.084955336938378</v>
      </c>
    </row>
    <row r="292" spans="2:3">
      <c r="B292" s="211">
        <v>45949</v>
      </c>
      <c r="C292" s="253">
        <f t="shared" si="6"/>
        <v>19.084955336938378</v>
      </c>
    </row>
    <row r="293" spans="2:3">
      <c r="B293" s="205">
        <v>45950</v>
      </c>
      <c r="C293" s="253">
        <f t="shared" si="6"/>
        <v>19.084955336938378</v>
      </c>
    </row>
    <row r="294" spans="2:3">
      <c r="B294" s="211">
        <v>45951</v>
      </c>
      <c r="C294" s="253">
        <f t="shared" si="6"/>
        <v>19.084955336938378</v>
      </c>
    </row>
    <row r="295" spans="2:3">
      <c r="B295" s="205">
        <v>45952</v>
      </c>
      <c r="C295" s="253">
        <f t="shared" si="6"/>
        <v>19.084955336938378</v>
      </c>
    </row>
    <row r="296" spans="2:3">
      <c r="B296" s="211">
        <v>45953</v>
      </c>
      <c r="C296" s="253">
        <f t="shared" si="6"/>
        <v>19.084955336938378</v>
      </c>
    </row>
    <row r="297" spans="2:3">
      <c r="B297" s="205">
        <v>45954</v>
      </c>
      <c r="C297" s="253">
        <f t="shared" si="6"/>
        <v>19.084955336938378</v>
      </c>
    </row>
    <row r="298" spans="2:3">
      <c r="B298" s="211">
        <v>45955</v>
      </c>
      <c r="C298" s="253">
        <f t="shared" si="6"/>
        <v>19.084955336938378</v>
      </c>
    </row>
    <row r="299" spans="2:3">
      <c r="B299" s="205">
        <v>45956</v>
      </c>
      <c r="C299" s="253">
        <f t="shared" si="6"/>
        <v>19.084955336938378</v>
      </c>
    </row>
    <row r="300" spans="2:3">
      <c r="B300" s="211">
        <v>45957</v>
      </c>
      <c r="C300" s="253">
        <f t="shared" si="6"/>
        <v>19.084955336938378</v>
      </c>
    </row>
    <row r="301" spans="2:3">
      <c r="B301" s="205">
        <v>45958</v>
      </c>
      <c r="C301" s="253">
        <f t="shared" si="6"/>
        <v>19.084955336938378</v>
      </c>
    </row>
    <row r="302" spans="2:3">
      <c r="B302" s="211">
        <v>45959</v>
      </c>
      <c r="C302" s="253">
        <f t="shared" si="6"/>
        <v>19.084955336938378</v>
      </c>
    </row>
    <row r="303" spans="2:3">
      <c r="B303" s="205">
        <v>45960</v>
      </c>
      <c r="C303" s="253">
        <f>$C$304+2</f>
        <v>19.084955336938378</v>
      </c>
    </row>
    <row r="304" spans="2:3">
      <c r="B304" s="211">
        <v>45961</v>
      </c>
      <c r="C304" s="253">
        <f t="shared" ref="C304:C316" si="7">$C$318+0.28</f>
        <v>17.084955336938378</v>
      </c>
    </row>
    <row r="305" spans="2:3">
      <c r="B305" s="211">
        <v>45962</v>
      </c>
      <c r="C305" s="253">
        <f t="shared" si="7"/>
        <v>17.084955336938378</v>
      </c>
    </row>
    <row r="306" spans="2:3">
      <c r="B306" s="211">
        <v>45963</v>
      </c>
      <c r="C306" s="253">
        <f t="shared" si="7"/>
        <v>17.084955336938378</v>
      </c>
    </row>
    <row r="307" spans="2:3">
      <c r="B307" s="211">
        <v>45964</v>
      </c>
      <c r="C307" s="253">
        <f t="shared" si="7"/>
        <v>17.084955336938378</v>
      </c>
    </row>
    <row r="308" spans="2:3">
      <c r="B308" s="211">
        <v>45965</v>
      </c>
      <c r="C308" s="253">
        <f t="shared" si="7"/>
        <v>17.084955336938378</v>
      </c>
    </row>
    <row r="309" spans="2:3">
      <c r="B309" s="211">
        <v>45966</v>
      </c>
      <c r="C309" s="253">
        <f t="shared" si="7"/>
        <v>17.084955336938378</v>
      </c>
    </row>
    <row r="310" spans="2:3">
      <c r="B310" s="211">
        <v>45967</v>
      </c>
      <c r="C310" s="253">
        <f t="shared" si="7"/>
        <v>17.084955336938378</v>
      </c>
    </row>
    <row r="311" spans="2:3">
      <c r="B311" s="211">
        <v>45968</v>
      </c>
      <c r="C311" s="253">
        <f t="shared" si="7"/>
        <v>17.084955336938378</v>
      </c>
    </row>
    <row r="312" spans="2:3">
      <c r="B312" s="211">
        <v>45969</v>
      </c>
      <c r="C312" s="253">
        <f t="shared" si="7"/>
        <v>17.084955336938378</v>
      </c>
    </row>
    <row r="313" spans="2:3">
      <c r="B313" s="211">
        <v>45970</v>
      </c>
      <c r="C313" s="253">
        <f t="shared" si="7"/>
        <v>17.084955336938378</v>
      </c>
    </row>
    <row r="314" spans="2:3">
      <c r="B314" s="211">
        <v>45971</v>
      </c>
      <c r="C314" s="253">
        <f t="shared" si="7"/>
        <v>17.084955336938378</v>
      </c>
    </row>
    <row r="315" spans="2:3">
      <c r="B315" s="211">
        <v>45972</v>
      </c>
      <c r="C315" s="253">
        <f t="shared" si="7"/>
        <v>17.084955336938378</v>
      </c>
    </row>
    <row r="316" spans="2:3">
      <c r="B316" s="211">
        <v>45973</v>
      </c>
      <c r="C316" s="253">
        <f t="shared" si="7"/>
        <v>17.084955336938378</v>
      </c>
    </row>
    <row r="317" spans="2:3">
      <c r="B317" s="211">
        <v>45974</v>
      </c>
      <c r="C317" s="253">
        <f>$C$318+0.28</f>
        <v>17.084955336938378</v>
      </c>
    </row>
    <row r="318" spans="2:3">
      <c r="B318" s="211">
        <v>45975</v>
      </c>
      <c r="C318" s="253">
        <f>'F1 Historical'!E$237</f>
        <v>16.804955336938377</v>
      </c>
    </row>
    <row r="319" spans="2:3">
      <c r="B319" s="211">
        <v>45976</v>
      </c>
      <c r="C319" s="253">
        <f>'F1 Historical'!E$237</f>
        <v>16.804955336938377</v>
      </c>
    </row>
    <row r="320" spans="2:3">
      <c r="B320" s="211">
        <v>45977</v>
      </c>
      <c r="C320" s="253">
        <f>'F1 Historical'!E$237</f>
        <v>16.804955336938377</v>
      </c>
    </row>
    <row r="321" spans="2:3">
      <c r="B321" s="211">
        <v>45978</v>
      </c>
      <c r="C321" s="253">
        <f>'F1 Historical'!E$237</f>
        <v>16.804955336938377</v>
      </c>
    </row>
    <row r="322" spans="2:3">
      <c r="B322" s="211">
        <v>45979</v>
      </c>
      <c r="C322" s="253">
        <f>'F1 Historical'!E$237</f>
        <v>16.804955336938377</v>
      </c>
    </row>
    <row r="323" spans="2:3">
      <c r="B323" s="211">
        <v>45980</v>
      </c>
      <c r="C323" s="253">
        <f>'F1 Historical'!E$237</f>
        <v>16.804955336938377</v>
      </c>
    </row>
    <row r="324" spans="2:3">
      <c r="B324" s="211">
        <v>45981</v>
      </c>
      <c r="C324" s="253">
        <f>'F1 Historical'!E$237</f>
        <v>16.804955336938377</v>
      </c>
    </row>
    <row r="325" spans="2:3">
      <c r="B325" s="211">
        <v>45982</v>
      </c>
      <c r="C325" s="253">
        <f>'F1 Historical'!E$237</f>
        <v>16.804955336938377</v>
      </c>
    </row>
    <row r="326" spans="2:3">
      <c r="B326" s="211">
        <v>45983</v>
      </c>
      <c r="C326" s="253">
        <f>'F1 Historical'!E$237</f>
        <v>16.804955336938377</v>
      </c>
    </row>
    <row r="327" spans="2:3">
      <c r="B327" s="211">
        <v>45984</v>
      </c>
      <c r="C327" s="253">
        <f>'F1 Historical'!E$237</f>
        <v>16.804955336938377</v>
      </c>
    </row>
    <row r="328" spans="2:3">
      <c r="B328" s="211">
        <v>45985</v>
      </c>
      <c r="C328" s="253">
        <f>'F1 Historical'!E$237</f>
        <v>16.804955336938377</v>
      </c>
    </row>
    <row r="329" spans="2:3">
      <c r="B329" s="211">
        <v>45986</v>
      </c>
      <c r="C329" s="253">
        <f>'F1 Historical'!E$237</f>
        <v>16.804955336938377</v>
      </c>
    </row>
    <row r="330" spans="2:3">
      <c r="B330" s="211">
        <v>45987</v>
      </c>
      <c r="C330" s="253">
        <f>'F1 Historical'!E$237</f>
        <v>16.804955336938377</v>
      </c>
    </row>
    <row r="331" spans="2:3">
      <c r="B331" s="211">
        <v>45988</v>
      </c>
      <c r="C331" s="253">
        <f>'F1 Historical'!E$237</f>
        <v>16.804955336938377</v>
      </c>
    </row>
    <row r="332" spans="2:3">
      <c r="B332" s="211">
        <v>45989</v>
      </c>
      <c r="C332" s="253">
        <f>'F1 Historical'!E$237</f>
        <v>16.804955336938377</v>
      </c>
    </row>
    <row r="333" spans="2:3">
      <c r="B333" s="211">
        <v>45990</v>
      </c>
      <c r="C333" s="253">
        <f>'F1 Historical'!E$237</f>
        <v>16.804955336938377</v>
      </c>
    </row>
    <row r="334" spans="2:3">
      <c r="B334" s="211">
        <v>45991</v>
      </c>
      <c r="C334" s="253">
        <f>'F1 Historical'!E$237</f>
        <v>16.804955336938377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DECE3-DD00-4FD9-B49C-E0E2A6804B33}">
  <sheetPr codeName="Sheet15"/>
  <dimension ref="A1:E334"/>
  <sheetViews>
    <sheetView view="pageBreakPreview" topLeftCell="B307" zoomScale="86" zoomScaleNormal="70" zoomScaleSheetLayoutView="86" workbookViewId="0">
      <selection activeCell="B2" sqref="B2:B334"/>
    </sheetView>
  </sheetViews>
  <sheetFormatPr defaultColWidth="9" defaultRowHeight="14.45"/>
  <cols>
    <col min="1" max="1" width="9" style="207"/>
    <col min="2" max="2" width="16.5703125" style="213" customWidth="1"/>
    <col min="3" max="3" width="25.28515625" style="207" customWidth="1"/>
    <col min="4" max="4" width="16.42578125" style="207" customWidth="1"/>
    <col min="5" max="5" width="13.7109375" style="207" customWidth="1"/>
    <col min="6" max="16384" width="9" style="207"/>
  </cols>
  <sheetData>
    <row r="1" spans="1:4" s="204" customFormat="1">
      <c r="B1" s="203"/>
      <c r="C1" s="203" t="s">
        <v>306</v>
      </c>
      <c r="D1" s="203" t="s">
        <v>307</v>
      </c>
    </row>
    <row r="2" spans="1:4" s="204" customFormat="1">
      <c r="A2" s="207" t="e">
        <f t="shared" ref="A2:A65" si="0">MONTH(B2)</f>
        <v>#VALUE!</v>
      </c>
      <c r="B2" s="205" t="s">
        <v>308</v>
      </c>
      <c r="C2" s="206">
        <v>2.4</v>
      </c>
      <c r="D2" s="207">
        <f t="shared" ref="D2:D33" si="1">C2</f>
        <v>2.4</v>
      </c>
    </row>
    <row r="3" spans="1:4" s="204" customFormat="1">
      <c r="A3" s="207">
        <f t="shared" si="0"/>
        <v>1</v>
      </c>
      <c r="B3" s="205">
        <v>45660</v>
      </c>
      <c r="C3" s="206">
        <v>2.4</v>
      </c>
      <c r="D3" s="207">
        <f t="shared" si="1"/>
        <v>2.4</v>
      </c>
    </row>
    <row r="4" spans="1:4" s="204" customFormat="1">
      <c r="A4" s="207">
        <f t="shared" si="0"/>
        <v>1</v>
      </c>
      <c r="B4" s="205">
        <v>45661</v>
      </c>
      <c r="C4" s="206">
        <v>2.4</v>
      </c>
      <c r="D4" s="207">
        <f t="shared" si="1"/>
        <v>2.4</v>
      </c>
    </row>
    <row r="5" spans="1:4" s="204" customFormat="1">
      <c r="A5" s="207">
        <f t="shared" si="0"/>
        <v>1</v>
      </c>
      <c r="B5" s="205">
        <v>45662</v>
      </c>
      <c r="C5" s="206">
        <v>2.4</v>
      </c>
      <c r="D5" s="207">
        <f t="shared" si="1"/>
        <v>2.4</v>
      </c>
    </row>
    <row r="6" spans="1:4" s="204" customFormat="1">
      <c r="A6" s="207">
        <f t="shared" si="0"/>
        <v>1</v>
      </c>
      <c r="B6" s="205">
        <v>45663</v>
      </c>
      <c r="C6" s="206">
        <v>2.4</v>
      </c>
      <c r="D6" s="207">
        <f t="shared" si="1"/>
        <v>2.4</v>
      </c>
    </row>
    <row r="7" spans="1:4" s="204" customFormat="1">
      <c r="A7" s="207">
        <f t="shared" si="0"/>
        <v>1</v>
      </c>
      <c r="B7" s="205">
        <v>45664</v>
      </c>
      <c r="C7" s="206">
        <v>2.4</v>
      </c>
      <c r="D7" s="207">
        <f t="shared" si="1"/>
        <v>2.4</v>
      </c>
    </row>
    <row r="8" spans="1:4" s="204" customFormat="1">
      <c r="A8" s="207">
        <f t="shared" si="0"/>
        <v>1</v>
      </c>
      <c r="B8" s="205">
        <v>45665</v>
      </c>
      <c r="C8" s="206">
        <v>2.4</v>
      </c>
      <c r="D8" s="207">
        <f t="shared" si="1"/>
        <v>2.4</v>
      </c>
    </row>
    <row r="9" spans="1:4" s="204" customFormat="1">
      <c r="A9" s="207">
        <f t="shared" si="0"/>
        <v>1</v>
      </c>
      <c r="B9" s="205">
        <v>45666</v>
      </c>
      <c r="C9" s="206">
        <v>2.4</v>
      </c>
      <c r="D9" s="207">
        <f t="shared" si="1"/>
        <v>2.4</v>
      </c>
    </row>
    <row r="10" spans="1:4" s="204" customFormat="1">
      <c r="A10" s="207">
        <f t="shared" si="0"/>
        <v>1</v>
      </c>
      <c r="B10" s="205">
        <v>45667</v>
      </c>
      <c r="C10" s="206">
        <v>2.4</v>
      </c>
      <c r="D10" s="207">
        <f t="shared" si="1"/>
        <v>2.4</v>
      </c>
    </row>
    <row r="11" spans="1:4" s="204" customFormat="1">
      <c r="A11" s="207">
        <f t="shared" si="0"/>
        <v>1</v>
      </c>
      <c r="B11" s="205">
        <v>45668</v>
      </c>
      <c r="C11" s="206">
        <v>2.4</v>
      </c>
      <c r="D11" s="207">
        <f t="shared" si="1"/>
        <v>2.4</v>
      </c>
    </row>
    <row r="12" spans="1:4" s="204" customFormat="1">
      <c r="A12" s="207">
        <f t="shared" si="0"/>
        <v>1</v>
      </c>
      <c r="B12" s="205">
        <v>45669</v>
      </c>
      <c r="C12" s="206">
        <v>2.4</v>
      </c>
      <c r="D12" s="207">
        <f t="shared" si="1"/>
        <v>2.4</v>
      </c>
    </row>
    <row r="13" spans="1:4" s="204" customFormat="1">
      <c r="A13" s="207">
        <f t="shared" si="0"/>
        <v>1</v>
      </c>
      <c r="B13" s="205">
        <v>45670</v>
      </c>
      <c r="C13" s="206">
        <v>2.4</v>
      </c>
      <c r="D13" s="207">
        <f t="shared" si="1"/>
        <v>2.4</v>
      </c>
    </row>
    <row r="14" spans="1:4" s="204" customFormat="1">
      <c r="A14" s="207">
        <f t="shared" si="0"/>
        <v>1</v>
      </c>
      <c r="B14" s="205">
        <v>45671</v>
      </c>
      <c r="C14" s="206">
        <v>2.4</v>
      </c>
      <c r="D14" s="207">
        <f t="shared" si="1"/>
        <v>2.4</v>
      </c>
    </row>
    <row r="15" spans="1:4" s="204" customFormat="1">
      <c r="A15" s="207">
        <f t="shared" si="0"/>
        <v>1</v>
      </c>
      <c r="B15" s="205">
        <v>45672</v>
      </c>
      <c r="C15" s="206">
        <v>2.4</v>
      </c>
      <c r="D15" s="207">
        <f t="shared" si="1"/>
        <v>2.4</v>
      </c>
    </row>
    <row r="16" spans="1:4" s="204" customFormat="1">
      <c r="A16" s="207">
        <f t="shared" si="0"/>
        <v>1</v>
      </c>
      <c r="B16" s="205">
        <v>45673</v>
      </c>
      <c r="C16" s="206">
        <v>2.4</v>
      </c>
      <c r="D16" s="207">
        <f t="shared" si="1"/>
        <v>2.4</v>
      </c>
    </row>
    <row r="17" spans="1:4" s="204" customFormat="1">
      <c r="A17" s="207">
        <f t="shared" si="0"/>
        <v>1</v>
      </c>
      <c r="B17" s="205">
        <v>45674</v>
      </c>
      <c r="C17" s="206">
        <v>2.4</v>
      </c>
      <c r="D17" s="207">
        <f t="shared" si="1"/>
        <v>2.4</v>
      </c>
    </row>
    <row r="18" spans="1:4" s="204" customFormat="1">
      <c r="A18" s="207">
        <f t="shared" si="0"/>
        <v>1</v>
      </c>
      <c r="B18" s="205">
        <v>45675</v>
      </c>
      <c r="C18" s="206">
        <v>2.4</v>
      </c>
      <c r="D18" s="207">
        <f t="shared" si="1"/>
        <v>2.4</v>
      </c>
    </row>
    <row r="19" spans="1:4" s="204" customFormat="1">
      <c r="A19" s="207">
        <f t="shared" si="0"/>
        <v>1</v>
      </c>
      <c r="B19" s="205">
        <v>45676</v>
      </c>
      <c r="C19" s="206">
        <v>2.4</v>
      </c>
      <c r="D19" s="207">
        <f t="shared" si="1"/>
        <v>2.4</v>
      </c>
    </row>
    <row r="20" spans="1:4" s="204" customFormat="1">
      <c r="A20" s="207">
        <f t="shared" si="0"/>
        <v>1</v>
      </c>
      <c r="B20" s="205">
        <v>45677</v>
      </c>
      <c r="C20" s="206">
        <v>2.4</v>
      </c>
      <c r="D20" s="207">
        <f t="shared" si="1"/>
        <v>2.4</v>
      </c>
    </row>
    <row r="21" spans="1:4">
      <c r="A21" s="207">
        <f t="shared" si="0"/>
        <v>1</v>
      </c>
      <c r="B21" s="205">
        <v>45678</v>
      </c>
      <c r="C21" s="206">
        <v>2.4</v>
      </c>
      <c r="D21" s="207">
        <f t="shared" si="1"/>
        <v>2.4</v>
      </c>
    </row>
    <row r="22" spans="1:4">
      <c r="A22" s="207">
        <f t="shared" si="0"/>
        <v>1</v>
      </c>
      <c r="B22" s="205">
        <v>45679</v>
      </c>
      <c r="C22" s="206">
        <v>2.4</v>
      </c>
      <c r="D22" s="207">
        <f t="shared" si="1"/>
        <v>2.4</v>
      </c>
    </row>
    <row r="23" spans="1:4">
      <c r="A23" s="207">
        <f t="shared" si="0"/>
        <v>1</v>
      </c>
      <c r="B23" s="205">
        <v>45680</v>
      </c>
      <c r="C23" s="206">
        <v>2.4</v>
      </c>
      <c r="D23" s="207">
        <f t="shared" si="1"/>
        <v>2.4</v>
      </c>
    </row>
    <row r="24" spans="1:4">
      <c r="A24" s="207">
        <f t="shared" si="0"/>
        <v>1</v>
      </c>
      <c r="B24" s="205">
        <v>45681</v>
      </c>
      <c r="C24" s="206">
        <v>2.4</v>
      </c>
      <c r="D24" s="207">
        <f t="shared" si="1"/>
        <v>2.4</v>
      </c>
    </row>
    <row r="25" spans="1:4">
      <c r="A25" s="207">
        <f t="shared" si="0"/>
        <v>1</v>
      </c>
      <c r="B25" s="205">
        <v>45682</v>
      </c>
      <c r="C25" s="206">
        <v>2.4</v>
      </c>
      <c r="D25" s="207">
        <f t="shared" si="1"/>
        <v>2.4</v>
      </c>
    </row>
    <row r="26" spans="1:4">
      <c r="A26" s="207">
        <f t="shared" si="0"/>
        <v>1</v>
      </c>
      <c r="B26" s="205">
        <v>45683</v>
      </c>
      <c r="C26" s="206">
        <v>2.4</v>
      </c>
      <c r="D26" s="207">
        <f t="shared" si="1"/>
        <v>2.4</v>
      </c>
    </row>
    <row r="27" spans="1:4">
      <c r="A27" s="207">
        <f t="shared" si="0"/>
        <v>1</v>
      </c>
      <c r="B27" s="205">
        <v>45684</v>
      </c>
      <c r="C27" s="206">
        <v>2.4</v>
      </c>
      <c r="D27" s="207">
        <f t="shared" si="1"/>
        <v>2.4</v>
      </c>
    </row>
    <row r="28" spans="1:4">
      <c r="A28" s="207">
        <f t="shared" si="0"/>
        <v>1</v>
      </c>
      <c r="B28" s="205">
        <v>45685</v>
      </c>
      <c r="C28" s="206">
        <v>2.4</v>
      </c>
      <c r="D28" s="207">
        <f t="shared" si="1"/>
        <v>2.4</v>
      </c>
    </row>
    <row r="29" spans="1:4">
      <c r="A29" s="207">
        <f t="shared" si="0"/>
        <v>1</v>
      </c>
      <c r="B29" s="205">
        <v>45686</v>
      </c>
      <c r="C29" s="206">
        <v>2.4</v>
      </c>
      <c r="D29" s="207">
        <f t="shared" si="1"/>
        <v>2.4</v>
      </c>
    </row>
    <row r="30" spans="1:4">
      <c r="A30" s="207">
        <f t="shared" si="0"/>
        <v>1</v>
      </c>
      <c r="B30" s="205">
        <v>45687</v>
      </c>
      <c r="C30" s="206">
        <v>2.4</v>
      </c>
      <c r="D30" s="207">
        <f t="shared" si="1"/>
        <v>2.4</v>
      </c>
    </row>
    <row r="31" spans="1:4">
      <c r="A31" s="207">
        <f t="shared" si="0"/>
        <v>1</v>
      </c>
      <c r="B31" s="205">
        <v>45688</v>
      </c>
      <c r="C31" s="206">
        <v>2.4</v>
      </c>
      <c r="D31" s="207">
        <f t="shared" si="1"/>
        <v>2.4</v>
      </c>
    </row>
    <row r="32" spans="1:4">
      <c r="A32" s="207">
        <f t="shared" si="0"/>
        <v>2</v>
      </c>
      <c r="B32" s="205">
        <v>45689</v>
      </c>
      <c r="C32" s="206">
        <v>2.4</v>
      </c>
      <c r="D32" s="207">
        <f t="shared" si="1"/>
        <v>2.4</v>
      </c>
    </row>
    <row r="33" spans="1:4">
      <c r="A33" s="207">
        <f t="shared" si="0"/>
        <v>2</v>
      </c>
      <c r="B33" s="205">
        <v>45690</v>
      </c>
      <c r="C33" s="206">
        <v>2.4</v>
      </c>
      <c r="D33" s="207">
        <f t="shared" si="1"/>
        <v>2.4</v>
      </c>
    </row>
    <row r="34" spans="1:4">
      <c r="A34" s="207">
        <f t="shared" si="0"/>
        <v>2</v>
      </c>
      <c r="B34" s="205">
        <v>45691</v>
      </c>
      <c r="C34" s="206">
        <v>2.4</v>
      </c>
      <c r="D34" s="207">
        <f>C34</f>
        <v>2.4</v>
      </c>
    </row>
    <row r="35" spans="1:4">
      <c r="A35" s="207">
        <f t="shared" si="0"/>
        <v>2</v>
      </c>
      <c r="B35" s="205">
        <v>45692</v>
      </c>
      <c r="C35" s="206">
        <v>3.8</v>
      </c>
      <c r="D35" s="207">
        <f t="shared" ref="D35:D98" si="2">(C35+(15.97+2.4)-17.8)</f>
        <v>4.370000000000001</v>
      </c>
    </row>
    <row r="36" spans="1:4">
      <c r="A36" s="207">
        <f t="shared" si="0"/>
        <v>2</v>
      </c>
      <c r="B36" s="205">
        <v>45693</v>
      </c>
      <c r="C36" s="206">
        <v>3.8</v>
      </c>
      <c r="D36" s="207">
        <f t="shared" si="2"/>
        <v>4.370000000000001</v>
      </c>
    </row>
    <row r="37" spans="1:4">
      <c r="A37" s="207">
        <f t="shared" si="0"/>
        <v>2</v>
      </c>
      <c r="B37" s="205">
        <v>45694</v>
      </c>
      <c r="C37" s="206">
        <v>3.8</v>
      </c>
      <c r="D37" s="207">
        <f t="shared" si="2"/>
        <v>4.370000000000001</v>
      </c>
    </row>
    <row r="38" spans="1:4">
      <c r="A38" s="207">
        <f t="shared" si="0"/>
        <v>2</v>
      </c>
      <c r="B38" s="205">
        <v>45695</v>
      </c>
      <c r="C38" s="206">
        <v>3.8</v>
      </c>
      <c r="D38" s="207">
        <f t="shared" si="2"/>
        <v>4.370000000000001</v>
      </c>
    </row>
    <row r="39" spans="1:4">
      <c r="A39" s="207">
        <f t="shared" si="0"/>
        <v>2</v>
      </c>
      <c r="B39" s="205">
        <v>45696</v>
      </c>
      <c r="C39" s="206">
        <v>3.8</v>
      </c>
      <c r="D39" s="207">
        <f t="shared" si="2"/>
        <v>4.370000000000001</v>
      </c>
    </row>
    <row r="40" spans="1:4">
      <c r="A40" s="207">
        <f t="shared" si="0"/>
        <v>2</v>
      </c>
      <c r="B40" s="205">
        <v>45697</v>
      </c>
      <c r="C40" s="206">
        <v>3.8</v>
      </c>
      <c r="D40" s="207">
        <f t="shared" si="2"/>
        <v>4.370000000000001</v>
      </c>
    </row>
    <row r="41" spans="1:4">
      <c r="A41" s="207">
        <f t="shared" si="0"/>
        <v>2</v>
      </c>
      <c r="B41" s="205">
        <v>45698</v>
      </c>
      <c r="C41" s="206">
        <v>3.8</v>
      </c>
      <c r="D41" s="207">
        <f t="shared" si="2"/>
        <v>4.370000000000001</v>
      </c>
    </row>
    <row r="42" spans="1:4">
      <c r="A42" s="207">
        <f t="shared" si="0"/>
        <v>2</v>
      </c>
      <c r="B42" s="205">
        <v>45699</v>
      </c>
      <c r="C42" s="206">
        <v>3.8</v>
      </c>
      <c r="D42" s="207">
        <f t="shared" si="2"/>
        <v>4.370000000000001</v>
      </c>
    </row>
    <row r="43" spans="1:4">
      <c r="A43" s="207">
        <f t="shared" si="0"/>
        <v>2</v>
      </c>
      <c r="B43" s="205">
        <v>45700</v>
      </c>
      <c r="C43" s="206">
        <v>3.8</v>
      </c>
      <c r="D43" s="207">
        <f t="shared" si="2"/>
        <v>4.370000000000001</v>
      </c>
    </row>
    <row r="44" spans="1:4">
      <c r="A44" s="207">
        <f t="shared" si="0"/>
        <v>2</v>
      </c>
      <c r="B44" s="205">
        <v>45701</v>
      </c>
      <c r="C44" s="206">
        <v>3.8</v>
      </c>
      <c r="D44" s="207">
        <f t="shared" si="2"/>
        <v>4.370000000000001</v>
      </c>
    </row>
    <row r="45" spans="1:4">
      <c r="A45" s="207">
        <f t="shared" si="0"/>
        <v>2</v>
      </c>
      <c r="B45" s="205">
        <v>45702</v>
      </c>
      <c r="C45" s="206">
        <v>3.8</v>
      </c>
      <c r="D45" s="207">
        <f t="shared" si="2"/>
        <v>4.370000000000001</v>
      </c>
    </row>
    <row r="46" spans="1:4">
      <c r="A46" s="207">
        <f t="shared" si="0"/>
        <v>2</v>
      </c>
      <c r="B46" s="205">
        <v>45703</v>
      </c>
      <c r="C46" s="206">
        <v>3.8</v>
      </c>
      <c r="D46" s="207">
        <f t="shared" si="2"/>
        <v>4.370000000000001</v>
      </c>
    </row>
    <row r="47" spans="1:4">
      <c r="A47" s="207">
        <f t="shared" si="0"/>
        <v>2</v>
      </c>
      <c r="B47" s="205">
        <v>45704</v>
      </c>
      <c r="C47" s="206">
        <v>3.8</v>
      </c>
      <c r="D47" s="207">
        <f t="shared" si="2"/>
        <v>4.370000000000001</v>
      </c>
    </row>
    <row r="48" spans="1:4">
      <c r="A48" s="207">
        <f t="shared" si="0"/>
        <v>2</v>
      </c>
      <c r="B48" s="205">
        <v>45705</v>
      </c>
      <c r="C48" s="206">
        <v>3.8</v>
      </c>
      <c r="D48" s="207">
        <f t="shared" si="2"/>
        <v>4.370000000000001</v>
      </c>
    </row>
    <row r="49" spans="1:4">
      <c r="A49" s="207">
        <f t="shared" si="0"/>
        <v>2</v>
      </c>
      <c r="B49" s="205">
        <v>45706</v>
      </c>
      <c r="C49" s="206">
        <v>3.8</v>
      </c>
      <c r="D49" s="207">
        <f t="shared" si="2"/>
        <v>4.370000000000001</v>
      </c>
    </row>
    <row r="50" spans="1:4">
      <c r="A50" s="207">
        <f t="shared" si="0"/>
        <v>2</v>
      </c>
      <c r="B50" s="205">
        <v>45707</v>
      </c>
      <c r="C50" s="206">
        <v>3.8</v>
      </c>
      <c r="D50" s="207">
        <f t="shared" si="2"/>
        <v>4.370000000000001</v>
      </c>
    </row>
    <row r="51" spans="1:4">
      <c r="A51" s="207">
        <f t="shared" si="0"/>
        <v>2</v>
      </c>
      <c r="B51" s="205">
        <v>45708</v>
      </c>
      <c r="C51" s="206">
        <v>3.8</v>
      </c>
      <c r="D51" s="207">
        <f t="shared" si="2"/>
        <v>4.370000000000001</v>
      </c>
    </row>
    <row r="52" spans="1:4">
      <c r="A52" s="207">
        <f t="shared" si="0"/>
        <v>2</v>
      </c>
      <c r="B52" s="205">
        <v>45709</v>
      </c>
      <c r="C52" s="206">
        <v>3.8</v>
      </c>
      <c r="D52" s="207">
        <f t="shared" si="2"/>
        <v>4.370000000000001</v>
      </c>
    </row>
    <row r="53" spans="1:4">
      <c r="A53" s="207">
        <f t="shared" si="0"/>
        <v>2</v>
      </c>
      <c r="B53" s="205">
        <v>45710</v>
      </c>
      <c r="C53" s="206">
        <v>3.8</v>
      </c>
      <c r="D53" s="207">
        <f t="shared" si="2"/>
        <v>4.370000000000001</v>
      </c>
    </row>
    <row r="54" spans="1:4">
      <c r="A54" s="207">
        <f t="shared" si="0"/>
        <v>2</v>
      </c>
      <c r="B54" s="205">
        <v>45711</v>
      </c>
      <c r="C54" s="206">
        <v>3.8</v>
      </c>
      <c r="D54" s="207">
        <f t="shared" si="2"/>
        <v>4.370000000000001</v>
      </c>
    </row>
    <row r="55" spans="1:4">
      <c r="A55" s="207">
        <f t="shared" si="0"/>
        <v>2</v>
      </c>
      <c r="B55" s="205">
        <v>45712</v>
      </c>
      <c r="C55" s="206">
        <v>3.8</v>
      </c>
      <c r="D55" s="207">
        <f t="shared" si="2"/>
        <v>4.370000000000001</v>
      </c>
    </row>
    <row r="56" spans="1:4">
      <c r="A56" s="207">
        <f t="shared" si="0"/>
        <v>2</v>
      </c>
      <c r="B56" s="205">
        <v>45713</v>
      </c>
      <c r="C56" s="206">
        <v>3.8</v>
      </c>
      <c r="D56" s="207">
        <f t="shared" si="2"/>
        <v>4.370000000000001</v>
      </c>
    </row>
    <row r="57" spans="1:4">
      <c r="A57" s="207">
        <f t="shared" si="0"/>
        <v>2</v>
      </c>
      <c r="B57" s="205">
        <v>45714</v>
      </c>
      <c r="C57" s="206">
        <v>3.8</v>
      </c>
      <c r="D57" s="207">
        <f t="shared" si="2"/>
        <v>4.370000000000001</v>
      </c>
    </row>
    <row r="58" spans="1:4">
      <c r="A58" s="207">
        <f t="shared" si="0"/>
        <v>2</v>
      </c>
      <c r="B58" s="205">
        <v>45715</v>
      </c>
      <c r="C58" s="206">
        <v>3.8</v>
      </c>
      <c r="D58" s="207">
        <f t="shared" si="2"/>
        <v>4.370000000000001</v>
      </c>
    </row>
    <row r="59" spans="1:4">
      <c r="A59" s="207">
        <f t="shared" si="0"/>
        <v>2</v>
      </c>
      <c r="B59" s="205">
        <v>45716</v>
      </c>
      <c r="C59" s="206">
        <v>3.8</v>
      </c>
      <c r="D59" s="207">
        <f t="shared" si="2"/>
        <v>4.370000000000001</v>
      </c>
    </row>
    <row r="60" spans="1:4">
      <c r="A60" s="207">
        <f t="shared" si="0"/>
        <v>3</v>
      </c>
      <c r="B60" s="205">
        <v>45717</v>
      </c>
      <c r="C60" s="206">
        <v>3.8</v>
      </c>
      <c r="D60" s="207">
        <f t="shared" si="2"/>
        <v>4.370000000000001</v>
      </c>
    </row>
    <row r="61" spans="1:4">
      <c r="A61" s="207">
        <f t="shared" si="0"/>
        <v>3</v>
      </c>
      <c r="B61" s="205">
        <v>45718</v>
      </c>
      <c r="C61" s="206">
        <v>3.8</v>
      </c>
      <c r="D61" s="207">
        <f t="shared" si="2"/>
        <v>4.370000000000001</v>
      </c>
    </row>
    <row r="62" spans="1:4">
      <c r="A62" s="207">
        <f t="shared" si="0"/>
        <v>3</v>
      </c>
      <c r="B62" s="205">
        <v>45719</v>
      </c>
      <c r="C62" s="206">
        <v>3.8</v>
      </c>
      <c r="D62" s="207">
        <f t="shared" si="2"/>
        <v>4.370000000000001</v>
      </c>
    </row>
    <row r="63" spans="1:4">
      <c r="A63" s="207">
        <f t="shared" si="0"/>
        <v>3</v>
      </c>
      <c r="B63" s="205">
        <v>45720</v>
      </c>
      <c r="C63" s="206">
        <v>8.6</v>
      </c>
      <c r="D63" s="207">
        <f t="shared" si="2"/>
        <v>9.1699999999999982</v>
      </c>
    </row>
    <row r="64" spans="1:4">
      <c r="A64" s="207">
        <f t="shared" si="0"/>
        <v>3</v>
      </c>
      <c r="B64" s="205">
        <v>45721</v>
      </c>
      <c r="C64" s="206">
        <v>8.6</v>
      </c>
      <c r="D64" s="207">
        <f t="shared" si="2"/>
        <v>9.1699999999999982</v>
      </c>
    </row>
    <row r="65" spans="1:4">
      <c r="A65" s="207">
        <f t="shared" si="0"/>
        <v>3</v>
      </c>
      <c r="B65" s="205">
        <v>45722</v>
      </c>
      <c r="C65" s="206">
        <v>8.6</v>
      </c>
      <c r="D65" s="207">
        <f t="shared" si="2"/>
        <v>9.1699999999999982</v>
      </c>
    </row>
    <row r="66" spans="1:4">
      <c r="A66" s="207">
        <f t="shared" ref="A66:A129" si="3">MONTH(B66)</f>
        <v>3</v>
      </c>
      <c r="B66" s="205">
        <v>45723</v>
      </c>
      <c r="C66" s="206">
        <v>8.6</v>
      </c>
      <c r="D66" s="207">
        <f t="shared" si="2"/>
        <v>9.1699999999999982</v>
      </c>
    </row>
    <row r="67" spans="1:4">
      <c r="A67" s="207">
        <f t="shared" si="3"/>
        <v>3</v>
      </c>
      <c r="B67" s="205">
        <v>45724</v>
      </c>
      <c r="C67" s="206">
        <v>8.6</v>
      </c>
      <c r="D67" s="207">
        <f t="shared" si="2"/>
        <v>9.1699999999999982</v>
      </c>
    </row>
    <row r="68" spans="1:4">
      <c r="A68" s="207">
        <f t="shared" si="3"/>
        <v>3</v>
      </c>
      <c r="B68" s="205">
        <v>45725</v>
      </c>
      <c r="C68" s="206">
        <v>8.6</v>
      </c>
      <c r="D68" s="207">
        <f t="shared" si="2"/>
        <v>9.1699999999999982</v>
      </c>
    </row>
    <row r="69" spans="1:4">
      <c r="A69" s="207">
        <f t="shared" si="3"/>
        <v>3</v>
      </c>
      <c r="B69" s="205">
        <v>45726</v>
      </c>
      <c r="C69" s="206">
        <v>8.6</v>
      </c>
      <c r="D69" s="207">
        <f t="shared" si="2"/>
        <v>9.1699999999999982</v>
      </c>
    </row>
    <row r="70" spans="1:4">
      <c r="A70" s="207">
        <f t="shared" si="3"/>
        <v>3</v>
      </c>
      <c r="B70" s="205">
        <v>45727</v>
      </c>
      <c r="C70" s="206">
        <v>8.6</v>
      </c>
      <c r="D70" s="207">
        <f t="shared" si="2"/>
        <v>9.1699999999999982</v>
      </c>
    </row>
    <row r="71" spans="1:4">
      <c r="A71" s="207">
        <f t="shared" si="3"/>
        <v>3</v>
      </c>
      <c r="B71" s="205">
        <v>45728</v>
      </c>
      <c r="C71" s="206">
        <v>9.8000000000000007</v>
      </c>
      <c r="D71" s="207">
        <f t="shared" si="2"/>
        <v>10.370000000000001</v>
      </c>
    </row>
    <row r="72" spans="1:4">
      <c r="A72" s="207">
        <f t="shared" si="3"/>
        <v>3</v>
      </c>
      <c r="B72" s="205">
        <v>45729</v>
      </c>
      <c r="C72" s="206">
        <v>9.8000000000000007</v>
      </c>
      <c r="D72" s="207">
        <f t="shared" si="2"/>
        <v>10.370000000000001</v>
      </c>
    </row>
    <row r="73" spans="1:4">
      <c r="A73" s="207">
        <f t="shared" si="3"/>
        <v>3</v>
      </c>
      <c r="B73" s="205">
        <v>45730</v>
      </c>
      <c r="C73" s="206">
        <v>9.8000000000000007</v>
      </c>
      <c r="D73" s="207">
        <f t="shared" si="2"/>
        <v>10.370000000000001</v>
      </c>
    </row>
    <row r="74" spans="1:4">
      <c r="A74" s="207">
        <f t="shared" si="3"/>
        <v>3</v>
      </c>
      <c r="B74" s="205">
        <v>45731</v>
      </c>
      <c r="C74" s="206">
        <v>9.8000000000000007</v>
      </c>
      <c r="D74" s="207">
        <f t="shared" si="2"/>
        <v>10.370000000000001</v>
      </c>
    </row>
    <row r="75" spans="1:4">
      <c r="A75" s="207">
        <f t="shared" si="3"/>
        <v>3</v>
      </c>
      <c r="B75" s="205">
        <v>45732</v>
      </c>
      <c r="C75" s="206">
        <v>9.8000000000000007</v>
      </c>
      <c r="D75" s="207">
        <f t="shared" si="2"/>
        <v>10.370000000000001</v>
      </c>
    </row>
    <row r="76" spans="1:4">
      <c r="A76" s="207">
        <f t="shared" si="3"/>
        <v>3</v>
      </c>
      <c r="B76" s="205">
        <v>45733</v>
      </c>
      <c r="C76" s="206">
        <v>9.8000000000000007</v>
      </c>
      <c r="D76" s="207">
        <f t="shared" si="2"/>
        <v>10.370000000000001</v>
      </c>
    </row>
    <row r="77" spans="1:4">
      <c r="A77" s="207">
        <f t="shared" si="3"/>
        <v>3</v>
      </c>
      <c r="B77" s="205">
        <v>45734</v>
      </c>
      <c r="C77" s="206">
        <v>9.8000000000000007</v>
      </c>
      <c r="D77" s="207">
        <f t="shared" si="2"/>
        <v>10.370000000000001</v>
      </c>
    </row>
    <row r="78" spans="1:4">
      <c r="A78" s="207">
        <f t="shared" si="3"/>
        <v>3</v>
      </c>
      <c r="B78" s="205">
        <v>45735</v>
      </c>
      <c r="C78" s="206">
        <v>9.8000000000000007</v>
      </c>
      <c r="D78" s="207">
        <f t="shared" si="2"/>
        <v>10.370000000000001</v>
      </c>
    </row>
    <row r="79" spans="1:4">
      <c r="A79" s="207">
        <f t="shared" si="3"/>
        <v>3</v>
      </c>
      <c r="B79" s="205">
        <v>45736</v>
      </c>
      <c r="C79" s="206">
        <v>9.8000000000000007</v>
      </c>
      <c r="D79" s="207">
        <f t="shared" si="2"/>
        <v>10.370000000000001</v>
      </c>
    </row>
    <row r="80" spans="1:4">
      <c r="A80" s="207">
        <f t="shared" si="3"/>
        <v>3</v>
      </c>
      <c r="B80" s="205">
        <v>45737</v>
      </c>
      <c r="C80" s="206">
        <v>9.8000000000000007</v>
      </c>
      <c r="D80" s="207">
        <f t="shared" si="2"/>
        <v>10.370000000000001</v>
      </c>
    </row>
    <row r="81" spans="1:4">
      <c r="A81" s="207">
        <f t="shared" si="3"/>
        <v>3</v>
      </c>
      <c r="B81" s="205">
        <v>45738</v>
      </c>
      <c r="C81" s="206">
        <v>9.8000000000000007</v>
      </c>
      <c r="D81" s="207">
        <f t="shared" si="2"/>
        <v>10.370000000000001</v>
      </c>
    </row>
    <row r="82" spans="1:4">
      <c r="A82" s="207">
        <f t="shared" si="3"/>
        <v>3</v>
      </c>
      <c r="B82" s="205">
        <v>45739</v>
      </c>
      <c r="C82" s="206">
        <v>9.8000000000000007</v>
      </c>
      <c r="D82" s="207">
        <f t="shared" si="2"/>
        <v>10.370000000000001</v>
      </c>
    </row>
    <row r="83" spans="1:4">
      <c r="A83" s="207">
        <f t="shared" si="3"/>
        <v>3</v>
      </c>
      <c r="B83" s="205">
        <v>45740</v>
      </c>
      <c r="C83" s="206">
        <v>9.8000000000000007</v>
      </c>
      <c r="D83" s="207">
        <f t="shared" si="2"/>
        <v>10.370000000000001</v>
      </c>
    </row>
    <row r="84" spans="1:4">
      <c r="A84" s="207">
        <f t="shared" si="3"/>
        <v>3</v>
      </c>
      <c r="B84" s="205">
        <v>45741</v>
      </c>
      <c r="C84" s="206">
        <v>9.8000000000000007</v>
      </c>
      <c r="D84" s="207">
        <f t="shared" si="2"/>
        <v>10.370000000000001</v>
      </c>
    </row>
    <row r="85" spans="1:4">
      <c r="A85" s="207">
        <f t="shared" si="3"/>
        <v>3</v>
      </c>
      <c r="B85" s="205">
        <v>45742</v>
      </c>
      <c r="C85" s="206">
        <v>9.8000000000000007</v>
      </c>
      <c r="D85" s="207">
        <f t="shared" si="2"/>
        <v>10.370000000000001</v>
      </c>
    </row>
    <row r="86" spans="1:4">
      <c r="A86" s="207">
        <f t="shared" si="3"/>
        <v>3</v>
      </c>
      <c r="B86" s="205">
        <v>45743</v>
      </c>
      <c r="C86" s="206">
        <v>9.8000000000000007</v>
      </c>
      <c r="D86" s="207">
        <f t="shared" si="2"/>
        <v>10.370000000000001</v>
      </c>
    </row>
    <row r="87" spans="1:4">
      <c r="A87" s="207">
        <f t="shared" si="3"/>
        <v>3</v>
      </c>
      <c r="B87" s="205">
        <v>45744</v>
      </c>
      <c r="C87" s="206">
        <v>9.8000000000000007</v>
      </c>
      <c r="D87" s="207">
        <f t="shared" si="2"/>
        <v>10.370000000000001</v>
      </c>
    </row>
    <row r="88" spans="1:4">
      <c r="A88" s="207">
        <f t="shared" si="3"/>
        <v>3</v>
      </c>
      <c r="B88" s="205">
        <v>45745</v>
      </c>
      <c r="C88" s="206">
        <v>9.8000000000000007</v>
      </c>
      <c r="D88" s="207">
        <f t="shared" si="2"/>
        <v>10.370000000000001</v>
      </c>
    </row>
    <row r="89" spans="1:4">
      <c r="A89" s="207">
        <f t="shared" si="3"/>
        <v>3</v>
      </c>
      <c r="B89" s="205">
        <v>45746</v>
      </c>
      <c r="C89" s="206">
        <v>9.8000000000000007</v>
      </c>
      <c r="D89" s="207">
        <f t="shared" si="2"/>
        <v>10.370000000000001</v>
      </c>
    </row>
    <row r="90" spans="1:4">
      <c r="A90" s="207">
        <f t="shared" si="3"/>
        <v>3</v>
      </c>
      <c r="B90" s="205">
        <v>45747</v>
      </c>
      <c r="C90" s="206">
        <v>9.8000000000000007</v>
      </c>
      <c r="D90" s="207">
        <f t="shared" si="2"/>
        <v>10.370000000000001</v>
      </c>
    </row>
    <row r="91" spans="1:4">
      <c r="A91" s="207">
        <f t="shared" si="3"/>
        <v>4</v>
      </c>
      <c r="B91" s="205">
        <v>45748</v>
      </c>
      <c r="C91" s="206">
        <v>9.8000000000000007</v>
      </c>
      <c r="D91" s="207">
        <f t="shared" si="2"/>
        <v>10.370000000000001</v>
      </c>
    </row>
    <row r="92" spans="1:4">
      <c r="A92" s="207">
        <f t="shared" si="3"/>
        <v>4</v>
      </c>
      <c r="B92" s="205">
        <v>45749</v>
      </c>
      <c r="C92" s="206">
        <v>22.44</v>
      </c>
      <c r="D92" s="207">
        <f t="shared" si="2"/>
        <v>23.01</v>
      </c>
    </row>
    <row r="93" spans="1:4">
      <c r="A93" s="207">
        <f t="shared" si="3"/>
        <v>4</v>
      </c>
      <c r="B93" s="205">
        <v>45750</v>
      </c>
      <c r="C93" s="206">
        <v>22.44</v>
      </c>
      <c r="D93" s="207">
        <f t="shared" si="2"/>
        <v>23.01</v>
      </c>
    </row>
    <row r="94" spans="1:4">
      <c r="A94" s="207">
        <f t="shared" si="3"/>
        <v>4</v>
      </c>
      <c r="B94" s="205">
        <v>45751</v>
      </c>
      <c r="C94" s="206">
        <v>22.44</v>
      </c>
      <c r="D94" s="207">
        <f t="shared" si="2"/>
        <v>23.01</v>
      </c>
    </row>
    <row r="95" spans="1:4">
      <c r="A95" s="207">
        <f t="shared" si="3"/>
        <v>4</v>
      </c>
      <c r="B95" s="205">
        <v>45752</v>
      </c>
      <c r="C95" s="206">
        <v>22.44</v>
      </c>
      <c r="D95" s="207">
        <f t="shared" si="2"/>
        <v>23.01</v>
      </c>
    </row>
    <row r="96" spans="1:4">
      <c r="A96" s="207">
        <f t="shared" si="3"/>
        <v>4</v>
      </c>
      <c r="B96" s="205">
        <v>45753</v>
      </c>
      <c r="C96" s="206">
        <v>22.44</v>
      </c>
      <c r="D96" s="207">
        <f t="shared" si="2"/>
        <v>23.01</v>
      </c>
    </row>
    <row r="97" spans="1:4">
      <c r="A97" s="207">
        <f t="shared" si="3"/>
        <v>4</v>
      </c>
      <c r="B97" s="205">
        <v>45754</v>
      </c>
      <c r="C97" s="206">
        <v>22.44</v>
      </c>
      <c r="D97" s="207">
        <f t="shared" si="2"/>
        <v>23.01</v>
      </c>
    </row>
    <row r="98" spans="1:4">
      <c r="A98" s="207">
        <f t="shared" si="3"/>
        <v>4</v>
      </c>
      <c r="B98" s="205">
        <v>45755</v>
      </c>
      <c r="C98" s="206">
        <v>22.44</v>
      </c>
      <c r="D98" s="207">
        <f t="shared" si="2"/>
        <v>23.01</v>
      </c>
    </row>
    <row r="99" spans="1:4" ht="15.95">
      <c r="A99" s="207">
        <f t="shared" si="3"/>
        <v>4</v>
      </c>
      <c r="B99" s="205">
        <v>45756</v>
      </c>
      <c r="C99" s="209">
        <v>27</v>
      </c>
      <c r="D99" s="207">
        <f t="shared" ref="D99:D162" si="4">(C99+(15.97+2.4)-17.8)</f>
        <v>27.570000000000004</v>
      </c>
    </row>
    <row r="100" spans="1:4" ht="15.95">
      <c r="A100" s="207">
        <f t="shared" si="3"/>
        <v>4</v>
      </c>
      <c r="B100" s="205">
        <v>45757</v>
      </c>
      <c r="C100" s="209">
        <v>27</v>
      </c>
      <c r="D100" s="207">
        <f t="shared" si="4"/>
        <v>27.570000000000004</v>
      </c>
    </row>
    <row r="101" spans="1:4" ht="15.95">
      <c r="A101" s="207">
        <f t="shared" si="3"/>
        <v>4</v>
      </c>
      <c r="B101" s="205">
        <v>45758</v>
      </c>
      <c r="C101" s="209">
        <v>27</v>
      </c>
      <c r="D101" s="207">
        <f t="shared" si="4"/>
        <v>27.570000000000004</v>
      </c>
    </row>
    <row r="102" spans="1:4" ht="15.95">
      <c r="A102" s="207">
        <f t="shared" si="3"/>
        <v>4</v>
      </c>
      <c r="B102" s="205">
        <v>45759</v>
      </c>
      <c r="C102" s="209">
        <v>27</v>
      </c>
      <c r="D102" s="207">
        <f t="shared" si="4"/>
        <v>27.570000000000004</v>
      </c>
    </row>
    <row r="103" spans="1:4">
      <c r="A103" s="207">
        <f t="shared" si="3"/>
        <v>4</v>
      </c>
      <c r="B103" s="205">
        <v>45760</v>
      </c>
      <c r="C103" s="206">
        <v>27.99</v>
      </c>
      <c r="D103" s="207">
        <f t="shared" si="4"/>
        <v>28.56</v>
      </c>
    </row>
    <row r="104" spans="1:4">
      <c r="A104" s="207">
        <f t="shared" si="3"/>
        <v>4</v>
      </c>
      <c r="B104" s="205">
        <v>45761</v>
      </c>
      <c r="C104" s="206">
        <v>27.99</v>
      </c>
      <c r="D104" s="207">
        <f t="shared" si="4"/>
        <v>28.56</v>
      </c>
    </row>
    <row r="105" spans="1:4">
      <c r="A105" s="207">
        <f t="shared" si="3"/>
        <v>4</v>
      </c>
      <c r="B105" s="205">
        <v>45762</v>
      </c>
      <c r="C105" s="206">
        <v>27.99</v>
      </c>
      <c r="D105" s="207">
        <f t="shared" si="4"/>
        <v>28.56</v>
      </c>
    </row>
    <row r="106" spans="1:4">
      <c r="A106" s="207">
        <f t="shared" si="3"/>
        <v>4</v>
      </c>
      <c r="B106" s="205">
        <v>45763</v>
      </c>
      <c r="C106" s="206">
        <v>27.99</v>
      </c>
      <c r="D106" s="207">
        <f t="shared" si="4"/>
        <v>28.56</v>
      </c>
    </row>
    <row r="107" spans="1:4">
      <c r="A107" s="207">
        <f t="shared" si="3"/>
        <v>4</v>
      </c>
      <c r="B107" s="205">
        <v>45764</v>
      </c>
      <c r="C107" s="206">
        <v>27.99</v>
      </c>
      <c r="D107" s="207">
        <f t="shared" si="4"/>
        <v>28.56</v>
      </c>
    </row>
    <row r="108" spans="1:4">
      <c r="A108" s="207">
        <f t="shared" si="3"/>
        <v>4</v>
      </c>
      <c r="B108" s="205">
        <v>45765</v>
      </c>
      <c r="C108" s="206">
        <v>27.99</v>
      </c>
      <c r="D108" s="207">
        <f t="shared" si="4"/>
        <v>28.56</v>
      </c>
    </row>
    <row r="109" spans="1:4">
      <c r="A109" s="207">
        <f t="shared" si="3"/>
        <v>4</v>
      </c>
      <c r="B109" s="205">
        <v>45766</v>
      </c>
      <c r="C109" s="206">
        <v>27.99</v>
      </c>
      <c r="D109" s="207">
        <f t="shared" si="4"/>
        <v>28.56</v>
      </c>
    </row>
    <row r="110" spans="1:4">
      <c r="A110" s="207">
        <f t="shared" si="3"/>
        <v>4</v>
      </c>
      <c r="B110" s="205">
        <v>45767</v>
      </c>
      <c r="C110" s="206">
        <v>27.99</v>
      </c>
      <c r="D110" s="207">
        <f t="shared" si="4"/>
        <v>28.56</v>
      </c>
    </row>
    <row r="111" spans="1:4">
      <c r="A111" s="207">
        <f t="shared" si="3"/>
        <v>4</v>
      </c>
      <c r="B111" s="205">
        <v>45768</v>
      </c>
      <c r="C111" s="206">
        <v>27.99</v>
      </c>
      <c r="D111" s="207">
        <f t="shared" si="4"/>
        <v>28.56</v>
      </c>
    </row>
    <row r="112" spans="1:4">
      <c r="A112" s="207">
        <f t="shared" si="3"/>
        <v>4</v>
      </c>
      <c r="B112" s="205">
        <v>45769</v>
      </c>
      <c r="C112" s="206">
        <v>27.99</v>
      </c>
      <c r="D112" s="207">
        <f t="shared" si="4"/>
        <v>28.56</v>
      </c>
    </row>
    <row r="113" spans="1:4">
      <c r="A113" s="207">
        <f t="shared" si="3"/>
        <v>4</v>
      </c>
      <c r="B113" s="205">
        <v>45770</v>
      </c>
      <c r="C113" s="206">
        <v>27.99</v>
      </c>
      <c r="D113" s="207">
        <f t="shared" si="4"/>
        <v>28.56</v>
      </c>
    </row>
    <row r="114" spans="1:4">
      <c r="A114" s="207">
        <f t="shared" si="3"/>
        <v>4</v>
      </c>
      <c r="B114" s="205">
        <v>45771</v>
      </c>
      <c r="C114" s="206">
        <v>27.99</v>
      </c>
      <c r="D114" s="207">
        <f t="shared" si="4"/>
        <v>28.56</v>
      </c>
    </row>
    <row r="115" spans="1:4">
      <c r="A115" s="207">
        <f t="shared" si="3"/>
        <v>4</v>
      </c>
      <c r="B115" s="205">
        <v>45772</v>
      </c>
      <c r="C115" s="206">
        <v>27.99</v>
      </c>
      <c r="D115" s="207">
        <f t="shared" si="4"/>
        <v>28.56</v>
      </c>
    </row>
    <row r="116" spans="1:4">
      <c r="A116" s="207">
        <f t="shared" si="3"/>
        <v>4</v>
      </c>
      <c r="B116" s="205">
        <v>45773</v>
      </c>
      <c r="C116" s="206">
        <v>27.99</v>
      </c>
      <c r="D116" s="207">
        <f t="shared" si="4"/>
        <v>28.56</v>
      </c>
    </row>
    <row r="117" spans="1:4">
      <c r="A117" s="207">
        <f t="shared" si="3"/>
        <v>4</v>
      </c>
      <c r="B117" s="205">
        <v>45774</v>
      </c>
      <c r="C117" s="206">
        <v>27.99</v>
      </c>
      <c r="D117" s="207">
        <f t="shared" si="4"/>
        <v>28.56</v>
      </c>
    </row>
    <row r="118" spans="1:4">
      <c r="A118" s="207">
        <f t="shared" si="3"/>
        <v>4</v>
      </c>
      <c r="B118" s="205">
        <v>45775</v>
      </c>
      <c r="C118" s="206">
        <v>27.99</v>
      </c>
      <c r="D118" s="207">
        <f t="shared" si="4"/>
        <v>28.56</v>
      </c>
    </row>
    <row r="119" spans="1:4">
      <c r="A119" s="207">
        <f t="shared" si="3"/>
        <v>4</v>
      </c>
      <c r="B119" s="205">
        <v>45776</v>
      </c>
      <c r="C119" s="206">
        <v>27.99</v>
      </c>
      <c r="D119" s="207">
        <f t="shared" si="4"/>
        <v>28.56</v>
      </c>
    </row>
    <row r="120" spans="1:4">
      <c r="A120" s="207">
        <f t="shared" si="3"/>
        <v>4</v>
      </c>
      <c r="B120" s="205">
        <v>45777</v>
      </c>
      <c r="C120" s="206">
        <v>27.99</v>
      </c>
      <c r="D120" s="207">
        <f t="shared" si="4"/>
        <v>28.56</v>
      </c>
    </row>
    <row r="121" spans="1:4">
      <c r="A121" s="207">
        <f t="shared" si="3"/>
        <v>5</v>
      </c>
      <c r="B121" s="205">
        <v>45778</v>
      </c>
      <c r="C121" s="206">
        <v>27.99</v>
      </c>
      <c r="D121" s="207">
        <f t="shared" si="4"/>
        <v>28.56</v>
      </c>
    </row>
    <row r="122" spans="1:4">
      <c r="A122" s="207">
        <f t="shared" si="3"/>
        <v>5</v>
      </c>
      <c r="B122" s="205">
        <v>45779</v>
      </c>
      <c r="C122" s="206">
        <v>27.99</v>
      </c>
      <c r="D122" s="207">
        <f t="shared" si="4"/>
        <v>28.56</v>
      </c>
    </row>
    <row r="123" spans="1:4">
      <c r="A123" s="207">
        <f t="shared" si="3"/>
        <v>5</v>
      </c>
      <c r="B123" s="205">
        <v>45780</v>
      </c>
      <c r="C123" s="206">
        <v>27.99</v>
      </c>
      <c r="D123" s="207">
        <f t="shared" si="4"/>
        <v>28.56</v>
      </c>
    </row>
    <row r="124" spans="1:4">
      <c r="A124" s="207">
        <f t="shared" si="3"/>
        <v>5</v>
      </c>
      <c r="B124" s="205">
        <v>45781</v>
      </c>
      <c r="C124" s="206">
        <v>27.99</v>
      </c>
      <c r="D124" s="207">
        <f t="shared" si="4"/>
        <v>28.56</v>
      </c>
    </row>
    <row r="125" spans="1:4">
      <c r="A125" s="207">
        <f t="shared" si="3"/>
        <v>5</v>
      </c>
      <c r="B125" s="205">
        <v>45782</v>
      </c>
      <c r="C125" s="206">
        <v>27.99</v>
      </c>
      <c r="D125" s="207">
        <f t="shared" si="4"/>
        <v>28.56</v>
      </c>
    </row>
    <row r="126" spans="1:4">
      <c r="A126" s="207">
        <f t="shared" si="3"/>
        <v>5</v>
      </c>
      <c r="B126" s="205">
        <v>45783</v>
      </c>
      <c r="C126" s="206">
        <v>27.99</v>
      </c>
      <c r="D126" s="207">
        <f t="shared" si="4"/>
        <v>28.56</v>
      </c>
    </row>
    <row r="127" spans="1:4">
      <c r="A127" s="207">
        <f t="shared" si="3"/>
        <v>5</v>
      </c>
      <c r="B127" s="205">
        <v>45784</v>
      </c>
      <c r="C127" s="206">
        <v>27.99</v>
      </c>
      <c r="D127" s="207">
        <f t="shared" si="4"/>
        <v>28.56</v>
      </c>
    </row>
    <row r="128" spans="1:4">
      <c r="A128" s="207">
        <f t="shared" si="3"/>
        <v>5</v>
      </c>
      <c r="B128" s="205">
        <v>45785</v>
      </c>
      <c r="C128" s="206">
        <v>27.62</v>
      </c>
      <c r="D128" s="207">
        <f t="shared" si="4"/>
        <v>28.19</v>
      </c>
    </row>
    <row r="129" spans="1:4">
      <c r="A129" s="207">
        <f t="shared" si="3"/>
        <v>5</v>
      </c>
      <c r="B129" s="205">
        <v>45786</v>
      </c>
      <c r="C129" s="206">
        <v>27.62</v>
      </c>
      <c r="D129" s="207">
        <f t="shared" si="4"/>
        <v>28.19</v>
      </c>
    </row>
    <row r="130" spans="1:4">
      <c r="A130" s="207">
        <f t="shared" ref="A130:A193" si="5">MONTH(B130)</f>
        <v>5</v>
      </c>
      <c r="B130" s="205">
        <v>45787</v>
      </c>
      <c r="C130" s="206">
        <v>27.62</v>
      </c>
      <c r="D130" s="207">
        <f t="shared" si="4"/>
        <v>28.19</v>
      </c>
    </row>
    <row r="131" spans="1:4">
      <c r="A131" s="207">
        <f t="shared" si="5"/>
        <v>5</v>
      </c>
      <c r="B131" s="205">
        <v>45788</v>
      </c>
      <c r="C131" s="206">
        <v>27.62</v>
      </c>
      <c r="D131" s="207">
        <f t="shared" si="4"/>
        <v>28.19</v>
      </c>
    </row>
    <row r="132" spans="1:4">
      <c r="A132" s="207">
        <f t="shared" si="5"/>
        <v>5</v>
      </c>
      <c r="B132" s="205">
        <v>45789</v>
      </c>
      <c r="C132" s="206">
        <v>17.829999999999998</v>
      </c>
      <c r="D132" s="207">
        <f t="shared" si="4"/>
        <v>18.400000000000002</v>
      </c>
    </row>
    <row r="133" spans="1:4">
      <c r="A133" s="207">
        <f t="shared" si="5"/>
        <v>5</v>
      </c>
      <c r="B133" s="205">
        <v>45790</v>
      </c>
      <c r="C133" s="206">
        <v>17.829999999999998</v>
      </c>
      <c r="D133" s="207">
        <f t="shared" si="4"/>
        <v>18.400000000000002</v>
      </c>
    </row>
    <row r="134" spans="1:4">
      <c r="A134" s="207">
        <f t="shared" si="5"/>
        <v>5</v>
      </c>
      <c r="B134" s="205">
        <v>45791</v>
      </c>
      <c r="C134" s="206">
        <v>17.829999999999998</v>
      </c>
      <c r="D134" s="207">
        <f t="shared" si="4"/>
        <v>18.400000000000002</v>
      </c>
    </row>
    <row r="135" spans="1:4">
      <c r="A135" s="207">
        <f t="shared" si="5"/>
        <v>5</v>
      </c>
      <c r="B135" s="205">
        <v>45792</v>
      </c>
      <c r="C135" s="206">
        <v>17.829999999999998</v>
      </c>
      <c r="D135" s="207">
        <f t="shared" si="4"/>
        <v>18.400000000000002</v>
      </c>
    </row>
    <row r="136" spans="1:4">
      <c r="A136" s="207">
        <f t="shared" si="5"/>
        <v>5</v>
      </c>
      <c r="B136" s="205">
        <v>45793</v>
      </c>
      <c r="C136" s="206">
        <v>17.829999999999998</v>
      </c>
      <c r="D136" s="207">
        <f t="shared" si="4"/>
        <v>18.400000000000002</v>
      </c>
    </row>
    <row r="137" spans="1:4">
      <c r="A137" s="207">
        <f t="shared" si="5"/>
        <v>5</v>
      </c>
      <c r="B137" s="205">
        <v>45794</v>
      </c>
      <c r="C137" s="206">
        <v>17.829999999999998</v>
      </c>
      <c r="D137" s="207">
        <f t="shared" si="4"/>
        <v>18.400000000000002</v>
      </c>
    </row>
    <row r="138" spans="1:4">
      <c r="A138" s="207">
        <f t="shared" si="5"/>
        <v>5</v>
      </c>
      <c r="B138" s="205">
        <v>45795</v>
      </c>
      <c r="C138" s="206">
        <v>17.829999999999998</v>
      </c>
      <c r="D138" s="207">
        <f t="shared" si="4"/>
        <v>18.400000000000002</v>
      </c>
    </row>
    <row r="139" spans="1:4">
      <c r="A139" s="207">
        <f t="shared" si="5"/>
        <v>5</v>
      </c>
      <c r="B139" s="205">
        <v>45796</v>
      </c>
      <c r="C139" s="206">
        <v>17.829999999999998</v>
      </c>
      <c r="D139" s="207">
        <f t="shared" si="4"/>
        <v>18.400000000000002</v>
      </c>
    </row>
    <row r="140" spans="1:4">
      <c r="A140" s="207">
        <f t="shared" si="5"/>
        <v>5</v>
      </c>
      <c r="B140" s="205">
        <v>45797</v>
      </c>
      <c r="C140" s="206">
        <v>17.829999999999998</v>
      </c>
      <c r="D140" s="207">
        <f t="shared" si="4"/>
        <v>18.400000000000002</v>
      </c>
    </row>
    <row r="141" spans="1:4">
      <c r="A141" s="207">
        <f t="shared" si="5"/>
        <v>5</v>
      </c>
      <c r="B141" s="205">
        <v>45798</v>
      </c>
      <c r="C141" s="206">
        <v>17.829999999999998</v>
      </c>
      <c r="D141" s="207">
        <f t="shared" si="4"/>
        <v>18.400000000000002</v>
      </c>
    </row>
    <row r="142" spans="1:4">
      <c r="A142" s="207">
        <f t="shared" si="5"/>
        <v>5</v>
      </c>
      <c r="B142" s="205">
        <v>45799</v>
      </c>
      <c r="C142" s="206">
        <v>17.829999999999998</v>
      </c>
      <c r="D142" s="207">
        <f t="shared" si="4"/>
        <v>18.400000000000002</v>
      </c>
    </row>
    <row r="143" spans="1:4">
      <c r="A143" s="207">
        <f t="shared" si="5"/>
        <v>5</v>
      </c>
      <c r="B143" s="205">
        <v>45800</v>
      </c>
      <c r="C143" s="206">
        <v>21.87</v>
      </c>
      <c r="D143" s="207">
        <f t="shared" si="4"/>
        <v>22.44</v>
      </c>
    </row>
    <row r="144" spans="1:4">
      <c r="A144" s="207">
        <f t="shared" si="5"/>
        <v>5</v>
      </c>
      <c r="B144" s="205">
        <v>45801</v>
      </c>
      <c r="C144" s="206">
        <v>21.87</v>
      </c>
      <c r="D144" s="207">
        <f t="shared" si="4"/>
        <v>22.44</v>
      </c>
    </row>
    <row r="145" spans="1:4">
      <c r="A145" s="207">
        <f t="shared" si="5"/>
        <v>5</v>
      </c>
      <c r="B145" s="205">
        <v>45802</v>
      </c>
      <c r="C145" s="206">
        <f>$C$142</f>
        <v>17.829999999999998</v>
      </c>
      <c r="D145" s="207">
        <f t="shared" si="4"/>
        <v>18.400000000000002</v>
      </c>
    </row>
    <row r="146" spans="1:4">
      <c r="A146" s="207">
        <f t="shared" si="5"/>
        <v>5</v>
      </c>
      <c r="B146" s="205">
        <v>45803</v>
      </c>
      <c r="C146" s="206">
        <f t="shared" ref="C146:C148" si="6">$C$142</f>
        <v>17.829999999999998</v>
      </c>
      <c r="D146" s="207">
        <f t="shared" si="4"/>
        <v>18.400000000000002</v>
      </c>
    </row>
    <row r="147" spans="1:4">
      <c r="A147" s="207">
        <f t="shared" si="5"/>
        <v>5</v>
      </c>
      <c r="B147" s="205">
        <v>45804</v>
      </c>
      <c r="C147" s="206">
        <f t="shared" si="6"/>
        <v>17.829999999999998</v>
      </c>
      <c r="D147" s="207">
        <f t="shared" si="4"/>
        <v>18.400000000000002</v>
      </c>
    </row>
    <row r="148" spans="1:4">
      <c r="A148" s="207">
        <f t="shared" si="5"/>
        <v>5</v>
      </c>
      <c r="B148" s="205">
        <v>45805</v>
      </c>
      <c r="C148" s="206">
        <f t="shared" si="6"/>
        <v>17.829999999999998</v>
      </c>
      <c r="D148" s="207">
        <f t="shared" si="4"/>
        <v>18.400000000000002</v>
      </c>
    </row>
    <row r="149" spans="1:4">
      <c r="A149" s="207">
        <f t="shared" si="5"/>
        <v>5</v>
      </c>
      <c r="B149" s="205">
        <v>45806</v>
      </c>
      <c r="C149" s="206">
        <v>6.94</v>
      </c>
      <c r="D149" s="207">
        <f t="shared" si="4"/>
        <v>7.5100000000000016</v>
      </c>
    </row>
    <row r="150" spans="1:4">
      <c r="A150" s="207">
        <f t="shared" si="5"/>
        <v>5</v>
      </c>
      <c r="B150" s="205">
        <v>45807</v>
      </c>
      <c r="C150" s="206">
        <v>14.4</v>
      </c>
      <c r="D150" s="207">
        <f t="shared" si="4"/>
        <v>14.970000000000002</v>
      </c>
    </row>
    <row r="151" spans="1:4">
      <c r="A151" s="207">
        <f t="shared" si="5"/>
        <v>5</v>
      </c>
      <c r="B151" s="205">
        <v>45808</v>
      </c>
      <c r="C151" s="206">
        <v>15.6</v>
      </c>
      <c r="D151" s="207">
        <f t="shared" si="4"/>
        <v>16.169999999999998</v>
      </c>
    </row>
    <row r="152" spans="1:4">
      <c r="A152" s="207">
        <f t="shared" si="5"/>
        <v>6</v>
      </c>
      <c r="B152" s="205">
        <v>45809</v>
      </c>
      <c r="C152" s="206">
        <v>15.6</v>
      </c>
      <c r="D152" s="207">
        <f t="shared" si="4"/>
        <v>16.169999999999998</v>
      </c>
    </row>
    <row r="153" spans="1:4">
      <c r="A153" s="207">
        <f t="shared" si="5"/>
        <v>6</v>
      </c>
      <c r="B153" s="205">
        <v>45810</v>
      </c>
      <c r="C153" s="206">
        <v>15.6</v>
      </c>
      <c r="D153" s="207">
        <f t="shared" si="4"/>
        <v>16.169999999999998</v>
      </c>
    </row>
    <row r="154" spans="1:4">
      <c r="A154" s="207">
        <f t="shared" si="5"/>
        <v>6</v>
      </c>
      <c r="B154" s="211">
        <v>45811</v>
      </c>
      <c r="C154" s="212">
        <v>15.6</v>
      </c>
      <c r="D154" s="207">
        <f t="shared" si="4"/>
        <v>16.169999999999998</v>
      </c>
    </row>
    <row r="155" spans="1:4">
      <c r="A155" s="207">
        <f t="shared" si="5"/>
        <v>6</v>
      </c>
      <c r="B155" s="205">
        <v>45812</v>
      </c>
      <c r="C155" s="206">
        <v>15.6</v>
      </c>
      <c r="D155" s="207">
        <f t="shared" si="4"/>
        <v>16.169999999999998</v>
      </c>
    </row>
    <row r="156" spans="1:4">
      <c r="A156" s="207">
        <f t="shared" si="5"/>
        <v>6</v>
      </c>
      <c r="B156" s="205">
        <v>45813</v>
      </c>
      <c r="C156" s="212">
        <v>15.6</v>
      </c>
      <c r="D156" s="207">
        <f t="shared" si="4"/>
        <v>16.169999999999998</v>
      </c>
    </row>
    <row r="157" spans="1:4">
      <c r="A157" s="207">
        <f t="shared" si="5"/>
        <v>6</v>
      </c>
      <c r="B157" s="211">
        <v>45814</v>
      </c>
      <c r="C157" s="206">
        <v>15.6</v>
      </c>
      <c r="D157" s="207">
        <f t="shared" si="4"/>
        <v>16.169999999999998</v>
      </c>
    </row>
    <row r="158" spans="1:4">
      <c r="A158" s="207">
        <f t="shared" si="5"/>
        <v>6</v>
      </c>
      <c r="B158" s="205">
        <v>45815</v>
      </c>
      <c r="C158" s="212">
        <v>15.6</v>
      </c>
      <c r="D158" s="207">
        <f t="shared" si="4"/>
        <v>16.169999999999998</v>
      </c>
    </row>
    <row r="159" spans="1:4">
      <c r="A159" s="207">
        <f t="shared" si="5"/>
        <v>6</v>
      </c>
      <c r="B159" s="205">
        <v>45816</v>
      </c>
      <c r="C159" s="206">
        <v>15.6</v>
      </c>
      <c r="D159" s="207">
        <f t="shared" si="4"/>
        <v>16.169999999999998</v>
      </c>
    </row>
    <row r="160" spans="1:4">
      <c r="A160" s="207">
        <f t="shared" si="5"/>
        <v>6</v>
      </c>
      <c r="B160" s="211">
        <v>45817</v>
      </c>
      <c r="C160" s="212">
        <v>15.6</v>
      </c>
      <c r="D160" s="207">
        <f t="shared" si="4"/>
        <v>16.169999999999998</v>
      </c>
    </row>
    <row r="161" spans="1:4">
      <c r="A161" s="207">
        <f t="shared" si="5"/>
        <v>6</v>
      </c>
      <c r="B161" s="205">
        <v>45818</v>
      </c>
      <c r="C161" s="206">
        <v>15.6</v>
      </c>
      <c r="D161" s="207">
        <f t="shared" si="4"/>
        <v>16.169999999999998</v>
      </c>
    </row>
    <row r="162" spans="1:4">
      <c r="A162" s="207">
        <f t="shared" si="5"/>
        <v>6</v>
      </c>
      <c r="B162" s="205">
        <v>45819</v>
      </c>
      <c r="C162" s="212">
        <v>15.6</v>
      </c>
      <c r="D162" s="207">
        <f t="shared" si="4"/>
        <v>16.169999999999998</v>
      </c>
    </row>
    <row r="163" spans="1:4">
      <c r="A163" s="207">
        <f t="shared" si="5"/>
        <v>6</v>
      </c>
      <c r="B163" s="211">
        <v>45820</v>
      </c>
      <c r="C163" s="206">
        <v>15.6</v>
      </c>
      <c r="D163" s="207">
        <f t="shared" ref="D163:D226" si="7">(C163+(15.97+2.4)-17.8)</f>
        <v>16.169999999999998</v>
      </c>
    </row>
    <row r="164" spans="1:4">
      <c r="A164" s="207">
        <f t="shared" si="5"/>
        <v>6</v>
      </c>
      <c r="B164" s="205">
        <v>45821</v>
      </c>
      <c r="C164" s="212">
        <v>15.6</v>
      </c>
      <c r="D164" s="207">
        <f t="shared" si="7"/>
        <v>16.169999999999998</v>
      </c>
    </row>
    <row r="165" spans="1:4">
      <c r="A165" s="207">
        <f t="shared" si="5"/>
        <v>6</v>
      </c>
      <c r="B165" s="205">
        <v>45822</v>
      </c>
      <c r="C165" s="206">
        <v>15.6</v>
      </c>
      <c r="D165" s="207">
        <f t="shared" si="7"/>
        <v>16.169999999999998</v>
      </c>
    </row>
    <row r="166" spans="1:4">
      <c r="A166" s="207">
        <f t="shared" si="5"/>
        <v>6</v>
      </c>
      <c r="B166" s="211">
        <v>45823</v>
      </c>
      <c r="C166" s="212">
        <v>15.6</v>
      </c>
      <c r="D166" s="207">
        <f t="shared" si="7"/>
        <v>16.169999999999998</v>
      </c>
    </row>
    <row r="167" spans="1:4">
      <c r="A167" s="207">
        <f t="shared" si="5"/>
        <v>6</v>
      </c>
      <c r="B167" s="205">
        <v>45824</v>
      </c>
      <c r="C167" s="206">
        <v>15.6</v>
      </c>
      <c r="D167" s="207">
        <f t="shared" si="7"/>
        <v>16.169999999999998</v>
      </c>
    </row>
    <row r="168" spans="1:4">
      <c r="A168" s="207">
        <f t="shared" si="5"/>
        <v>6</v>
      </c>
      <c r="B168" s="205">
        <v>45825</v>
      </c>
      <c r="C168" s="212">
        <v>15.6</v>
      </c>
      <c r="D168" s="207">
        <f t="shared" si="7"/>
        <v>16.169999999999998</v>
      </c>
    </row>
    <row r="169" spans="1:4">
      <c r="A169" s="207">
        <f t="shared" si="5"/>
        <v>6</v>
      </c>
      <c r="B169" s="211">
        <v>45826</v>
      </c>
      <c r="C169" s="206">
        <v>15.6</v>
      </c>
      <c r="D169" s="207">
        <f t="shared" si="7"/>
        <v>16.169999999999998</v>
      </c>
    </row>
    <row r="170" spans="1:4">
      <c r="A170" s="207">
        <f t="shared" si="5"/>
        <v>6</v>
      </c>
      <c r="B170" s="205">
        <v>45827</v>
      </c>
      <c r="C170" s="212">
        <v>15.6</v>
      </c>
      <c r="D170" s="207">
        <f t="shared" si="7"/>
        <v>16.169999999999998</v>
      </c>
    </row>
    <row r="171" spans="1:4">
      <c r="A171" s="207">
        <f t="shared" si="5"/>
        <v>6</v>
      </c>
      <c r="B171" s="205">
        <v>45828</v>
      </c>
      <c r="C171" s="206">
        <v>15.6</v>
      </c>
      <c r="D171" s="207">
        <f t="shared" si="7"/>
        <v>16.169999999999998</v>
      </c>
    </row>
    <row r="172" spans="1:4">
      <c r="A172" s="207">
        <f t="shared" si="5"/>
        <v>6</v>
      </c>
      <c r="B172" s="211">
        <v>45829</v>
      </c>
      <c r="C172" s="212">
        <v>15.6</v>
      </c>
      <c r="D172" s="207">
        <f t="shared" si="7"/>
        <v>16.169999999999998</v>
      </c>
    </row>
    <row r="173" spans="1:4">
      <c r="A173" s="207">
        <f t="shared" si="5"/>
        <v>6</v>
      </c>
      <c r="B173" s="205">
        <v>45830</v>
      </c>
      <c r="C173" s="206">
        <v>15.6</v>
      </c>
      <c r="D173" s="207">
        <f t="shared" si="7"/>
        <v>16.169999999999998</v>
      </c>
    </row>
    <row r="174" spans="1:4">
      <c r="A174" s="207">
        <f t="shared" si="5"/>
        <v>6</v>
      </c>
      <c r="B174" s="205">
        <v>45831</v>
      </c>
      <c r="C174" s="207">
        <v>15.8</v>
      </c>
      <c r="D174" s="207">
        <f t="shared" si="7"/>
        <v>16.37</v>
      </c>
    </row>
    <row r="175" spans="1:4">
      <c r="A175" s="207">
        <f t="shared" si="5"/>
        <v>6</v>
      </c>
      <c r="B175" s="211">
        <v>45832</v>
      </c>
      <c r="C175" s="207">
        <v>15.8</v>
      </c>
      <c r="D175" s="207">
        <f t="shared" si="7"/>
        <v>16.37</v>
      </c>
    </row>
    <row r="176" spans="1:4">
      <c r="A176" s="207">
        <f t="shared" si="5"/>
        <v>6</v>
      </c>
      <c r="B176" s="205">
        <v>45833</v>
      </c>
      <c r="C176" s="207">
        <v>15.8</v>
      </c>
      <c r="D176" s="207">
        <f t="shared" si="7"/>
        <v>16.37</v>
      </c>
    </row>
    <row r="177" spans="1:5">
      <c r="A177" s="207">
        <f t="shared" si="5"/>
        <v>6</v>
      </c>
      <c r="B177" s="205">
        <v>45834</v>
      </c>
      <c r="C177" s="207">
        <v>15.8</v>
      </c>
      <c r="D177" s="207">
        <f t="shared" si="7"/>
        <v>16.37</v>
      </c>
    </row>
    <row r="178" spans="1:5">
      <c r="A178" s="207">
        <f t="shared" si="5"/>
        <v>6</v>
      </c>
      <c r="B178" s="211">
        <v>45835</v>
      </c>
      <c r="C178" s="207">
        <v>15.8</v>
      </c>
      <c r="D178" s="207">
        <f t="shared" si="7"/>
        <v>16.37</v>
      </c>
    </row>
    <row r="179" spans="1:5">
      <c r="A179" s="207">
        <f t="shared" si="5"/>
        <v>6</v>
      </c>
      <c r="B179" s="205">
        <v>45836</v>
      </c>
      <c r="C179" s="207">
        <v>15.8</v>
      </c>
      <c r="D179" s="207">
        <f t="shared" si="7"/>
        <v>16.37</v>
      </c>
    </row>
    <row r="180" spans="1:5">
      <c r="A180" s="207">
        <f t="shared" si="5"/>
        <v>6</v>
      </c>
      <c r="B180" s="205">
        <v>45837</v>
      </c>
      <c r="C180" s="207">
        <v>15.8</v>
      </c>
      <c r="D180" s="207">
        <f t="shared" si="7"/>
        <v>16.37</v>
      </c>
    </row>
    <row r="181" spans="1:5">
      <c r="A181" s="207">
        <f t="shared" si="5"/>
        <v>6</v>
      </c>
      <c r="B181" s="211">
        <v>45838</v>
      </c>
      <c r="C181" s="207">
        <v>15.8</v>
      </c>
      <c r="D181" s="207">
        <f t="shared" si="7"/>
        <v>16.37</v>
      </c>
      <c r="E181" s="207">
        <f>AVERAGE(C152:C181)</f>
        <v>15.653333333333338</v>
      </c>
    </row>
    <row r="182" spans="1:5">
      <c r="A182" s="207">
        <f t="shared" si="5"/>
        <v>7</v>
      </c>
      <c r="B182" s="205">
        <v>45839</v>
      </c>
      <c r="C182" s="207">
        <v>15.8</v>
      </c>
      <c r="D182" s="207">
        <f t="shared" si="7"/>
        <v>16.37</v>
      </c>
    </row>
    <row r="183" spans="1:5">
      <c r="A183" s="207">
        <f t="shared" si="5"/>
        <v>7</v>
      </c>
      <c r="B183" s="205">
        <v>45840</v>
      </c>
      <c r="C183" s="207">
        <v>16.600000000000001</v>
      </c>
      <c r="D183" s="207">
        <f t="shared" si="7"/>
        <v>17.169999999999998</v>
      </c>
    </row>
    <row r="184" spans="1:5">
      <c r="A184" s="207">
        <f t="shared" si="5"/>
        <v>7</v>
      </c>
      <c r="B184" s="211">
        <v>45841</v>
      </c>
      <c r="C184" s="207">
        <v>16.600000000000001</v>
      </c>
      <c r="D184" s="207">
        <f t="shared" si="7"/>
        <v>17.169999999999998</v>
      </c>
    </row>
    <row r="185" spans="1:5">
      <c r="A185" s="207">
        <f t="shared" si="5"/>
        <v>7</v>
      </c>
      <c r="B185" s="205">
        <v>45842</v>
      </c>
      <c r="C185" s="207">
        <v>16.600000000000001</v>
      </c>
      <c r="D185" s="207">
        <f t="shared" si="7"/>
        <v>17.169999999999998</v>
      </c>
    </row>
    <row r="186" spans="1:5">
      <c r="A186" s="207">
        <f t="shared" si="5"/>
        <v>7</v>
      </c>
      <c r="B186" s="205">
        <v>45843</v>
      </c>
      <c r="C186" s="207">
        <v>16.600000000000001</v>
      </c>
      <c r="D186" s="207">
        <f t="shared" si="7"/>
        <v>17.169999999999998</v>
      </c>
    </row>
    <row r="187" spans="1:5">
      <c r="A187" s="207">
        <f t="shared" si="5"/>
        <v>7</v>
      </c>
      <c r="B187" s="211">
        <v>45844</v>
      </c>
      <c r="C187" s="207">
        <v>16.600000000000001</v>
      </c>
      <c r="D187" s="207">
        <f t="shared" si="7"/>
        <v>17.169999999999998</v>
      </c>
    </row>
    <row r="188" spans="1:5">
      <c r="A188" s="207">
        <f t="shared" si="5"/>
        <v>7</v>
      </c>
      <c r="B188" s="205">
        <v>45845</v>
      </c>
      <c r="C188" s="207">
        <v>16.600000000000001</v>
      </c>
      <c r="D188" s="207">
        <f t="shared" si="7"/>
        <v>17.169999999999998</v>
      </c>
    </row>
    <row r="189" spans="1:5">
      <c r="A189" s="207">
        <f t="shared" si="5"/>
        <v>7</v>
      </c>
      <c r="B189" s="205">
        <v>45846</v>
      </c>
      <c r="C189" s="207">
        <v>16.600000000000001</v>
      </c>
      <c r="D189" s="207">
        <f t="shared" si="7"/>
        <v>17.169999999999998</v>
      </c>
    </row>
    <row r="190" spans="1:5">
      <c r="A190" s="207">
        <f t="shared" si="5"/>
        <v>7</v>
      </c>
      <c r="B190" s="211">
        <v>45847</v>
      </c>
      <c r="C190" s="207">
        <v>16.600000000000001</v>
      </c>
      <c r="D190" s="207">
        <f t="shared" si="7"/>
        <v>17.169999999999998</v>
      </c>
    </row>
    <row r="191" spans="1:5">
      <c r="A191" s="207">
        <f t="shared" si="5"/>
        <v>7</v>
      </c>
      <c r="B191" s="205">
        <v>45848</v>
      </c>
      <c r="C191" s="207">
        <v>16.600000000000001</v>
      </c>
      <c r="D191" s="207">
        <f t="shared" si="7"/>
        <v>17.169999999999998</v>
      </c>
    </row>
    <row r="192" spans="1:5">
      <c r="A192" s="207">
        <f t="shared" si="5"/>
        <v>7</v>
      </c>
      <c r="B192" s="211">
        <v>45849</v>
      </c>
      <c r="C192" s="207">
        <v>16.600000000000001</v>
      </c>
      <c r="D192" s="207">
        <f t="shared" si="7"/>
        <v>17.169999999999998</v>
      </c>
    </row>
    <row r="193" spans="1:4">
      <c r="A193" s="207">
        <f t="shared" si="5"/>
        <v>7</v>
      </c>
      <c r="B193" s="205">
        <v>45850</v>
      </c>
      <c r="C193" s="207">
        <v>16.600000000000001</v>
      </c>
      <c r="D193" s="207">
        <f t="shared" si="7"/>
        <v>17.169999999999998</v>
      </c>
    </row>
    <row r="194" spans="1:4">
      <c r="A194" s="207">
        <f t="shared" ref="A194:A243" si="8">MONTH(B194)</f>
        <v>7</v>
      </c>
      <c r="B194" s="211">
        <v>45851</v>
      </c>
      <c r="C194" s="207">
        <v>16.600000000000001</v>
      </c>
      <c r="D194" s="207">
        <f t="shared" si="7"/>
        <v>17.169999999999998</v>
      </c>
    </row>
    <row r="195" spans="1:4">
      <c r="A195" s="207">
        <f t="shared" si="8"/>
        <v>7</v>
      </c>
      <c r="B195" s="205">
        <v>45852</v>
      </c>
      <c r="C195" s="207">
        <v>16.600000000000001</v>
      </c>
      <c r="D195" s="207">
        <f t="shared" si="7"/>
        <v>17.169999999999998</v>
      </c>
    </row>
    <row r="196" spans="1:4">
      <c r="A196" s="207">
        <f t="shared" si="8"/>
        <v>7</v>
      </c>
      <c r="B196" s="211">
        <v>45853</v>
      </c>
      <c r="C196" s="207">
        <v>16.600000000000001</v>
      </c>
      <c r="D196" s="207">
        <f t="shared" si="7"/>
        <v>17.169999999999998</v>
      </c>
    </row>
    <row r="197" spans="1:4">
      <c r="A197" s="207">
        <f t="shared" si="8"/>
        <v>7</v>
      </c>
      <c r="B197" s="205">
        <v>45854</v>
      </c>
      <c r="C197" s="207">
        <v>16.600000000000001</v>
      </c>
      <c r="D197" s="207">
        <f t="shared" si="7"/>
        <v>17.169999999999998</v>
      </c>
    </row>
    <row r="198" spans="1:4">
      <c r="A198" s="207">
        <f t="shared" si="8"/>
        <v>7</v>
      </c>
      <c r="B198" s="211">
        <v>45855</v>
      </c>
      <c r="C198" s="207">
        <v>16.600000000000001</v>
      </c>
      <c r="D198" s="207">
        <f t="shared" si="7"/>
        <v>17.169999999999998</v>
      </c>
    </row>
    <row r="199" spans="1:4">
      <c r="A199" s="207">
        <f t="shared" si="8"/>
        <v>7</v>
      </c>
      <c r="B199" s="205">
        <v>45856</v>
      </c>
      <c r="C199" s="207">
        <v>16.600000000000001</v>
      </c>
      <c r="D199" s="207">
        <f t="shared" si="7"/>
        <v>17.169999999999998</v>
      </c>
    </row>
    <row r="200" spans="1:4">
      <c r="A200" s="207">
        <f t="shared" si="8"/>
        <v>7</v>
      </c>
      <c r="B200" s="211">
        <v>45857</v>
      </c>
      <c r="C200" s="207">
        <v>16.600000000000001</v>
      </c>
      <c r="D200" s="207">
        <f t="shared" si="7"/>
        <v>17.169999999999998</v>
      </c>
    </row>
    <row r="201" spans="1:4">
      <c r="A201" s="207">
        <f t="shared" si="8"/>
        <v>7</v>
      </c>
      <c r="B201" s="205">
        <v>45858</v>
      </c>
      <c r="C201" s="207">
        <v>16.600000000000001</v>
      </c>
      <c r="D201" s="207">
        <f t="shared" si="7"/>
        <v>17.169999999999998</v>
      </c>
    </row>
    <row r="202" spans="1:4">
      <c r="A202" s="207">
        <f t="shared" si="8"/>
        <v>7</v>
      </c>
      <c r="B202" s="211">
        <v>45859</v>
      </c>
      <c r="C202" s="207">
        <v>16.600000000000001</v>
      </c>
      <c r="D202" s="207">
        <f t="shared" si="7"/>
        <v>17.169999999999998</v>
      </c>
    </row>
    <row r="203" spans="1:4">
      <c r="A203" s="207">
        <f t="shared" si="8"/>
        <v>7</v>
      </c>
      <c r="B203" s="205">
        <v>45860</v>
      </c>
      <c r="C203" s="207">
        <v>16.600000000000001</v>
      </c>
      <c r="D203" s="207">
        <f t="shared" si="7"/>
        <v>17.169999999999998</v>
      </c>
    </row>
    <row r="204" spans="1:4">
      <c r="A204" s="207">
        <f t="shared" si="8"/>
        <v>7</v>
      </c>
      <c r="B204" s="211">
        <v>45861</v>
      </c>
      <c r="C204" s="207">
        <v>16.600000000000001</v>
      </c>
      <c r="D204" s="207">
        <f t="shared" si="7"/>
        <v>17.169999999999998</v>
      </c>
    </row>
    <row r="205" spans="1:4">
      <c r="A205" s="207">
        <f t="shared" si="8"/>
        <v>7</v>
      </c>
      <c r="B205" s="205">
        <v>45862</v>
      </c>
      <c r="C205" s="207">
        <v>16.600000000000001</v>
      </c>
      <c r="D205" s="207">
        <f t="shared" si="7"/>
        <v>17.169999999999998</v>
      </c>
    </row>
    <row r="206" spans="1:4">
      <c r="A206" s="207">
        <f t="shared" si="8"/>
        <v>7</v>
      </c>
      <c r="B206" s="211">
        <v>45863</v>
      </c>
      <c r="C206" s="207">
        <v>16.600000000000001</v>
      </c>
      <c r="D206" s="207">
        <f t="shared" si="7"/>
        <v>17.169999999999998</v>
      </c>
    </row>
    <row r="207" spans="1:4">
      <c r="A207" s="207">
        <f t="shared" si="8"/>
        <v>7</v>
      </c>
      <c r="B207" s="205">
        <v>45864</v>
      </c>
      <c r="C207" s="207">
        <v>16.600000000000001</v>
      </c>
      <c r="D207" s="207">
        <f t="shared" si="7"/>
        <v>17.169999999999998</v>
      </c>
    </row>
    <row r="208" spans="1:4">
      <c r="A208" s="207">
        <f t="shared" si="8"/>
        <v>7</v>
      </c>
      <c r="B208" s="211">
        <v>45865</v>
      </c>
      <c r="C208" s="207">
        <v>16.600000000000001</v>
      </c>
      <c r="D208" s="207">
        <f t="shared" si="7"/>
        <v>17.169999999999998</v>
      </c>
    </row>
    <row r="209" spans="1:4">
      <c r="A209" s="207">
        <f t="shared" si="8"/>
        <v>7</v>
      </c>
      <c r="B209" s="205">
        <v>45866</v>
      </c>
      <c r="C209" s="207">
        <v>16.600000000000001</v>
      </c>
      <c r="D209" s="207">
        <f t="shared" si="7"/>
        <v>17.169999999999998</v>
      </c>
    </row>
    <row r="210" spans="1:4">
      <c r="A210" s="207">
        <f t="shared" si="8"/>
        <v>7</v>
      </c>
      <c r="B210" s="211">
        <v>45867</v>
      </c>
      <c r="C210" s="207">
        <v>16.600000000000001</v>
      </c>
      <c r="D210" s="207">
        <f t="shared" si="7"/>
        <v>17.169999999999998</v>
      </c>
    </row>
    <row r="211" spans="1:4">
      <c r="A211" s="207">
        <f t="shared" si="8"/>
        <v>7</v>
      </c>
      <c r="B211" s="205">
        <v>45868</v>
      </c>
      <c r="C211" s="207">
        <v>16.600000000000001</v>
      </c>
      <c r="D211" s="207">
        <f t="shared" si="7"/>
        <v>17.169999999999998</v>
      </c>
    </row>
    <row r="212" spans="1:4">
      <c r="A212" s="207">
        <f t="shared" si="8"/>
        <v>7</v>
      </c>
      <c r="B212" s="211">
        <v>45869</v>
      </c>
      <c r="C212" s="207">
        <v>16.600000000000001</v>
      </c>
      <c r="D212" s="207">
        <f t="shared" si="7"/>
        <v>17.169999999999998</v>
      </c>
    </row>
    <row r="213" spans="1:4">
      <c r="A213" s="207">
        <f t="shared" si="8"/>
        <v>8</v>
      </c>
      <c r="B213" s="205">
        <v>45870</v>
      </c>
      <c r="C213" s="207">
        <f>C212</f>
        <v>16.600000000000001</v>
      </c>
      <c r="D213" s="207">
        <f t="shared" si="7"/>
        <v>17.169999999999998</v>
      </c>
    </row>
    <row r="214" spans="1:4">
      <c r="A214" s="207">
        <f t="shared" si="8"/>
        <v>8</v>
      </c>
      <c r="B214" s="211">
        <v>45871</v>
      </c>
      <c r="C214" s="207">
        <f t="shared" ref="C214:C218" si="9">C213</f>
        <v>16.600000000000001</v>
      </c>
      <c r="D214" s="207">
        <f t="shared" si="7"/>
        <v>17.169999999999998</v>
      </c>
    </row>
    <row r="215" spans="1:4">
      <c r="A215" s="207">
        <f t="shared" si="8"/>
        <v>8</v>
      </c>
      <c r="B215" s="205">
        <v>45872</v>
      </c>
      <c r="C215" s="207">
        <f t="shared" si="9"/>
        <v>16.600000000000001</v>
      </c>
      <c r="D215" s="207">
        <f t="shared" si="7"/>
        <v>17.169999999999998</v>
      </c>
    </row>
    <row r="216" spans="1:4">
      <c r="A216" s="207">
        <f t="shared" si="8"/>
        <v>8</v>
      </c>
      <c r="B216" s="211">
        <v>45873</v>
      </c>
      <c r="C216" s="207">
        <f t="shared" si="9"/>
        <v>16.600000000000001</v>
      </c>
      <c r="D216" s="207">
        <f t="shared" si="7"/>
        <v>17.169999999999998</v>
      </c>
    </row>
    <row r="217" spans="1:4">
      <c r="A217" s="207">
        <f t="shared" si="8"/>
        <v>8</v>
      </c>
      <c r="B217" s="205">
        <v>45874</v>
      </c>
      <c r="C217" s="207">
        <f t="shared" si="9"/>
        <v>16.600000000000001</v>
      </c>
      <c r="D217" s="207">
        <f t="shared" si="7"/>
        <v>17.169999999999998</v>
      </c>
    </row>
    <row r="218" spans="1:4">
      <c r="A218" s="207">
        <f t="shared" si="8"/>
        <v>8</v>
      </c>
      <c r="B218" s="211">
        <v>45875</v>
      </c>
      <c r="C218" s="207">
        <f t="shared" si="9"/>
        <v>16.600000000000001</v>
      </c>
      <c r="D218" s="207">
        <f t="shared" si="7"/>
        <v>17.169999999999998</v>
      </c>
    </row>
    <row r="219" spans="1:4">
      <c r="A219" s="207">
        <f t="shared" si="8"/>
        <v>8</v>
      </c>
      <c r="B219" s="205">
        <v>45876</v>
      </c>
      <c r="C219" s="207">
        <v>18.600000000000001</v>
      </c>
      <c r="D219" s="207">
        <f t="shared" si="7"/>
        <v>19.169999999999998</v>
      </c>
    </row>
    <row r="220" spans="1:4">
      <c r="A220" s="207">
        <f>MONTH(B220)</f>
        <v>8</v>
      </c>
      <c r="B220" s="211">
        <v>45877</v>
      </c>
      <c r="C220" s="207">
        <v>18.600000000000001</v>
      </c>
      <c r="D220" s="207">
        <f t="shared" si="7"/>
        <v>19.169999999999998</v>
      </c>
    </row>
    <row r="221" spans="1:4">
      <c r="A221" s="207">
        <f t="shared" si="8"/>
        <v>8</v>
      </c>
      <c r="B221" s="205">
        <v>45878</v>
      </c>
      <c r="C221" s="207">
        <v>18.600000000000001</v>
      </c>
      <c r="D221" s="207">
        <f t="shared" si="7"/>
        <v>19.169999999999998</v>
      </c>
    </row>
    <row r="222" spans="1:4">
      <c r="A222" s="207">
        <f t="shared" si="8"/>
        <v>8</v>
      </c>
      <c r="B222" s="211">
        <v>45879</v>
      </c>
      <c r="C222" s="207">
        <v>18.600000000000001</v>
      </c>
      <c r="D222" s="207">
        <f t="shared" si="7"/>
        <v>19.169999999999998</v>
      </c>
    </row>
    <row r="223" spans="1:4">
      <c r="A223" s="207">
        <f t="shared" si="8"/>
        <v>8</v>
      </c>
      <c r="B223" s="205">
        <v>45880</v>
      </c>
      <c r="C223" s="207">
        <v>18.600000000000001</v>
      </c>
      <c r="D223" s="207">
        <f t="shared" si="7"/>
        <v>19.169999999999998</v>
      </c>
    </row>
    <row r="224" spans="1:4">
      <c r="A224" s="207">
        <f t="shared" si="8"/>
        <v>8</v>
      </c>
      <c r="B224" s="211">
        <v>45881</v>
      </c>
      <c r="C224" s="207">
        <v>18.600000000000001</v>
      </c>
      <c r="D224" s="207">
        <f t="shared" si="7"/>
        <v>19.169999999999998</v>
      </c>
    </row>
    <row r="225" spans="1:4">
      <c r="A225" s="207">
        <f t="shared" si="8"/>
        <v>8</v>
      </c>
      <c r="B225" s="205">
        <v>45882</v>
      </c>
      <c r="C225" s="207">
        <v>18.600000000000001</v>
      </c>
      <c r="D225" s="207">
        <f t="shared" si="7"/>
        <v>19.169999999999998</v>
      </c>
    </row>
    <row r="226" spans="1:4">
      <c r="A226" s="207">
        <f t="shared" si="8"/>
        <v>8</v>
      </c>
      <c r="B226" s="211">
        <v>45883</v>
      </c>
      <c r="C226" s="207">
        <v>18.600000000000001</v>
      </c>
      <c r="D226" s="207">
        <f t="shared" si="7"/>
        <v>19.169999999999998</v>
      </c>
    </row>
    <row r="227" spans="1:4">
      <c r="A227" s="207">
        <f t="shared" si="8"/>
        <v>8</v>
      </c>
      <c r="B227" s="205">
        <v>45884</v>
      </c>
      <c r="C227" s="207">
        <v>18.600000000000001</v>
      </c>
      <c r="D227" s="207">
        <f t="shared" ref="D227:D288" si="10">(C227+(15.97+2.4)-17.8)</f>
        <v>19.169999999999998</v>
      </c>
    </row>
    <row r="228" spans="1:4">
      <c r="A228" s="207">
        <f t="shared" si="8"/>
        <v>8</v>
      </c>
      <c r="B228" s="211">
        <v>45885</v>
      </c>
      <c r="C228" s="207">
        <v>18.600000000000001</v>
      </c>
      <c r="D228" s="207">
        <f t="shared" si="10"/>
        <v>19.169999999999998</v>
      </c>
    </row>
    <row r="229" spans="1:4">
      <c r="A229" s="207">
        <f t="shared" si="8"/>
        <v>8</v>
      </c>
      <c r="B229" s="205">
        <v>45886</v>
      </c>
      <c r="C229" s="207">
        <v>18.600000000000001</v>
      </c>
      <c r="D229" s="207">
        <f t="shared" si="10"/>
        <v>19.169999999999998</v>
      </c>
    </row>
    <row r="230" spans="1:4">
      <c r="A230" s="207">
        <f t="shared" si="8"/>
        <v>8</v>
      </c>
      <c r="B230" s="211">
        <v>45887</v>
      </c>
      <c r="C230" s="207">
        <v>18.600000000000001</v>
      </c>
      <c r="D230" s="207">
        <f t="shared" si="10"/>
        <v>19.169999999999998</v>
      </c>
    </row>
    <row r="231" spans="1:4">
      <c r="A231" s="207">
        <f t="shared" si="8"/>
        <v>8</v>
      </c>
      <c r="B231" s="205">
        <v>45888</v>
      </c>
      <c r="C231" s="207">
        <v>18.600000000000001</v>
      </c>
      <c r="D231" s="207">
        <f t="shared" si="10"/>
        <v>19.169999999999998</v>
      </c>
    </row>
    <row r="232" spans="1:4">
      <c r="A232" s="207">
        <f t="shared" si="8"/>
        <v>8</v>
      </c>
      <c r="B232" s="211">
        <v>45889</v>
      </c>
      <c r="C232" s="207">
        <v>18.600000000000001</v>
      </c>
      <c r="D232" s="207">
        <f t="shared" si="10"/>
        <v>19.169999999999998</v>
      </c>
    </row>
    <row r="233" spans="1:4">
      <c r="A233" s="207">
        <f t="shared" si="8"/>
        <v>8</v>
      </c>
      <c r="B233" s="205">
        <v>45890</v>
      </c>
      <c r="C233" s="207">
        <v>18.600000000000001</v>
      </c>
      <c r="D233" s="207">
        <f t="shared" si="10"/>
        <v>19.169999999999998</v>
      </c>
    </row>
    <row r="234" spans="1:4">
      <c r="A234" s="207">
        <f t="shared" si="8"/>
        <v>8</v>
      </c>
      <c r="B234" s="211">
        <v>45891</v>
      </c>
      <c r="C234" s="207">
        <v>18.600000000000001</v>
      </c>
      <c r="D234" s="207">
        <f t="shared" si="10"/>
        <v>19.169999999999998</v>
      </c>
    </row>
    <row r="235" spans="1:4">
      <c r="A235" s="207">
        <f t="shared" si="8"/>
        <v>8</v>
      </c>
      <c r="B235" s="205">
        <v>45892</v>
      </c>
      <c r="C235" s="207">
        <v>18.600000000000001</v>
      </c>
      <c r="D235" s="207">
        <f t="shared" si="10"/>
        <v>19.169999999999998</v>
      </c>
    </row>
    <row r="236" spans="1:4">
      <c r="A236" s="207">
        <f t="shared" si="8"/>
        <v>8</v>
      </c>
      <c r="B236" s="211">
        <v>45893</v>
      </c>
      <c r="C236" s="207">
        <v>18.600000000000001</v>
      </c>
      <c r="D236" s="207">
        <f t="shared" si="10"/>
        <v>19.169999999999998</v>
      </c>
    </row>
    <row r="237" spans="1:4">
      <c r="A237" s="207">
        <f t="shared" si="8"/>
        <v>8</v>
      </c>
      <c r="B237" s="205">
        <v>45894</v>
      </c>
      <c r="C237" s="207">
        <v>18.600000000000001</v>
      </c>
      <c r="D237" s="207">
        <f t="shared" si="10"/>
        <v>19.169999999999998</v>
      </c>
    </row>
    <row r="238" spans="1:4">
      <c r="A238" s="207">
        <f t="shared" si="8"/>
        <v>8</v>
      </c>
      <c r="B238" s="211">
        <v>45895</v>
      </c>
      <c r="C238" s="207">
        <v>18.600000000000001</v>
      </c>
      <c r="D238" s="207">
        <f t="shared" si="10"/>
        <v>19.169999999999998</v>
      </c>
    </row>
    <row r="239" spans="1:4">
      <c r="A239" s="207">
        <f t="shared" si="8"/>
        <v>8</v>
      </c>
      <c r="B239" s="205">
        <v>45896</v>
      </c>
      <c r="C239" s="207">
        <v>18.600000000000001</v>
      </c>
      <c r="D239" s="207">
        <f t="shared" si="10"/>
        <v>19.169999999999998</v>
      </c>
    </row>
    <row r="240" spans="1:4">
      <c r="A240" s="207">
        <f t="shared" si="8"/>
        <v>8</v>
      </c>
      <c r="B240" s="211">
        <v>45897</v>
      </c>
      <c r="C240" s="207">
        <v>18.600000000000001</v>
      </c>
      <c r="D240" s="207">
        <f t="shared" si="10"/>
        <v>19.169999999999998</v>
      </c>
    </row>
    <row r="241" spans="1:4">
      <c r="A241" s="207">
        <f t="shared" si="8"/>
        <v>8</v>
      </c>
      <c r="B241" s="205">
        <v>45898</v>
      </c>
      <c r="C241" s="207">
        <v>18.600000000000001</v>
      </c>
      <c r="D241" s="207">
        <f t="shared" si="10"/>
        <v>19.169999999999998</v>
      </c>
    </row>
    <row r="242" spans="1:4">
      <c r="A242" s="207">
        <f t="shared" si="8"/>
        <v>8</v>
      </c>
      <c r="B242" s="211">
        <v>45899</v>
      </c>
      <c r="C242" s="207">
        <v>18.600000000000001</v>
      </c>
      <c r="D242" s="207">
        <f t="shared" si="10"/>
        <v>19.169999999999998</v>
      </c>
    </row>
    <row r="243" spans="1:4">
      <c r="A243" s="207">
        <f t="shared" si="8"/>
        <v>8</v>
      </c>
      <c r="B243" s="205">
        <v>45900</v>
      </c>
      <c r="C243" s="207">
        <v>18.600000000000001</v>
      </c>
      <c r="D243" s="207">
        <f t="shared" si="10"/>
        <v>19.169999999999998</v>
      </c>
    </row>
    <row r="244" spans="1:4">
      <c r="B244" s="211">
        <v>45901</v>
      </c>
      <c r="C244" s="207">
        <v>18.600000000000001</v>
      </c>
      <c r="D244" s="207">
        <f t="shared" si="10"/>
        <v>19.169999999999998</v>
      </c>
    </row>
    <row r="245" spans="1:4">
      <c r="B245" s="205">
        <v>45902</v>
      </c>
      <c r="C245" s="207">
        <v>18.600000000000001</v>
      </c>
      <c r="D245" s="207">
        <f t="shared" si="10"/>
        <v>19.169999999999998</v>
      </c>
    </row>
    <row r="246" spans="1:4">
      <c r="B246" s="211">
        <v>45903</v>
      </c>
      <c r="C246" s="207">
        <v>17.399999999999999</v>
      </c>
      <c r="D246" s="207">
        <f t="shared" si="10"/>
        <v>17.969999999999995</v>
      </c>
    </row>
    <row r="247" spans="1:4">
      <c r="B247" s="205">
        <v>45904</v>
      </c>
      <c r="C247" s="207">
        <v>17.399999999999999</v>
      </c>
      <c r="D247" s="207">
        <f t="shared" si="10"/>
        <v>17.969999999999995</v>
      </c>
    </row>
    <row r="248" spans="1:4">
      <c r="B248" s="211">
        <v>45905</v>
      </c>
      <c r="C248" s="207">
        <v>17.399999999999999</v>
      </c>
      <c r="D248" s="207">
        <f t="shared" si="10"/>
        <v>17.969999999999995</v>
      </c>
    </row>
    <row r="249" spans="1:4">
      <c r="B249" s="205">
        <v>45906</v>
      </c>
      <c r="C249" s="207">
        <v>17.399999999999999</v>
      </c>
      <c r="D249" s="207">
        <f t="shared" si="10"/>
        <v>17.969999999999995</v>
      </c>
    </row>
    <row r="250" spans="1:4">
      <c r="B250" s="211">
        <v>45907</v>
      </c>
      <c r="C250" s="207">
        <v>17.399999999999999</v>
      </c>
      <c r="D250" s="207">
        <f t="shared" si="10"/>
        <v>17.969999999999995</v>
      </c>
    </row>
    <row r="251" spans="1:4">
      <c r="B251" s="205">
        <v>45908</v>
      </c>
      <c r="C251" s="207">
        <v>17.399999999999999</v>
      </c>
      <c r="D251" s="207">
        <f t="shared" si="10"/>
        <v>17.969999999999995</v>
      </c>
    </row>
    <row r="252" spans="1:4">
      <c r="B252" s="211">
        <v>45909</v>
      </c>
      <c r="C252" s="207">
        <v>17.399999999999999</v>
      </c>
      <c r="D252" s="207">
        <f t="shared" si="10"/>
        <v>17.969999999999995</v>
      </c>
    </row>
    <row r="253" spans="1:4">
      <c r="B253" s="205">
        <v>45910</v>
      </c>
      <c r="C253" s="207">
        <v>17.399999999999999</v>
      </c>
      <c r="D253" s="207">
        <f t="shared" si="10"/>
        <v>17.969999999999995</v>
      </c>
    </row>
    <row r="254" spans="1:4">
      <c r="B254" s="211">
        <v>45911</v>
      </c>
      <c r="C254" s="207">
        <v>17.399999999999999</v>
      </c>
      <c r="D254" s="207">
        <f t="shared" si="10"/>
        <v>17.969999999999995</v>
      </c>
    </row>
    <row r="255" spans="1:4">
      <c r="B255" s="205">
        <v>45912</v>
      </c>
      <c r="C255" s="207">
        <v>17.399999999999999</v>
      </c>
      <c r="D255" s="207">
        <f t="shared" si="10"/>
        <v>17.969999999999995</v>
      </c>
    </row>
    <row r="256" spans="1:4">
      <c r="B256" s="211">
        <v>45913</v>
      </c>
      <c r="C256" s="207">
        <v>17.399999999999999</v>
      </c>
      <c r="D256" s="207">
        <f t="shared" si="10"/>
        <v>17.969999999999995</v>
      </c>
    </row>
    <row r="257" spans="2:4">
      <c r="B257" s="205">
        <v>45914</v>
      </c>
      <c r="C257" s="207">
        <v>17.399999999999999</v>
      </c>
      <c r="D257" s="207">
        <f t="shared" si="10"/>
        <v>17.969999999999995</v>
      </c>
    </row>
    <row r="258" spans="2:4">
      <c r="B258" s="211">
        <v>45915</v>
      </c>
      <c r="C258" s="207">
        <v>17.399999999999999</v>
      </c>
      <c r="D258" s="207">
        <f t="shared" si="10"/>
        <v>17.969999999999995</v>
      </c>
    </row>
    <row r="259" spans="2:4">
      <c r="B259" s="205">
        <v>45916</v>
      </c>
      <c r="C259" s="207">
        <v>17.399999999999999</v>
      </c>
      <c r="D259" s="207">
        <f t="shared" si="10"/>
        <v>17.969999999999995</v>
      </c>
    </row>
    <row r="260" spans="2:4">
      <c r="B260" s="211">
        <v>45917</v>
      </c>
      <c r="C260" s="207">
        <v>17.399999999999999</v>
      </c>
      <c r="D260" s="207">
        <f t="shared" si="10"/>
        <v>17.969999999999995</v>
      </c>
    </row>
    <row r="261" spans="2:4">
      <c r="B261" s="205">
        <v>45918</v>
      </c>
      <c r="C261" s="207">
        <v>17.399999999999999</v>
      </c>
      <c r="D261" s="207">
        <f t="shared" si="10"/>
        <v>17.969999999999995</v>
      </c>
    </row>
    <row r="262" spans="2:4">
      <c r="B262" s="211">
        <v>45919</v>
      </c>
      <c r="C262" s="207">
        <v>17.399999999999999</v>
      </c>
      <c r="D262" s="207">
        <f t="shared" si="10"/>
        <v>17.969999999999995</v>
      </c>
    </row>
    <row r="263" spans="2:4">
      <c r="B263" s="205">
        <v>45920</v>
      </c>
      <c r="C263" s="207">
        <v>17.399999999999999</v>
      </c>
      <c r="D263" s="207">
        <f t="shared" si="10"/>
        <v>17.969999999999995</v>
      </c>
    </row>
    <row r="264" spans="2:4">
      <c r="B264" s="211">
        <v>45921</v>
      </c>
      <c r="C264" s="207">
        <v>17.399999999999999</v>
      </c>
      <c r="D264" s="207">
        <f t="shared" si="10"/>
        <v>17.969999999999995</v>
      </c>
    </row>
    <row r="265" spans="2:4">
      <c r="B265" s="205">
        <v>45922</v>
      </c>
      <c r="C265" s="207">
        <v>17.399999999999999</v>
      </c>
      <c r="D265" s="207">
        <f t="shared" si="10"/>
        <v>17.969999999999995</v>
      </c>
    </row>
    <row r="266" spans="2:4">
      <c r="B266" s="211">
        <v>45923</v>
      </c>
      <c r="C266" s="207">
        <v>17.399999999999999</v>
      </c>
      <c r="D266" s="207">
        <f t="shared" si="10"/>
        <v>17.969999999999995</v>
      </c>
    </row>
    <row r="267" spans="2:4">
      <c r="B267" s="205">
        <v>45924</v>
      </c>
      <c r="C267" s="207">
        <v>17.399999999999999</v>
      </c>
      <c r="D267" s="207">
        <f t="shared" si="10"/>
        <v>17.969999999999995</v>
      </c>
    </row>
    <row r="268" spans="2:4">
      <c r="B268" s="211">
        <v>45925</v>
      </c>
      <c r="C268" s="207">
        <v>17.399999999999999</v>
      </c>
      <c r="D268" s="207">
        <f t="shared" si="10"/>
        <v>17.969999999999995</v>
      </c>
    </row>
    <row r="269" spans="2:4">
      <c r="B269" s="205">
        <v>45926</v>
      </c>
      <c r="C269" s="207">
        <v>17.399999999999999</v>
      </c>
      <c r="D269" s="207">
        <f t="shared" si="10"/>
        <v>17.969999999999995</v>
      </c>
    </row>
    <row r="270" spans="2:4">
      <c r="B270" s="211">
        <v>45927</v>
      </c>
      <c r="C270" s="207">
        <v>17.399999999999999</v>
      </c>
      <c r="D270" s="207">
        <f t="shared" si="10"/>
        <v>17.969999999999995</v>
      </c>
    </row>
    <row r="271" spans="2:4">
      <c r="B271" s="205">
        <v>45928</v>
      </c>
      <c r="C271" s="207">
        <v>17.399999999999999</v>
      </c>
      <c r="D271" s="207">
        <f t="shared" si="10"/>
        <v>17.969999999999995</v>
      </c>
    </row>
    <row r="272" spans="2:4">
      <c r="B272" s="211">
        <v>45929</v>
      </c>
      <c r="C272" s="207">
        <v>17.399999999999999</v>
      </c>
      <c r="D272" s="207">
        <f t="shared" si="10"/>
        <v>17.969999999999995</v>
      </c>
    </row>
    <row r="273" spans="2:4">
      <c r="B273" s="205">
        <v>45930</v>
      </c>
      <c r="C273" s="207">
        <v>17.399999999999999</v>
      </c>
      <c r="D273" s="207">
        <f t="shared" si="10"/>
        <v>17.969999999999995</v>
      </c>
    </row>
    <row r="274" spans="2:4">
      <c r="B274" s="211">
        <v>45931</v>
      </c>
      <c r="C274" s="207">
        <v>17.399999999999999</v>
      </c>
      <c r="D274" s="207">
        <f t="shared" si="10"/>
        <v>17.969999999999995</v>
      </c>
    </row>
    <row r="275" spans="2:4">
      <c r="B275" s="205">
        <v>45932</v>
      </c>
      <c r="C275" s="207">
        <v>17.399999999999999</v>
      </c>
      <c r="D275" s="207">
        <f t="shared" si="10"/>
        <v>17.969999999999995</v>
      </c>
    </row>
    <row r="276" spans="2:4">
      <c r="B276" s="211">
        <v>45933</v>
      </c>
      <c r="C276" s="207">
        <v>17.399999999999999</v>
      </c>
      <c r="D276" s="207">
        <f t="shared" si="10"/>
        <v>17.969999999999995</v>
      </c>
    </row>
    <row r="277" spans="2:4">
      <c r="B277" s="205">
        <v>45934</v>
      </c>
      <c r="C277" s="207">
        <v>17.399999999999999</v>
      </c>
      <c r="D277" s="207">
        <f t="shared" si="10"/>
        <v>17.969999999999995</v>
      </c>
    </row>
    <row r="278" spans="2:4">
      <c r="B278" s="211">
        <v>45935</v>
      </c>
      <c r="C278" s="207">
        <v>17.399999999999999</v>
      </c>
      <c r="D278" s="207">
        <f t="shared" si="10"/>
        <v>17.969999999999995</v>
      </c>
    </row>
    <row r="279" spans="2:4">
      <c r="B279" s="205">
        <v>45936</v>
      </c>
      <c r="C279" s="207">
        <v>17.399999999999999</v>
      </c>
      <c r="D279" s="207">
        <f t="shared" si="10"/>
        <v>17.969999999999995</v>
      </c>
    </row>
    <row r="280" spans="2:4">
      <c r="B280" s="211">
        <v>45937</v>
      </c>
      <c r="C280" s="207">
        <v>17.399999999999999</v>
      </c>
      <c r="D280" s="207">
        <f t="shared" si="10"/>
        <v>17.969999999999995</v>
      </c>
    </row>
    <row r="281" spans="2:4">
      <c r="B281" s="205">
        <v>45938</v>
      </c>
      <c r="C281" s="207">
        <v>17.399999999999999</v>
      </c>
      <c r="D281" s="207">
        <f t="shared" si="10"/>
        <v>17.969999999999995</v>
      </c>
    </row>
    <row r="282" spans="2:4">
      <c r="B282" s="211">
        <v>45939</v>
      </c>
      <c r="C282" s="207">
        <v>17.399999999999999</v>
      </c>
      <c r="D282" s="207">
        <f t="shared" si="10"/>
        <v>17.969999999999995</v>
      </c>
    </row>
    <row r="283" spans="2:4">
      <c r="B283" s="205">
        <v>45940</v>
      </c>
      <c r="C283" s="207">
        <v>17.399999999999999</v>
      </c>
      <c r="D283" s="207">
        <f t="shared" si="10"/>
        <v>17.969999999999995</v>
      </c>
    </row>
    <row r="284" spans="2:4">
      <c r="B284" s="211">
        <v>45941</v>
      </c>
      <c r="C284" s="207">
        <v>17.399999999999999</v>
      </c>
      <c r="D284" s="207">
        <f t="shared" si="10"/>
        <v>17.969999999999995</v>
      </c>
    </row>
    <row r="285" spans="2:4">
      <c r="B285" s="205">
        <v>45942</v>
      </c>
      <c r="C285" s="207">
        <v>17.399999999999999</v>
      </c>
      <c r="D285" s="207">
        <f t="shared" si="10"/>
        <v>17.969999999999995</v>
      </c>
    </row>
    <row r="286" spans="2:4">
      <c r="B286" s="211">
        <v>45943</v>
      </c>
      <c r="C286" s="207">
        <v>17.399999999999999</v>
      </c>
      <c r="D286" s="207">
        <f t="shared" si="10"/>
        <v>17.969999999999995</v>
      </c>
    </row>
    <row r="287" spans="2:4">
      <c r="B287" s="205">
        <v>45944</v>
      </c>
      <c r="C287" s="207">
        <v>17.399999999999999</v>
      </c>
      <c r="D287" s="207">
        <f t="shared" si="10"/>
        <v>17.969999999999995</v>
      </c>
    </row>
    <row r="288" spans="2:4">
      <c r="B288" s="211">
        <v>45945</v>
      </c>
      <c r="C288" s="207">
        <v>17.399999999999999</v>
      </c>
      <c r="D288" s="207">
        <f t="shared" si="10"/>
        <v>17.969999999999995</v>
      </c>
    </row>
    <row r="289" spans="2:4">
      <c r="B289" s="205">
        <v>45946</v>
      </c>
      <c r="C289" s="207">
        <v>17.399999999999999</v>
      </c>
      <c r="D289" s="207">
        <f>(C289+(15.97+2.4)-17.8)</f>
        <v>17.969999999999995</v>
      </c>
    </row>
    <row r="290" spans="2:4">
      <c r="B290" s="211">
        <v>45947</v>
      </c>
      <c r="C290" s="253">
        <f t="shared" ref="C290:C302" si="11">$C$304+2</f>
        <v>19.084955336938378</v>
      </c>
      <c r="D290" s="207">
        <f>14.75+2.4</f>
        <v>17.149999999999999</v>
      </c>
    </row>
    <row r="291" spans="2:4">
      <c r="B291" s="205">
        <v>45948</v>
      </c>
      <c r="C291" s="253">
        <f t="shared" si="11"/>
        <v>19.084955336938378</v>
      </c>
      <c r="D291" s="207">
        <f t="shared" ref="D291:D317" si="12">14.75+2.4</f>
        <v>17.149999999999999</v>
      </c>
    </row>
    <row r="292" spans="2:4">
      <c r="B292" s="211">
        <v>45949</v>
      </c>
      <c r="C292" s="253">
        <f t="shared" si="11"/>
        <v>19.084955336938378</v>
      </c>
      <c r="D292" s="207">
        <f t="shared" si="12"/>
        <v>17.149999999999999</v>
      </c>
    </row>
    <row r="293" spans="2:4">
      <c r="B293" s="205">
        <v>45950</v>
      </c>
      <c r="C293" s="253">
        <f t="shared" si="11"/>
        <v>19.084955336938378</v>
      </c>
      <c r="D293" s="207">
        <f t="shared" si="12"/>
        <v>17.149999999999999</v>
      </c>
    </row>
    <row r="294" spans="2:4">
      <c r="B294" s="211">
        <v>45951</v>
      </c>
      <c r="C294" s="253">
        <f t="shared" si="11"/>
        <v>19.084955336938378</v>
      </c>
      <c r="D294" s="207">
        <f t="shared" si="12"/>
        <v>17.149999999999999</v>
      </c>
    </row>
    <row r="295" spans="2:4">
      <c r="B295" s="205">
        <v>45952</v>
      </c>
      <c r="C295" s="253">
        <f t="shared" si="11"/>
        <v>19.084955336938378</v>
      </c>
      <c r="D295" s="207">
        <f t="shared" si="12"/>
        <v>17.149999999999999</v>
      </c>
    </row>
    <row r="296" spans="2:4">
      <c r="B296" s="211">
        <v>45953</v>
      </c>
      <c r="C296" s="253">
        <f t="shared" si="11"/>
        <v>19.084955336938378</v>
      </c>
      <c r="D296" s="207">
        <f t="shared" si="12"/>
        <v>17.149999999999999</v>
      </c>
    </row>
    <row r="297" spans="2:4">
      <c r="B297" s="205">
        <v>45954</v>
      </c>
      <c r="C297" s="253">
        <f t="shared" si="11"/>
        <v>19.084955336938378</v>
      </c>
      <c r="D297" s="207">
        <f t="shared" si="12"/>
        <v>17.149999999999999</v>
      </c>
    </row>
    <row r="298" spans="2:4">
      <c r="B298" s="211">
        <v>45955</v>
      </c>
      <c r="C298" s="253">
        <f t="shared" si="11"/>
        <v>19.084955336938378</v>
      </c>
      <c r="D298" s="207">
        <f t="shared" si="12"/>
        <v>17.149999999999999</v>
      </c>
    </row>
    <row r="299" spans="2:4">
      <c r="B299" s="205">
        <v>45956</v>
      </c>
      <c r="C299" s="253">
        <f t="shared" si="11"/>
        <v>19.084955336938378</v>
      </c>
      <c r="D299" s="207">
        <f t="shared" si="12"/>
        <v>17.149999999999999</v>
      </c>
    </row>
    <row r="300" spans="2:4">
      <c r="B300" s="211">
        <v>45957</v>
      </c>
      <c r="C300" s="253">
        <f t="shared" si="11"/>
        <v>19.084955336938378</v>
      </c>
      <c r="D300" s="207">
        <f t="shared" si="12"/>
        <v>17.149999999999999</v>
      </c>
    </row>
    <row r="301" spans="2:4">
      <c r="B301" s="205">
        <v>45958</v>
      </c>
      <c r="C301" s="253">
        <f t="shared" si="11"/>
        <v>19.084955336938378</v>
      </c>
      <c r="D301" s="207">
        <f t="shared" si="12"/>
        <v>17.149999999999999</v>
      </c>
    </row>
    <row r="302" spans="2:4">
      <c r="B302" s="211">
        <v>45959</v>
      </c>
      <c r="C302" s="253">
        <f t="shared" si="11"/>
        <v>19.084955336938378</v>
      </c>
      <c r="D302" s="207">
        <f t="shared" si="12"/>
        <v>17.149999999999999</v>
      </c>
    </row>
    <row r="303" spans="2:4">
      <c r="B303" s="205">
        <v>45960</v>
      </c>
      <c r="C303" s="253">
        <f>$C$304+2</f>
        <v>19.084955336938378</v>
      </c>
      <c r="D303" s="207">
        <f t="shared" si="12"/>
        <v>17.149999999999999</v>
      </c>
    </row>
    <row r="304" spans="2:4">
      <c r="B304" s="211">
        <v>45961</v>
      </c>
      <c r="C304" s="253">
        <f t="shared" ref="C304:C316" si="13">$C$318+0.28</f>
        <v>17.084955336938378</v>
      </c>
      <c r="D304" s="207">
        <f t="shared" si="12"/>
        <v>17.149999999999999</v>
      </c>
    </row>
    <row r="305" spans="2:4">
      <c r="B305" s="211">
        <v>45962</v>
      </c>
      <c r="C305" s="253">
        <f t="shared" si="13"/>
        <v>17.084955336938378</v>
      </c>
      <c r="D305" s="207">
        <f t="shared" si="12"/>
        <v>17.149999999999999</v>
      </c>
    </row>
    <row r="306" spans="2:4">
      <c r="B306" s="211">
        <v>45963</v>
      </c>
      <c r="C306" s="253">
        <f t="shared" si="13"/>
        <v>17.084955336938378</v>
      </c>
      <c r="D306" s="207">
        <f t="shared" si="12"/>
        <v>17.149999999999999</v>
      </c>
    </row>
    <row r="307" spans="2:4">
      <c r="B307" s="211">
        <v>45964</v>
      </c>
      <c r="C307" s="253">
        <f t="shared" si="13"/>
        <v>17.084955336938378</v>
      </c>
      <c r="D307" s="207">
        <f t="shared" si="12"/>
        <v>17.149999999999999</v>
      </c>
    </row>
    <row r="308" spans="2:4">
      <c r="B308" s="211">
        <v>45965</v>
      </c>
      <c r="C308" s="253">
        <f t="shared" si="13"/>
        <v>17.084955336938378</v>
      </c>
      <c r="D308" s="207">
        <f t="shared" si="12"/>
        <v>17.149999999999999</v>
      </c>
    </row>
    <row r="309" spans="2:4">
      <c r="B309" s="211">
        <v>45966</v>
      </c>
      <c r="C309" s="253">
        <f t="shared" si="13"/>
        <v>17.084955336938378</v>
      </c>
      <c r="D309" s="207">
        <f t="shared" si="12"/>
        <v>17.149999999999999</v>
      </c>
    </row>
    <row r="310" spans="2:4">
      <c r="B310" s="211">
        <v>45967</v>
      </c>
      <c r="C310" s="253">
        <f t="shared" si="13"/>
        <v>17.084955336938378</v>
      </c>
      <c r="D310" s="207">
        <f t="shared" si="12"/>
        <v>17.149999999999999</v>
      </c>
    </row>
    <row r="311" spans="2:4">
      <c r="B311" s="211">
        <v>45968</v>
      </c>
      <c r="C311" s="253">
        <f t="shared" si="13"/>
        <v>17.084955336938378</v>
      </c>
      <c r="D311" s="207">
        <f t="shared" si="12"/>
        <v>17.149999999999999</v>
      </c>
    </row>
    <row r="312" spans="2:4">
      <c r="B312" s="211">
        <v>45969</v>
      </c>
      <c r="C312" s="253">
        <f t="shared" si="13"/>
        <v>17.084955336938378</v>
      </c>
      <c r="D312" s="207">
        <f t="shared" si="12"/>
        <v>17.149999999999999</v>
      </c>
    </row>
    <row r="313" spans="2:4">
      <c r="B313" s="211">
        <v>45970</v>
      </c>
      <c r="C313" s="253">
        <f t="shared" si="13"/>
        <v>17.084955336938378</v>
      </c>
      <c r="D313" s="207">
        <f t="shared" si="12"/>
        <v>17.149999999999999</v>
      </c>
    </row>
    <row r="314" spans="2:4">
      <c r="B314" s="211">
        <v>45971</v>
      </c>
      <c r="C314" s="253">
        <f t="shared" si="13"/>
        <v>17.084955336938378</v>
      </c>
      <c r="D314" s="207">
        <f t="shared" si="12"/>
        <v>17.149999999999999</v>
      </c>
    </row>
    <row r="315" spans="2:4">
      <c r="B315" s="211">
        <v>45972</v>
      </c>
      <c r="C315" s="253">
        <f t="shared" si="13"/>
        <v>17.084955336938378</v>
      </c>
      <c r="D315" s="207">
        <f t="shared" si="12"/>
        <v>17.149999999999999</v>
      </c>
    </row>
    <row r="316" spans="2:4">
      <c r="B316" s="211">
        <v>45973</v>
      </c>
      <c r="C316" s="253">
        <f t="shared" si="13"/>
        <v>17.084955336938378</v>
      </c>
      <c r="D316" s="207">
        <f t="shared" si="12"/>
        <v>17.149999999999999</v>
      </c>
    </row>
    <row r="317" spans="2:4">
      <c r="B317" s="211">
        <v>45974</v>
      </c>
      <c r="C317" s="253">
        <f>$C$318+0.28</f>
        <v>17.084955336938378</v>
      </c>
      <c r="D317" s="207">
        <f t="shared" si="12"/>
        <v>17.149999999999999</v>
      </c>
    </row>
    <row r="318" spans="2:4">
      <c r="B318" s="211">
        <v>45975</v>
      </c>
      <c r="C318" s="253">
        <f>'F1 Historical'!E$237</f>
        <v>16.804955336938377</v>
      </c>
      <c r="D318" s="207">
        <f>14.39 + 2.4</f>
        <v>16.79</v>
      </c>
    </row>
    <row r="319" spans="2:4">
      <c r="B319" s="211">
        <v>45976</v>
      </c>
      <c r="C319" s="253">
        <f>'F1 Historical'!E$237</f>
        <v>16.804955336938377</v>
      </c>
      <c r="D319" s="207">
        <f t="shared" ref="D319:D334" si="14">14.39 + 2.4</f>
        <v>16.79</v>
      </c>
    </row>
    <row r="320" spans="2:4">
      <c r="B320" s="211">
        <v>45977</v>
      </c>
      <c r="C320" s="253">
        <f>'F1 Historical'!E$237</f>
        <v>16.804955336938377</v>
      </c>
      <c r="D320" s="207">
        <f t="shared" si="14"/>
        <v>16.79</v>
      </c>
    </row>
    <row r="321" spans="2:4">
      <c r="B321" s="211">
        <v>45978</v>
      </c>
      <c r="C321" s="253">
        <f>'F1 Historical'!E$237</f>
        <v>16.804955336938377</v>
      </c>
      <c r="D321" s="207">
        <f t="shared" si="14"/>
        <v>16.79</v>
      </c>
    </row>
    <row r="322" spans="2:4">
      <c r="B322" s="211">
        <v>45979</v>
      </c>
      <c r="C322" s="253">
        <f>'F1 Historical'!E$237</f>
        <v>16.804955336938377</v>
      </c>
      <c r="D322" s="207">
        <f t="shared" si="14"/>
        <v>16.79</v>
      </c>
    </row>
    <row r="323" spans="2:4">
      <c r="B323" s="211">
        <v>45980</v>
      </c>
      <c r="C323" s="253">
        <f>'F1 Historical'!E$237</f>
        <v>16.804955336938377</v>
      </c>
      <c r="D323" s="207">
        <f t="shared" si="14"/>
        <v>16.79</v>
      </c>
    </row>
    <row r="324" spans="2:4">
      <c r="B324" s="211">
        <v>45981</v>
      </c>
      <c r="C324" s="253">
        <f>'F1 Historical'!E$237</f>
        <v>16.804955336938377</v>
      </c>
      <c r="D324" s="207">
        <f t="shared" si="14"/>
        <v>16.79</v>
      </c>
    </row>
    <row r="325" spans="2:4">
      <c r="B325" s="211">
        <v>45982</v>
      </c>
      <c r="C325" s="253">
        <f>'F1 Historical'!E$237</f>
        <v>16.804955336938377</v>
      </c>
      <c r="D325" s="207">
        <f t="shared" si="14"/>
        <v>16.79</v>
      </c>
    </row>
    <row r="326" spans="2:4">
      <c r="B326" s="211">
        <v>45983</v>
      </c>
      <c r="C326" s="253">
        <f>'F1 Historical'!E$237</f>
        <v>16.804955336938377</v>
      </c>
      <c r="D326" s="207">
        <f t="shared" si="14"/>
        <v>16.79</v>
      </c>
    </row>
    <row r="327" spans="2:4">
      <c r="B327" s="211">
        <v>45984</v>
      </c>
      <c r="C327" s="253">
        <f>'F1 Historical'!E$237</f>
        <v>16.804955336938377</v>
      </c>
      <c r="D327" s="207">
        <f t="shared" si="14"/>
        <v>16.79</v>
      </c>
    </row>
    <row r="328" spans="2:4">
      <c r="B328" s="211">
        <v>45985</v>
      </c>
      <c r="C328" s="253">
        <f>'F1 Historical'!E$237</f>
        <v>16.804955336938377</v>
      </c>
      <c r="D328" s="207">
        <f t="shared" si="14"/>
        <v>16.79</v>
      </c>
    </row>
    <row r="329" spans="2:4">
      <c r="B329" s="211">
        <v>45986</v>
      </c>
      <c r="C329" s="253">
        <f>'F1 Historical'!E$237</f>
        <v>16.804955336938377</v>
      </c>
      <c r="D329" s="207">
        <f t="shared" si="14"/>
        <v>16.79</v>
      </c>
    </row>
    <row r="330" spans="2:4">
      <c r="B330" s="211">
        <v>45987</v>
      </c>
      <c r="C330" s="253">
        <f>'F1 Historical'!E$237</f>
        <v>16.804955336938377</v>
      </c>
      <c r="D330" s="207">
        <f t="shared" si="14"/>
        <v>16.79</v>
      </c>
    </row>
    <row r="331" spans="2:4">
      <c r="B331" s="211">
        <v>45988</v>
      </c>
      <c r="C331" s="253">
        <f>'F1 Historical'!E$237</f>
        <v>16.804955336938377</v>
      </c>
      <c r="D331" s="207">
        <f t="shared" si="14"/>
        <v>16.79</v>
      </c>
    </row>
    <row r="332" spans="2:4">
      <c r="B332" s="211">
        <v>45989</v>
      </c>
      <c r="C332" s="253">
        <f>'F1 Historical'!E$237</f>
        <v>16.804955336938377</v>
      </c>
      <c r="D332" s="207">
        <f t="shared" si="14"/>
        <v>16.79</v>
      </c>
    </row>
    <row r="333" spans="2:4">
      <c r="B333" s="211">
        <v>45990</v>
      </c>
      <c r="C333" s="253">
        <f>'F1 Historical'!E$237</f>
        <v>16.804955336938377</v>
      </c>
      <c r="D333" s="207">
        <f t="shared" si="14"/>
        <v>16.79</v>
      </c>
    </row>
    <row r="334" spans="2:4">
      <c r="B334" s="211">
        <v>45991</v>
      </c>
      <c r="C334" s="253">
        <f>'F1 Historical'!E$237</f>
        <v>16.804955336938377</v>
      </c>
      <c r="D334" s="207">
        <f t="shared" si="14"/>
        <v>16.79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F46AB-4FC8-481E-B7EB-752CC747F916}">
  <sheetPr codeName="Sheet11"/>
  <dimension ref="A1:BK92"/>
  <sheetViews>
    <sheetView topLeftCell="C7" zoomScale="80" zoomScaleNormal="80" workbookViewId="0">
      <selection activeCell="M56" sqref="M56"/>
    </sheetView>
  </sheetViews>
  <sheetFormatPr defaultRowHeight="12.6"/>
  <cols>
    <col min="1" max="1" width="10.85546875" customWidth="1"/>
    <col min="27" max="27" width="11.42578125" bestFit="1" customWidth="1"/>
    <col min="28" max="28" width="12.42578125" bestFit="1" customWidth="1"/>
    <col min="29" max="32" width="11.42578125" customWidth="1"/>
  </cols>
  <sheetData>
    <row r="1" spans="1:63" ht="13.5" thickBot="1">
      <c r="G1" s="363" t="s">
        <v>309</v>
      </c>
      <c r="H1" s="364"/>
      <c r="I1" s="364"/>
      <c r="J1" s="364"/>
      <c r="K1" s="364"/>
      <c r="L1" s="364"/>
      <c r="M1" s="364"/>
      <c r="N1" s="365"/>
      <c r="P1" s="229" t="s">
        <v>310</v>
      </c>
      <c r="Q1" s="230"/>
      <c r="T1" s="229" t="s">
        <v>311</v>
      </c>
      <c r="U1" s="235"/>
      <c r="V1" s="235"/>
      <c r="W1" s="230"/>
    </row>
    <row r="2" spans="1:63" ht="12.95">
      <c r="A2" s="154"/>
      <c r="B2" s="155" t="s">
        <v>312</v>
      </c>
      <c r="G2" s="366"/>
      <c r="H2" s="367" t="s">
        <v>313</v>
      </c>
      <c r="I2" s="367" t="s">
        <v>314</v>
      </c>
      <c r="J2" s="367" t="s">
        <v>315</v>
      </c>
      <c r="K2" s="367" t="s">
        <v>316</v>
      </c>
      <c r="L2" s="367" t="s">
        <v>317</v>
      </c>
      <c r="M2" s="367" t="s">
        <v>318</v>
      </c>
      <c r="N2" s="368" t="s">
        <v>319</v>
      </c>
      <c r="O2" s="97"/>
      <c r="P2" s="383" t="s">
        <v>318</v>
      </c>
      <c r="Q2" s="282" t="s">
        <v>319</v>
      </c>
      <c r="R2" t="s">
        <v>320</v>
      </c>
      <c r="T2" s="388" t="s">
        <v>313</v>
      </c>
      <c r="U2" s="25" t="s">
        <v>314</v>
      </c>
      <c r="V2" s="25" t="s">
        <v>315</v>
      </c>
      <c r="W2" s="270" t="s">
        <v>316</v>
      </c>
      <c r="Y2" s="119" t="s">
        <v>321</v>
      </c>
      <c r="AF2" t="s">
        <v>322</v>
      </c>
      <c r="AI2" s="119" t="s">
        <v>323</v>
      </c>
    </row>
    <row r="3" spans="1:63">
      <c r="A3" s="156">
        <v>45474</v>
      </c>
      <c r="B3" s="157">
        <f t="shared" ref="B3:B8" si="0">100*(T3/H3-1)</f>
        <v>0</v>
      </c>
      <c r="E3" s="94"/>
      <c r="G3" s="369">
        <v>45474</v>
      </c>
      <c r="H3" s="370">
        <v>20707.943359375</v>
      </c>
      <c r="I3" s="370">
        <v>139.0697021484375</v>
      </c>
      <c r="J3" s="371">
        <v>132.99978637695313</v>
      </c>
      <c r="K3" s="371">
        <v>4.174835205078125</v>
      </c>
      <c r="L3" s="372">
        <v>5.2648801803588867</v>
      </c>
      <c r="M3" s="373">
        <v>17.116506576538086</v>
      </c>
      <c r="N3" s="374">
        <v>2.9500000476837158</v>
      </c>
      <c r="O3" s="342"/>
      <c r="P3" s="384">
        <f>M3</f>
        <v>17.116506576538086</v>
      </c>
      <c r="Q3" s="385">
        <f>N3</f>
        <v>2.9500000476837158</v>
      </c>
      <c r="T3" s="443">
        <v>20707.943359375</v>
      </c>
      <c r="U3" s="443">
        <v>139.06971740722656</v>
      </c>
      <c r="V3" s="443">
        <v>132.99984741210938</v>
      </c>
      <c r="W3" s="443">
        <v>4.174781322479248</v>
      </c>
      <c r="X3" s="93"/>
      <c r="Y3">
        <f>H3*(1+B3/100)</f>
        <v>20707.943359375</v>
      </c>
      <c r="AB3" s="60"/>
      <c r="AC3" s="60"/>
      <c r="AD3" s="60"/>
      <c r="AE3" s="60"/>
      <c r="AF3" s="94"/>
      <c r="AW3" s="389"/>
      <c r="AX3" s="389"/>
      <c r="BE3" s="389"/>
      <c r="BF3" s="389"/>
      <c r="BI3" s="390"/>
      <c r="BJ3" s="390"/>
      <c r="BK3" s="60"/>
    </row>
    <row r="4" spans="1:63">
      <c r="A4" s="156">
        <v>45566</v>
      </c>
      <c r="B4" s="157">
        <f t="shared" si="0"/>
        <v>-7.5101673580046935E-5</v>
      </c>
      <c r="E4" s="94"/>
      <c r="G4" s="369">
        <v>45566</v>
      </c>
      <c r="H4" s="370">
        <v>20805.12890625</v>
      </c>
      <c r="I4" s="370">
        <v>139.65000915527344</v>
      </c>
      <c r="J4" s="371">
        <v>133.35044860839844</v>
      </c>
      <c r="K4" s="371">
        <v>4.1929054260253906</v>
      </c>
      <c r="L4" s="372">
        <v>4.6590728759765625</v>
      </c>
      <c r="M4" s="373">
        <v>17.010202407836914</v>
      </c>
      <c r="N4" s="374">
        <v>2.9500000476837158</v>
      </c>
      <c r="O4" s="348"/>
      <c r="P4" s="384">
        <f>M4</f>
        <v>17.010202407836914</v>
      </c>
      <c r="Q4" s="385">
        <f>N4</f>
        <v>2.9500000476837158</v>
      </c>
      <c r="T4" s="444">
        <v>20805.11328125</v>
      </c>
      <c r="U4" s="444">
        <v>139.65010070800781</v>
      </c>
      <c r="V4" s="444">
        <v>133.35057067871094</v>
      </c>
      <c r="W4" s="444">
        <v>4.1927986145019531</v>
      </c>
      <c r="X4" s="93"/>
      <c r="Y4">
        <f t="shared" ref="Y4:Y48" si="1">H4*(1+B4/100)</f>
        <v>20805.11328125</v>
      </c>
      <c r="AB4" s="60"/>
      <c r="AC4" s="60"/>
      <c r="AD4" s="60"/>
      <c r="AE4" s="60"/>
      <c r="AF4" s="94"/>
      <c r="AO4" s="391"/>
      <c r="AP4" s="391"/>
      <c r="AQ4" s="391"/>
      <c r="AR4" s="391"/>
      <c r="AS4" s="391"/>
      <c r="AW4" s="392"/>
      <c r="AX4" s="392"/>
      <c r="BE4" s="392"/>
      <c r="BF4" s="392"/>
      <c r="BI4" s="393"/>
      <c r="BJ4" s="393"/>
      <c r="BK4" s="60"/>
    </row>
    <row r="5" spans="1:63">
      <c r="A5" s="156">
        <v>45658</v>
      </c>
      <c r="B5" s="157">
        <f t="shared" si="0"/>
        <v>-6.8283372821276167E-3</v>
      </c>
      <c r="E5" s="94"/>
      <c r="G5" s="369">
        <v>45658</v>
      </c>
      <c r="H5" s="370">
        <v>20908.9609375</v>
      </c>
      <c r="I5" s="370">
        <v>140.28294372558594</v>
      </c>
      <c r="J5" s="371">
        <v>133.50483703613281</v>
      </c>
      <c r="K5" s="371">
        <v>4.2275867462158203</v>
      </c>
      <c r="L5" s="372">
        <v>4.3100404739379883</v>
      </c>
      <c r="M5" s="373">
        <v>17.668912887573242</v>
      </c>
      <c r="N5" s="374">
        <v>3</v>
      </c>
      <c r="O5" s="342"/>
      <c r="P5" s="384">
        <f>VIX!B9</f>
        <v>18.50734375</v>
      </c>
      <c r="Q5" s="385">
        <f>N5</f>
        <v>3</v>
      </c>
      <c r="T5" s="443">
        <v>20907.533203125</v>
      </c>
      <c r="U5" s="443">
        <v>140.28335571289063</v>
      </c>
      <c r="V5" s="443">
        <v>133.50205993652344</v>
      </c>
      <c r="W5" s="443">
        <v>4.2289948463439941</v>
      </c>
      <c r="X5" s="93"/>
      <c r="Y5">
        <f t="shared" si="1"/>
        <v>20907.533203125</v>
      </c>
      <c r="AB5" s="60"/>
      <c r="AC5" s="60"/>
      <c r="AD5" s="60"/>
      <c r="AE5" s="60"/>
      <c r="AF5" s="94"/>
      <c r="AO5" s="394"/>
      <c r="AP5" s="394"/>
      <c r="AQ5" s="391"/>
      <c r="AR5" s="391"/>
      <c r="AS5" s="391"/>
      <c r="AW5" s="389"/>
      <c r="AX5" s="389"/>
      <c r="BE5" s="389"/>
      <c r="BF5" s="389"/>
      <c r="BI5" s="390"/>
      <c r="BJ5" s="390"/>
      <c r="BK5" s="60"/>
    </row>
    <row r="6" spans="1:63">
      <c r="A6" s="156">
        <v>45748</v>
      </c>
      <c r="B6" s="157">
        <f t="shared" si="0"/>
        <v>-0.2485981662921799</v>
      </c>
      <c r="E6" s="94"/>
      <c r="G6" s="369">
        <v>45748</v>
      </c>
      <c r="H6" s="370">
        <v>21007.640625</v>
      </c>
      <c r="I6" s="370">
        <v>141.04765319824219</v>
      </c>
      <c r="J6" s="371">
        <v>133.58798217773438</v>
      </c>
      <c r="K6" s="371">
        <v>4.2792401313781738</v>
      </c>
      <c r="L6" s="372">
        <v>4.0673336982727051</v>
      </c>
      <c r="M6" s="373">
        <v>17.809577941894531</v>
      </c>
      <c r="N6" s="374">
        <v>3</v>
      </c>
      <c r="O6" s="342"/>
      <c r="P6" s="384">
        <f>VIX!B10</f>
        <v>23.687153846153837</v>
      </c>
      <c r="Q6" s="385">
        <f t="shared" ref="Q6:Q48" si="2">N6+R6</f>
        <v>8.4809501891469612</v>
      </c>
      <c r="R6">
        <v>5.4809501891469612</v>
      </c>
      <c r="T6" s="443">
        <v>20955.416015625</v>
      </c>
      <c r="U6" s="443">
        <v>141.89773559570313</v>
      </c>
      <c r="V6" s="443">
        <v>133.4674072265625</v>
      </c>
      <c r="W6" s="443">
        <v>4.34515380859375</v>
      </c>
      <c r="X6" s="93"/>
      <c r="Y6">
        <f t="shared" si="1"/>
        <v>20955.416015625</v>
      </c>
      <c r="AB6" s="60"/>
      <c r="AC6" s="60"/>
      <c r="AD6" s="60"/>
      <c r="AE6" s="60"/>
      <c r="AF6" s="94"/>
      <c r="AO6" s="391"/>
      <c r="AP6" s="391"/>
      <c r="AQ6" s="391"/>
      <c r="AR6" s="391"/>
      <c r="AS6" s="391"/>
      <c r="AW6" s="389"/>
      <c r="AX6" s="389"/>
      <c r="BE6" s="389"/>
      <c r="BF6" s="389"/>
      <c r="BI6" s="390"/>
      <c r="BJ6" s="390"/>
      <c r="BK6" s="60"/>
    </row>
    <row r="7" spans="1:63">
      <c r="A7" s="156">
        <v>45839</v>
      </c>
      <c r="B7" s="157">
        <f t="shared" si="0"/>
        <v>-0.49258311779023511</v>
      </c>
      <c r="E7" s="94"/>
      <c r="G7" s="369">
        <v>45839</v>
      </c>
      <c r="H7" s="370">
        <v>21103.275390625</v>
      </c>
      <c r="I7" s="370">
        <v>141.88029479980469</v>
      </c>
      <c r="J7" s="371">
        <v>133.62071228027344</v>
      </c>
      <c r="K7" s="371">
        <v>4.3288960456848145</v>
      </c>
      <c r="L7" s="372">
        <v>3.6477868556976318</v>
      </c>
      <c r="M7" s="373">
        <v>17.771753311157227</v>
      </c>
      <c r="N7" s="374">
        <v>3</v>
      </c>
      <c r="O7" s="342"/>
      <c r="P7" s="384"/>
      <c r="Q7" s="385">
        <f>N7+R7</f>
        <v>17.386955336938378</v>
      </c>
      <c r="R7">
        <f>ricco_price_effects_and_etr!$D$24*100</f>
        <v>14.386955336938378</v>
      </c>
      <c r="T7" s="443">
        <v>20999.32421875</v>
      </c>
      <c r="U7" s="443">
        <v>144.13008117675781</v>
      </c>
      <c r="V7" s="443">
        <v>133.28904724121094</v>
      </c>
      <c r="W7" s="443">
        <v>4.5047025680541992</v>
      </c>
      <c r="X7" s="93"/>
      <c r="Y7">
        <f t="shared" si="1"/>
        <v>20999.32421875</v>
      </c>
      <c r="AB7" s="60"/>
      <c r="AC7" s="60"/>
      <c r="AD7" s="60"/>
      <c r="AE7" s="60"/>
      <c r="AF7" s="94"/>
      <c r="AI7">
        <f>AVERAGE(B4:B7)-AI3</f>
        <v>-0.18702118075953067</v>
      </c>
      <c r="AO7" s="391"/>
      <c r="AP7" s="391"/>
      <c r="AQ7" s="391"/>
      <c r="AR7" s="391"/>
      <c r="AS7" s="391"/>
      <c r="AW7" s="389"/>
      <c r="AX7" s="389"/>
      <c r="BE7" s="389"/>
      <c r="BF7" s="389"/>
      <c r="BI7" s="390"/>
      <c r="BJ7" s="390"/>
      <c r="BK7" s="60"/>
    </row>
    <row r="8" spans="1:63">
      <c r="A8" s="156">
        <v>45931</v>
      </c>
      <c r="B8" s="157">
        <f t="shared" si="0"/>
        <v>-0.48826944787518922</v>
      </c>
      <c r="E8" s="94"/>
      <c r="G8" s="369">
        <v>45931</v>
      </c>
      <c r="H8" s="370">
        <v>21203.3125</v>
      </c>
      <c r="I8" s="370">
        <v>142.74867248535156</v>
      </c>
      <c r="J8" s="371">
        <v>133.65066528320313</v>
      </c>
      <c r="K8" s="371">
        <v>4.3751745223999023</v>
      </c>
      <c r="L8" s="372">
        <v>3.1304893493652344</v>
      </c>
      <c r="M8" s="373">
        <v>17.748319625854492</v>
      </c>
      <c r="N8" s="374">
        <v>3</v>
      </c>
      <c r="O8" s="348"/>
      <c r="P8" s="384"/>
      <c r="Q8" s="385">
        <f t="shared" si="2"/>
        <v>17.182865232116288</v>
      </c>
      <c r="R8">
        <f>R7+($R$19-$R$7)/12</f>
        <v>14.182865232116288</v>
      </c>
      <c r="T8" s="444">
        <v>21099.783203125</v>
      </c>
      <c r="U8" s="444">
        <v>144.98356628417969</v>
      </c>
      <c r="V8" s="444">
        <v>133.18769836425781</v>
      </c>
      <c r="W8" s="444">
        <v>4.6509156227111816</v>
      </c>
      <c r="X8" s="93"/>
      <c r="Y8">
        <f t="shared" si="1"/>
        <v>21099.783203125</v>
      </c>
      <c r="AB8" s="60"/>
      <c r="AC8" s="60"/>
      <c r="AD8" s="60"/>
      <c r="AE8" s="60"/>
      <c r="AF8" s="94">
        <f t="shared" ref="AF8:AF17" si="3">100*((Y8/Y4)-(H8/H4))</f>
        <v>-0.49753813609727526</v>
      </c>
      <c r="AG8" s="22"/>
      <c r="AO8" s="391"/>
      <c r="AP8" s="391"/>
      <c r="AQ8" s="391"/>
      <c r="AR8" s="391"/>
      <c r="AS8" s="391"/>
      <c r="AW8" s="392"/>
      <c r="AX8" s="392"/>
      <c r="BE8" s="392"/>
      <c r="BF8" s="392"/>
      <c r="BI8" s="393"/>
      <c r="BJ8" s="393"/>
      <c r="BK8" s="60"/>
    </row>
    <row r="9" spans="1:63">
      <c r="A9" s="156">
        <v>46023</v>
      </c>
      <c r="B9" s="157">
        <f>MIN(100*(T9/H9-1),'F5 Foreign GDP'!B$2)</f>
        <v>-0.81451329264128347</v>
      </c>
      <c r="E9" s="94"/>
      <c r="G9" s="369">
        <v>46023</v>
      </c>
      <c r="H9" s="370">
        <v>21302.0234375</v>
      </c>
      <c r="I9" s="370">
        <v>143.77079772949219</v>
      </c>
      <c r="J9" s="371">
        <v>133.68601989746094</v>
      </c>
      <c r="K9" s="371">
        <v>4.420567512512207</v>
      </c>
      <c r="L9" s="372">
        <v>2.6881453990936279</v>
      </c>
      <c r="M9" s="373">
        <v>17.615402221679688</v>
      </c>
      <c r="N9" s="374">
        <v>3.0999999046325684</v>
      </c>
      <c r="O9" s="342"/>
      <c r="P9" s="384"/>
      <c r="Q9" s="385">
        <f t="shared" si="2"/>
        <v>17.078775031926767</v>
      </c>
      <c r="R9">
        <f t="shared" ref="R9:R18" si="4">R8+($R$19-$R$7)/12</f>
        <v>13.978775127294199</v>
      </c>
      <c r="T9" s="443">
        <v>21128.515625</v>
      </c>
      <c r="U9" s="443">
        <v>145.94404602050781</v>
      </c>
      <c r="V9" s="443">
        <v>133.01622009277344</v>
      </c>
      <c r="W9" s="443">
        <v>4.8602490425109863</v>
      </c>
      <c r="X9" s="93"/>
      <c r="Y9">
        <f t="shared" si="1"/>
        <v>21128.515625</v>
      </c>
      <c r="AB9" s="60"/>
      <c r="AC9" s="60"/>
      <c r="AD9" s="60"/>
      <c r="AE9" s="60"/>
      <c r="AF9" s="94">
        <f t="shared" si="3"/>
        <v>-0.82292462157158575</v>
      </c>
      <c r="AO9" s="394"/>
      <c r="AP9" s="394"/>
      <c r="AQ9" s="391"/>
      <c r="AR9" s="391"/>
      <c r="AS9" s="391"/>
      <c r="AW9" s="389"/>
      <c r="AX9" s="389"/>
      <c r="BE9" s="389"/>
      <c r="BF9" s="389"/>
      <c r="BI9" s="390"/>
      <c r="BJ9" s="390"/>
      <c r="BK9" s="60"/>
    </row>
    <row r="10" spans="1:63">
      <c r="A10" s="156">
        <v>46113</v>
      </c>
      <c r="B10" s="157">
        <f>MIN(100*(T10/H10-1),'F5 Foreign GDP'!B$2)</f>
        <v>-0.9713467809991827</v>
      </c>
      <c r="E10" s="94"/>
      <c r="G10" s="369">
        <v>46113</v>
      </c>
      <c r="H10" s="370">
        <v>21392.052734375</v>
      </c>
      <c r="I10" s="370">
        <v>144.479248046875</v>
      </c>
      <c r="J10" s="371">
        <v>133.71315002441406</v>
      </c>
      <c r="K10" s="371">
        <v>4.4670042991638184</v>
      </c>
      <c r="L10" s="372">
        <v>2.6198172569274902</v>
      </c>
      <c r="M10" s="373">
        <v>17.369510650634766</v>
      </c>
      <c r="N10" s="374">
        <v>3.0999999046325684</v>
      </c>
      <c r="O10" s="342"/>
      <c r="P10" s="384"/>
      <c r="Q10" s="385">
        <f t="shared" si="2"/>
        <v>16.874684927104678</v>
      </c>
      <c r="R10">
        <f t="shared" si="4"/>
        <v>13.774685022472109</v>
      </c>
      <c r="T10" s="443">
        <v>21184.26171875</v>
      </c>
      <c r="U10" s="443">
        <v>146.57810974121094</v>
      </c>
      <c r="V10" s="443">
        <v>132.77256774902344</v>
      </c>
      <c r="W10" s="443">
        <v>5.021430492401123</v>
      </c>
      <c r="X10" s="93"/>
      <c r="Y10">
        <f t="shared" si="1"/>
        <v>21184.26171875</v>
      </c>
      <c r="AB10" s="60"/>
      <c r="AC10" s="60"/>
      <c r="AD10" s="60"/>
      <c r="AE10" s="60"/>
      <c r="AF10" s="94">
        <f t="shared" si="3"/>
        <v>-0.73780813838200121</v>
      </c>
      <c r="AO10" s="391"/>
      <c r="AP10" s="391"/>
      <c r="AQ10" s="391"/>
      <c r="AR10" s="391"/>
      <c r="AS10" s="391"/>
      <c r="AW10" s="389"/>
      <c r="AX10" s="389"/>
      <c r="BE10" s="389"/>
      <c r="BF10" s="389"/>
      <c r="BI10" s="390"/>
      <c r="BJ10" s="390"/>
      <c r="BK10" s="60"/>
    </row>
    <row r="11" spans="1:63">
      <c r="A11" s="156">
        <v>46204</v>
      </c>
      <c r="B11" s="157">
        <f>MIN(100*(T11/H11-1),'F5 Foreign GDP'!B$2)</f>
        <v>-0.97616058057565791</v>
      </c>
      <c r="E11" s="94"/>
      <c r="G11" s="369">
        <v>46204</v>
      </c>
      <c r="H11" s="370">
        <v>21473.837890625</v>
      </c>
      <c r="I11" s="370">
        <v>145.3170166015625</v>
      </c>
      <c r="J11" s="371">
        <v>133.69392395019531</v>
      </c>
      <c r="K11" s="371">
        <v>4.4973759651184082</v>
      </c>
      <c r="L11" s="372">
        <v>2.6201097965240479</v>
      </c>
      <c r="M11" s="373">
        <v>17.119178771972656</v>
      </c>
      <c r="N11" s="374">
        <v>3.0999999046325684</v>
      </c>
      <c r="O11" s="342"/>
      <c r="P11" s="384"/>
      <c r="Q11" s="385">
        <f t="shared" si="2"/>
        <v>16.670594822282588</v>
      </c>
      <c r="R11">
        <f t="shared" si="4"/>
        <v>13.57059491765002</v>
      </c>
      <c r="T11" s="443">
        <v>21264.21875</v>
      </c>
      <c r="U11" s="443">
        <v>147.34629821777344</v>
      </c>
      <c r="V11" s="443">
        <v>132.5399169921875</v>
      </c>
      <c r="W11" s="443">
        <v>5.1078157424926758</v>
      </c>
      <c r="X11" s="93"/>
      <c r="Y11">
        <f t="shared" si="1"/>
        <v>21264.21875</v>
      </c>
      <c r="AB11" s="60"/>
      <c r="AC11" s="60"/>
      <c r="AD11" s="60"/>
      <c r="AE11" s="60"/>
      <c r="AF11" s="94">
        <f t="shared" si="3"/>
        <v>-0.49450467716203317</v>
      </c>
      <c r="AI11">
        <f>AVERAGE(B8:B11)-AI7</f>
        <v>-0.62555134476329766</v>
      </c>
      <c r="AO11" s="391"/>
      <c r="AP11" s="391"/>
      <c r="AQ11" s="391"/>
      <c r="AR11" s="391"/>
      <c r="AS11" s="391"/>
      <c r="AW11" s="389"/>
      <c r="AX11" s="389"/>
      <c r="BE11" s="389"/>
      <c r="BF11" s="389"/>
      <c r="BI11" s="390"/>
      <c r="BJ11" s="390"/>
      <c r="BK11" s="60"/>
    </row>
    <row r="12" spans="1:63">
      <c r="A12" s="156">
        <v>46296</v>
      </c>
      <c r="B12" s="157">
        <f>MIN(100*(T12/H12-1),'F5 Foreign GDP'!B$2)</f>
        <v>-0.86583632024365142</v>
      </c>
      <c r="E12" s="94"/>
      <c r="G12" s="369">
        <v>46296</v>
      </c>
      <c r="H12" s="370">
        <v>21558.365234375</v>
      </c>
      <c r="I12" s="370">
        <v>146.06124877929688</v>
      </c>
      <c r="J12" s="371">
        <v>133.66604614257813</v>
      </c>
      <c r="K12" s="371">
        <v>4.5267491340637207</v>
      </c>
      <c r="L12" s="372">
        <v>2.6246120929718018</v>
      </c>
      <c r="M12" s="373">
        <v>16.964090347290039</v>
      </c>
      <c r="N12" s="374">
        <v>3.0999999046325684</v>
      </c>
      <c r="O12" s="348"/>
      <c r="P12" s="384"/>
      <c r="Q12" s="385">
        <f t="shared" si="2"/>
        <v>16.466504717460499</v>
      </c>
      <c r="R12">
        <f t="shared" si="4"/>
        <v>13.36650481282793</v>
      </c>
      <c r="T12" s="444">
        <v>21371.705078125</v>
      </c>
      <c r="U12" s="444">
        <v>148.03570556640625</v>
      </c>
      <c r="V12" s="444">
        <v>132.43597412109375</v>
      </c>
      <c r="W12" s="444">
        <v>5.1427440643310547</v>
      </c>
      <c r="X12" s="93"/>
      <c r="Y12">
        <f t="shared" si="1"/>
        <v>21371.705078125</v>
      </c>
      <c r="AB12" s="60"/>
      <c r="AC12" s="60"/>
      <c r="AD12" s="60"/>
      <c r="AE12" s="60"/>
      <c r="AF12" s="94">
        <f t="shared" si="3"/>
        <v>-0.38577289901797762</v>
      </c>
      <c r="AO12" s="391"/>
      <c r="AP12" s="391"/>
      <c r="AQ12" s="391"/>
      <c r="AR12" s="391"/>
      <c r="AS12" s="391"/>
      <c r="AW12" s="392"/>
      <c r="AX12" s="392"/>
      <c r="BE12" s="392"/>
      <c r="BF12" s="392"/>
      <c r="BI12" s="393"/>
      <c r="BJ12" s="393"/>
      <c r="BK12" s="60"/>
    </row>
    <row r="13" spans="1:63">
      <c r="A13" s="156">
        <v>46388</v>
      </c>
      <c r="B13" s="157">
        <f>MIN(100*(T13/H13-1),'F5 Foreign GDP'!B$2)</f>
        <v>-0.75948010347983708</v>
      </c>
      <c r="E13" s="94"/>
      <c r="G13" s="369">
        <v>46388</v>
      </c>
      <c r="H13" s="370">
        <v>21648.23828125</v>
      </c>
      <c r="I13" s="370">
        <v>146.77543640136719</v>
      </c>
      <c r="J13" s="371">
        <v>133.63922119140625</v>
      </c>
      <c r="K13" s="371">
        <v>4.5589699745178223</v>
      </c>
      <c r="L13" s="372">
        <v>2.6223328113555908</v>
      </c>
      <c r="M13" s="373">
        <v>16.868007659912109</v>
      </c>
      <c r="N13" s="374">
        <v>3.0999999046325684</v>
      </c>
      <c r="O13" s="342"/>
      <c r="P13" s="384"/>
      <c r="Q13" s="385">
        <f t="shared" si="2"/>
        <v>16.262414612638409</v>
      </c>
      <c r="R13">
        <f t="shared" si="4"/>
        <v>13.162414708005841</v>
      </c>
      <c r="T13" s="443">
        <v>21483.82421875</v>
      </c>
      <c r="U13" s="443">
        <v>148.708740234375</v>
      </c>
      <c r="V13" s="443">
        <v>132.44337463378906</v>
      </c>
      <c r="W13" s="443">
        <v>5.1417899131774902</v>
      </c>
      <c r="X13" s="93"/>
      <c r="Y13">
        <f t="shared" si="1"/>
        <v>21483.82421875</v>
      </c>
      <c r="AB13" s="60"/>
      <c r="AC13" s="60"/>
      <c r="AD13" s="60"/>
      <c r="AE13" s="60"/>
      <c r="AF13" s="94">
        <f t="shared" si="3"/>
        <v>5.6386904479688305E-2</v>
      </c>
      <c r="AO13" s="394"/>
      <c r="AP13" s="394"/>
      <c r="AQ13" s="391"/>
      <c r="AR13" s="391"/>
      <c r="AS13" s="391"/>
      <c r="AW13" s="389"/>
      <c r="AX13" s="389"/>
      <c r="BE13" s="389"/>
      <c r="BF13" s="389"/>
      <c r="BI13" s="390"/>
      <c r="BJ13" s="390"/>
      <c r="BK13" s="60"/>
    </row>
    <row r="14" spans="1:63">
      <c r="A14" s="156">
        <v>46478</v>
      </c>
      <c r="B14" s="157">
        <f>MIN(100*(T14/H14-1),'F5 Foreign GDP'!B$2)</f>
        <v>-0.6852504620132982</v>
      </c>
      <c r="E14" s="94"/>
      <c r="G14" s="369">
        <v>46478</v>
      </c>
      <c r="H14" s="370">
        <v>21738.458984375</v>
      </c>
      <c r="I14" s="370">
        <v>147.4886474609375</v>
      </c>
      <c r="J14" s="371">
        <v>133.6253662109375</v>
      </c>
      <c r="K14" s="371">
        <v>4.5879778861999512</v>
      </c>
      <c r="L14" s="372">
        <v>2.6235096454620361</v>
      </c>
      <c r="M14" s="373">
        <v>16.808481216430664</v>
      </c>
      <c r="N14" s="374">
        <v>3.0999999046325684</v>
      </c>
      <c r="O14" s="342"/>
      <c r="P14" s="384"/>
      <c r="Q14" s="385">
        <f t="shared" si="2"/>
        <v>16.058324507816319</v>
      </c>
      <c r="R14">
        <f t="shared" si="4"/>
        <v>12.958324603183751</v>
      </c>
      <c r="T14" s="443">
        <v>21589.49609375</v>
      </c>
      <c r="U14" s="443">
        <v>149.38142395019531</v>
      </c>
      <c r="V14" s="443">
        <v>132.52227783203125</v>
      </c>
      <c r="W14" s="443">
        <v>5.1167917251586914</v>
      </c>
      <c r="X14" s="93"/>
      <c r="Y14">
        <f t="shared" si="1"/>
        <v>21589.49609375</v>
      </c>
      <c r="AB14" s="60"/>
      <c r="AC14" s="60"/>
      <c r="AD14" s="60"/>
      <c r="AE14" s="60"/>
      <c r="AF14" s="94">
        <f t="shared" si="3"/>
        <v>0.29358082799511021</v>
      </c>
      <c r="AO14" s="391"/>
      <c r="AP14" s="391"/>
      <c r="AQ14" s="391"/>
      <c r="AR14" s="391"/>
      <c r="AS14" s="391"/>
      <c r="AW14" s="389"/>
      <c r="AX14" s="389"/>
      <c r="BE14" s="389"/>
      <c r="BF14" s="389"/>
      <c r="BI14" s="390"/>
      <c r="BJ14" s="390"/>
      <c r="BK14" s="60"/>
    </row>
    <row r="15" spans="1:63">
      <c r="A15" s="156">
        <v>46569</v>
      </c>
      <c r="B15" s="157">
        <f>MIN(100*(T15/H15-1),'F5 Foreign GDP'!B$2)</f>
        <v>-0.63767014511142417</v>
      </c>
      <c r="E15" s="94"/>
      <c r="G15" s="369">
        <v>46569</v>
      </c>
      <c r="H15" s="370">
        <v>21834.24609375</v>
      </c>
      <c r="I15" s="370">
        <v>148.07606506347656</v>
      </c>
      <c r="J15" s="371">
        <v>133.63992309570313</v>
      </c>
      <c r="K15" s="371">
        <v>4.603065013885498</v>
      </c>
      <c r="L15" s="372">
        <v>2.6235966682434082</v>
      </c>
      <c r="M15" s="373">
        <v>16.771600723266602</v>
      </c>
      <c r="N15" s="374">
        <v>3.0999999046325684</v>
      </c>
      <c r="O15" s="342"/>
      <c r="P15" s="384"/>
      <c r="Q15" s="385">
        <f t="shared" si="2"/>
        <v>15.85423440299423</v>
      </c>
      <c r="R15">
        <f t="shared" si="4"/>
        <v>12.754234498361662</v>
      </c>
      <c r="T15" s="443">
        <v>21695.015625</v>
      </c>
      <c r="U15" s="443">
        <v>149.92462158203125</v>
      </c>
      <c r="V15" s="443">
        <v>132.64968872070313</v>
      </c>
      <c r="W15" s="443">
        <v>5.071934700012207</v>
      </c>
      <c r="X15" s="93"/>
      <c r="Y15">
        <f t="shared" si="1"/>
        <v>21695.015625</v>
      </c>
      <c r="AB15" s="60"/>
      <c r="AC15" s="60"/>
      <c r="AD15" s="60"/>
      <c r="AE15" s="60"/>
      <c r="AF15" s="94">
        <f t="shared" si="3"/>
        <v>0.34756430768503321</v>
      </c>
      <c r="AI15">
        <f>AVERAGE(B12:B15)-AI11-AI7</f>
        <v>7.5513267810775608E-2</v>
      </c>
      <c r="AO15" s="391"/>
      <c r="AP15" s="391"/>
      <c r="AQ15" s="391"/>
      <c r="AR15" s="391"/>
      <c r="AS15" s="391"/>
      <c r="AW15" s="389"/>
      <c r="AX15" s="389"/>
      <c r="BE15" s="389"/>
      <c r="BF15" s="389"/>
      <c r="BI15" s="390"/>
      <c r="BJ15" s="390"/>
      <c r="BK15" s="60"/>
    </row>
    <row r="16" spans="1:63">
      <c r="A16" s="156">
        <v>46661</v>
      </c>
      <c r="B16" s="157">
        <f>MIN(100*(T16/H16-1),'F5 Foreign GDP'!B$2)</f>
        <v>-0.59909719591133559</v>
      </c>
      <c r="E16" s="94"/>
      <c r="G16" s="369">
        <v>46661</v>
      </c>
      <c r="H16" s="370">
        <v>21934.697265625</v>
      </c>
      <c r="I16" s="370">
        <v>148.81010437011719</v>
      </c>
      <c r="J16" s="371">
        <v>133.69308471679688</v>
      </c>
      <c r="K16" s="371">
        <v>4.5994348526000977</v>
      </c>
      <c r="L16" s="372">
        <v>2.6231029033660889</v>
      </c>
      <c r="M16" s="373">
        <v>16.661710739135742</v>
      </c>
      <c r="N16" s="374">
        <v>3.0999999046325684</v>
      </c>
      <c r="O16" s="348"/>
      <c r="P16" s="384"/>
      <c r="Q16" s="385">
        <f t="shared" si="2"/>
        <v>15.65014429817214</v>
      </c>
      <c r="R16">
        <f t="shared" si="4"/>
        <v>12.550144393539572</v>
      </c>
      <c r="T16" s="444">
        <v>21803.287109375</v>
      </c>
      <c r="U16" s="444">
        <v>150.6175537109375</v>
      </c>
      <c r="V16" s="444">
        <v>132.81929016113281</v>
      </c>
      <c r="W16" s="444">
        <v>5.0074234008789063</v>
      </c>
      <c r="X16" s="93"/>
      <c r="Y16">
        <f t="shared" si="1"/>
        <v>21803.287109375</v>
      </c>
      <c r="AB16" s="60"/>
      <c r="AC16" s="60"/>
      <c r="AD16" s="60"/>
      <c r="AE16" s="60"/>
      <c r="AF16" s="94">
        <f t="shared" si="3"/>
        <v>0.27376580014273344</v>
      </c>
      <c r="AO16" s="391"/>
      <c r="AP16" s="391"/>
      <c r="AQ16" s="391"/>
      <c r="AR16" s="391"/>
      <c r="AS16" s="391"/>
      <c r="AW16" s="392"/>
      <c r="AX16" s="392"/>
      <c r="BE16" s="392"/>
      <c r="BF16" s="392"/>
      <c r="BI16" s="393"/>
      <c r="BJ16" s="393"/>
      <c r="BK16" s="60"/>
    </row>
    <row r="17" spans="1:63">
      <c r="A17" s="156">
        <v>46753</v>
      </c>
      <c r="B17" s="157">
        <f>MIN(100*(T17/H17-1),'F5 Foreign GDP'!B$2)</f>
        <v>-0.55292938939501823</v>
      </c>
      <c r="E17" s="94"/>
      <c r="G17" s="369">
        <v>46753</v>
      </c>
      <c r="H17" s="370">
        <v>22034.275390625</v>
      </c>
      <c r="I17" s="370">
        <v>149.56907653808594</v>
      </c>
      <c r="J17" s="371">
        <v>133.77880859375</v>
      </c>
      <c r="K17" s="371">
        <v>4.5820708274841309</v>
      </c>
      <c r="L17" s="372">
        <v>2.6229507923126221</v>
      </c>
      <c r="M17" s="373">
        <v>16.593629837036133</v>
      </c>
      <c r="N17" s="374">
        <v>3.0999999046325684</v>
      </c>
      <c r="O17" s="342"/>
      <c r="P17" s="384"/>
      <c r="Q17" s="385">
        <f t="shared" si="2"/>
        <v>15.446054193350051</v>
      </c>
      <c r="R17">
        <f t="shared" si="4"/>
        <v>12.346054288717482</v>
      </c>
      <c r="T17" s="443">
        <v>21912.44140625</v>
      </c>
      <c r="U17" s="443">
        <v>151.3372802734375</v>
      </c>
      <c r="V17" s="443">
        <v>133.02238464355469</v>
      </c>
      <c r="W17" s="443">
        <v>4.9295730590820313</v>
      </c>
      <c r="X17" s="93"/>
      <c r="Y17">
        <f t="shared" si="1"/>
        <v>21912.44140625</v>
      </c>
      <c r="AB17" s="60"/>
      <c r="AC17" s="60"/>
      <c r="AD17" s="60"/>
      <c r="AE17" s="60"/>
      <c r="AF17" s="94">
        <f t="shared" si="3"/>
        <v>0.21184288560240905</v>
      </c>
      <c r="AO17" s="394"/>
      <c r="AP17" s="394"/>
      <c r="AQ17" s="391"/>
      <c r="AR17" s="391"/>
      <c r="AS17" s="391"/>
      <c r="AW17" s="389"/>
      <c r="AX17" s="389"/>
      <c r="BE17" s="389"/>
      <c r="BF17" s="389"/>
      <c r="BI17" s="390"/>
      <c r="BJ17" s="390"/>
      <c r="BK17" s="60"/>
    </row>
    <row r="18" spans="1:63">
      <c r="A18" s="156">
        <v>46844</v>
      </c>
      <c r="B18" s="157">
        <f>MIN(100*(T18/H18-1),'F5 Foreign GDP'!B$2)</f>
        <v>-0.49900907813993367</v>
      </c>
      <c r="E18" s="94"/>
      <c r="G18" s="369">
        <v>46844</v>
      </c>
      <c r="H18" s="370">
        <v>22128.62109375</v>
      </c>
      <c r="I18" s="370">
        <v>150.34127807617188</v>
      </c>
      <c r="J18" s="371">
        <v>133.88124084472656</v>
      </c>
      <c r="K18" s="371">
        <v>4.5625748634338379</v>
      </c>
      <c r="L18" s="372">
        <v>2.6232731342315674</v>
      </c>
      <c r="M18" s="373">
        <v>16.498779296875</v>
      </c>
      <c r="N18" s="374">
        <v>3.0999999046325684</v>
      </c>
      <c r="O18" s="342"/>
      <c r="P18" s="384"/>
      <c r="Q18" s="385">
        <f t="shared" si="2"/>
        <v>15.241964088527961</v>
      </c>
      <c r="R18">
        <f t="shared" si="4"/>
        <v>12.141964183895393</v>
      </c>
      <c r="T18" s="443">
        <v>22018.197265625</v>
      </c>
      <c r="U18" s="443">
        <v>152.0701904296875</v>
      </c>
      <c r="V18" s="443">
        <v>133.24592590332031</v>
      </c>
      <c r="W18" s="443">
        <v>4.8497657775878906</v>
      </c>
      <c r="X18" s="93"/>
      <c r="Y18">
        <f t="shared" si="1"/>
        <v>22018.197265625</v>
      </c>
      <c r="AB18" s="60"/>
      <c r="AC18" s="60"/>
      <c r="AD18" s="60"/>
      <c r="AE18" s="60"/>
      <c r="AF18" s="94"/>
      <c r="AO18" s="391"/>
      <c r="AP18" s="391"/>
      <c r="AQ18" s="391"/>
      <c r="AR18" s="391"/>
      <c r="AS18" s="391"/>
      <c r="AW18" s="389"/>
      <c r="AX18" s="389"/>
      <c r="BE18" s="389"/>
      <c r="BF18" s="389"/>
      <c r="BI18" s="390"/>
      <c r="BJ18" s="390"/>
      <c r="BK18" s="60"/>
    </row>
    <row r="19" spans="1:63">
      <c r="A19" s="156">
        <v>46935</v>
      </c>
      <c r="B19" s="157">
        <f>MIN(100*(T19/H19-1),'F5 Foreign GDP'!B$2)</f>
        <v>-0.44625021274382615</v>
      </c>
      <c r="E19" s="94"/>
      <c r="G19" s="369">
        <v>46935</v>
      </c>
      <c r="H19" s="370">
        <v>22228.630859375</v>
      </c>
      <c r="I19" s="370">
        <v>151.14797973632813</v>
      </c>
      <c r="J19" s="371">
        <v>134.00265502929688</v>
      </c>
      <c r="K19" s="371">
        <v>4.53289794921875</v>
      </c>
      <c r="L19" s="372">
        <v>2.6240603923797607</v>
      </c>
      <c r="M19" s="373">
        <v>16.420101165771484</v>
      </c>
      <c r="N19" s="374">
        <v>3.0999999046325684</v>
      </c>
      <c r="O19" s="342"/>
      <c r="P19" s="384"/>
      <c r="Q19" s="385">
        <f t="shared" si="2"/>
        <v>15.037873983705865</v>
      </c>
      <c r="R19">
        <f>ricco_price_effects_and_etr!$D$25*100</f>
        <v>11.937874079073296</v>
      </c>
      <c r="T19" s="443">
        <v>22129.435546875</v>
      </c>
      <c r="U19" s="443">
        <v>152.84083557128906</v>
      </c>
      <c r="V19" s="443">
        <v>133.48933410644531</v>
      </c>
      <c r="W19" s="443">
        <v>4.7619924545288086</v>
      </c>
      <c r="X19" s="93"/>
      <c r="Y19">
        <f t="shared" si="1"/>
        <v>22129.435546875</v>
      </c>
      <c r="AB19" s="60"/>
      <c r="AC19" s="60"/>
      <c r="AD19" s="60"/>
      <c r="AE19" s="60"/>
      <c r="AF19" s="94"/>
      <c r="AI19">
        <f>AVERAGE(B16:B19)-AI15-AI11-AI7</f>
        <v>0.21273778866452431</v>
      </c>
      <c r="AO19" s="391"/>
      <c r="AP19" s="391"/>
      <c r="AQ19" s="391"/>
      <c r="AR19" s="391"/>
      <c r="AS19" s="391"/>
      <c r="AW19" s="389"/>
      <c r="AX19" s="389"/>
      <c r="BE19" s="389"/>
      <c r="BF19" s="389"/>
      <c r="BI19" s="390"/>
      <c r="BJ19" s="390"/>
      <c r="BK19" s="60"/>
    </row>
    <row r="20" spans="1:63">
      <c r="A20" s="156">
        <v>47027</v>
      </c>
      <c r="B20" s="157">
        <f>MIN(100*(T20/H20-1),'F5 Foreign GDP'!B$2)</f>
        <v>-0.4066747618024058</v>
      </c>
      <c r="E20" s="94"/>
      <c r="G20" s="369">
        <v>47027</v>
      </c>
      <c r="H20" s="370">
        <v>22335.30078125</v>
      </c>
      <c r="I20" s="370">
        <v>151.90711975097656</v>
      </c>
      <c r="J20" s="371">
        <v>134.15962219238281</v>
      </c>
      <c r="K20" s="371">
        <v>4.4928421974182129</v>
      </c>
      <c r="L20" s="372">
        <v>2.6243209838867188</v>
      </c>
      <c r="M20" s="373">
        <v>16.371356964111328</v>
      </c>
      <c r="N20" s="374">
        <v>3.0999999046325684</v>
      </c>
      <c r="O20" s="348"/>
      <c r="P20" s="384"/>
      <c r="Q20" s="385">
        <f t="shared" si="2"/>
        <v>15.037873983705865</v>
      </c>
      <c r="R20">
        <f>ricco_price_effects_and_etr!$D$25*100</f>
        <v>11.937874079073296</v>
      </c>
      <c r="T20" s="444">
        <v>22244.46875</v>
      </c>
      <c r="U20" s="444">
        <v>153.59864807128906</v>
      </c>
      <c r="V20" s="444">
        <v>133.76002502441406</v>
      </c>
      <c r="W20" s="444">
        <v>4.6706943511962891</v>
      </c>
      <c r="X20" s="93"/>
      <c r="Y20">
        <f t="shared" si="1"/>
        <v>22244.46875</v>
      </c>
      <c r="AB20" s="60"/>
      <c r="AC20" s="60"/>
      <c r="AD20" s="60"/>
      <c r="AE20" s="60"/>
      <c r="AF20" s="94"/>
      <c r="AO20" s="391"/>
      <c r="AP20" s="391"/>
      <c r="AQ20" s="391"/>
      <c r="AR20" s="391"/>
      <c r="AS20" s="391"/>
      <c r="AW20" s="392"/>
      <c r="AX20" s="392"/>
      <c r="BE20" s="392"/>
      <c r="BF20" s="392"/>
      <c r="BI20" s="393"/>
      <c r="BJ20" s="393"/>
      <c r="BK20" s="60"/>
    </row>
    <row r="21" spans="1:63">
      <c r="A21" s="156">
        <v>47119</v>
      </c>
      <c r="B21" s="157">
        <f>MIN(100*(T21/H21-1),'F5 Foreign GDP'!B$2)</f>
        <v>-0.37274384722804088</v>
      </c>
      <c r="E21" s="94"/>
      <c r="G21" s="369">
        <v>47119</v>
      </c>
      <c r="H21" s="370">
        <v>22435.501953125</v>
      </c>
      <c r="I21" s="370">
        <v>152.61013793945313</v>
      </c>
      <c r="J21" s="371">
        <v>134.32501220703125</v>
      </c>
      <c r="K21" s="371">
        <v>4.4495425224304199</v>
      </c>
      <c r="L21" s="372">
        <v>2.6248581409454346</v>
      </c>
      <c r="M21" s="373">
        <v>16.341157913208008</v>
      </c>
      <c r="N21" s="374">
        <v>3.0999999046325684</v>
      </c>
      <c r="O21" s="342"/>
      <c r="P21" s="384"/>
      <c r="Q21" s="385">
        <f t="shared" si="2"/>
        <v>15.037873983705865</v>
      </c>
      <c r="R21">
        <f>ricco_price_effects_and_etr!$D$25*100</f>
        <v>11.937874079073296</v>
      </c>
      <c r="T21" s="443">
        <v>22351.875</v>
      </c>
      <c r="U21" s="443">
        <v>154.30717468261719</v>
      </c>
      <c r="V21" s="443">
        <v>134.028564453125</v>
      </c>
      <c r="W21" s="443">
        <v>4.5827445983886719</v>
      </c>
      <c r="X21" s="93"/>
      <c r="Y21">
        <f t="shared" si="1"/>
        <v>22351.875</v>
      </c>
      <c r="AB21" s="60"/>
      <c r="AC21" s="60"/>
      <c r="AD21" s="60"/>
      <c r="AE21" s="60"/>
      <c r="AF21" s="94"/>
      <c r="AO21" s="394"/>
      <c r="AP21" s="394"/>
      <c r="AQ21" s="391"/>
      <c r="AR21" s="391"/>
      <c r="AS21" s="391"/>
      <c r="AW21" s="389"/>
      <c r="AX21" s="389"/>
      <c r="BE21" s="389"/>
      <c r="BF21" s="389"/>
      <c r="BI21" s="390"/>
      <c r="BJ21" s="390"/>
      <c r="BK21" s="60"/>
    </row>
    <row r="22" spans="1:63">
      <c r="A22" s="156">
        <v>47209</v>
      </c>
      <c r="B22" s="157">
        <f>MIN(100*(T22/H22-1),'F5 Foreign GDP'!B$2)</f>
        <v>-0.35195623273229781</v>
      </c>
      <c r="E22" s="94"/>
      <c r="G22" s="369">
        <v>47209</v>
      </c>
      <c r="H22" s="370">
        <v>22542.53125</v>
      </c>
      <c r="I22" s="370">
        <v>153.37269592285156</v>
      </c>
      <c r="J22" s="371">
        <v>134.51266479492188</v>
      </c>
      <c r="K22" s="371">
        <v>4.4029178619384766</v>
      </c>
      <c r="L22" s="372">
        <v>2.6237373352050781</v>
      </c>
      <c r="M22" s="373">
        <v>16.32244873046875</v>
      </c>
      <c r="N22" s="374">
        <v>3.0999999046325684</v>
      </c>
      <c r="O22" s="342"/>
      <c r="P22" s="384"/>
      <c r="Q22" s="385">
        <f t="shared" si="2"/>
        <v>15.037873983705865</v>
      </c>
      <c r="R22">
        <f>ricco_price_effects_and_etr!$D$25*100</f>
        <v>11.937874079073296</v>
      </c>
      <c r="T22" s="443">
        <v>22463.19140625</v>
      </c>
      <c r="U22" s="443">
        <v>155.08163452148438</v>
      </c>
      <c r="V22" s="443">
        <v>134.30349731445313</v>
      </c>
      <c r="W22" s="443">
        <v>4.5009675025939941</v>
      </c>
      <c r="X22" s="93"/>
      <c r="Y22">
        <f t="shared" si="1"/>
        <v>22463.19140625</v>
      </c>
      <c r="AB22" s="60"/>
      <c r="AC22" s="60"/>
      <c r="AD22" s="60"/>
      <c r="AE22" s="60"/>
      <c r="AF22" s="94"/>
      <c r="AO22" s="391"/>
      <c r="AP22" s="391"/>
      <c r="AQ22" s="391"/>
      <c r="AR22" s="391"/>
      <c r="AS22" s="391"/>
      <c r="AW22" s="389"/>
      <c r="AX22" s="389"/>
      <c r="BE22" s="389"/>
      <c r="BF22" s="389"/>
      <c r="BI22" s="390"/>
      <c r="BJ22" s="390"/>
      <c r="BK22" s="60"/>
    </row>
    <row r="23" spans="1:63">
      <c r="A23" s="156">
        <v>47300</v>
      </c>
      <c r="B23" s="157">
        <f>MIN(100*(T23/H23-1),'F5 Foreign GDP'!B$2)</f>
        <v>-0.33756124062794823</v>
      </c>
      <c r="E23" s="94"/>
      <c r="G23" s="369">
        <v>47300</v>
      </c>
      <c r="H23" s="370">
        <v>22634.203125</v>
      </c>
      <c r="I23" s="370">
        <v>154.16545104980469</v>
      </c>
      <c r="J23" s="371">
        <v>134.67985534667969</v>
      </c>
      <c r="K23" s="371">
        <v>4.3683514595031738</v>
      </c>
      <c r="L23" s="372">
        <v>2.6237747669219971</v>
      </c>
      <c r="M23" s="373">
        <v>16.310857772827148</v>
      </c>
      <c r="N23" s="374">
        <v>3.0999999046325684</v>
      </c>
      <c r="O23" s="342"/>
      <c r="P23" s="384"/>
      <c r="Q23" s="385">
        <f t="shared" si="2"/>
        <v>15.037873983705865</v>
      </c>
      <c r="R23">
        <f>ricco_price_effects_and_etr!$D$25*100</f>
        <v>11.937874079073296</v>
      </c>
      <c r="T23" s="443">
        <v>22557.798828125</v>
      </c>
      <c r="U23" s="443">
        <v>155.8914794921875</v>
      </c>
      <c r="V23" s="443">
        <v>134.54037475585938</v>
      </c>
      <c r="W23" s="443">
        <v>4.4402413368225098</v>
      </c>
      <c r="X23" s="93"/>
      <c r="Y23">
        <f t="shared" si="1"/>
        <v>22557.798828125</v>
      </c>
      <c r="AB23" s="60"/>
      <c r="AC23" s="60"/>
      <c r="AD23" s="60"/>
      <c r="AE23" s="60"/>
      <c r="AF23" s="94"/>
      <c r="AI23">
        <f>AVERAGE(B20:B23)-AI19-AI15-AI11-AI7</f>
        <v>0.15708744844985523</v>
      </c>
      <c r="AO23" s="391"/>
      <c r="AP23" s="391"/>
      <c r="AQ23" s="391"/>
      <c r="AR23" s="391"/>
      <c r="AS23" s="391"/>
      <c r="AW23" s="389"/>
      <c r="AX23" s="389"/>
      <c r="BE23" s="389"/>
      <c r="BF23" s="389"/>
      <c r="BI23" s="390"/>
      <c r="BJ23" s="390"/>
      <c r="BK23" s="60"/>
    </row>
    <row r="24" spans="1:63">
      <c r="A24" s="156">
        <v>47392</v>
      </c>
      <c r="B24" s="157">
        <f>MIN(100*(T24/H24-1),'F5 Foreign GDP'!B$2)</f>
        <v>-0.32735236663464784</v>
      </c>
      <c r="E24" s="94"/>
      <c r="G24" s="369">
        <v>47392</v>
      </c>
      <c r="H24" s="370">
        <v>22730.30859375</v>
      </c>
      <c r="I24" s="370">
        <v>154.94563293457031</v>
      </c>
      <c r="J24" s="371">
        <v>134.83564758300781</v>
      </c>
      <c r="K24" s="371">
        <v>4.342066764831543</v>
      </c>
      <c r="L24" s="372">
        <v>2.6240756511688232</v>
      </c>
      <c r="M24" s="373">
        <v>16.303676605224609</v>
      </c>
      <c r="N24" s="374">
        <v>3.0999999046325684</v>
      </c>
      <c r="O24" s="348"/>
      <c r="P24" s="384"/>
      <c r="Q24" s="385">
        <f t="shared" si="2"/>
        <v>15.037873983705865</v>
      </c>
      <c r="R24">
        <f>ricco_price_effects_and_etr!$D$25*100</f>
        <v>11.937874079073296</v>
      </c>
      <c r="T24" s="444">
        <v>22655.900390625</v>
      </c>
      <c r="U24" s="444">
        <v>156.69039916992188</v>
      </c>
      <c r="V24" s="444">
        <v>134.74842834472656</v>
      </c>
      <c r="W24" s="444">
        <v>4.3956055641174316</v>
      </c>
      <c r="X24" s="93"/>
      <c r="Y24">
        <f t="shared" si="1"/>
        <v>22655.900390625</v>
      </c>
      <c r="AB24" s="60"/>
      <c r="AC24" s="60"/>
      <c r="AD24" s="60"/>
      <c r="AE24" s="60"/>
      <c r="AF24" s="94"/>
      <c r="AO24" s="391"/>
      <c r="AP24" s="391"/>
      <c r="AQ24" s="391"/>
      <c r="AR24" s="391"/>
      <c r="AS24" s="391"/>
      <c r="AW24" s="392"/>
      <c r="AX24" s="392"/>
      <c r="BE24" s="392"/>
      <c r="BF24" s="392"/>
      <c r="BI24" s="393"/>
      <c r="BJ24" s="393"/>
      <c r="BK24" s="60"/>
    </row>
    <row r="25" spans="1:63">
      <c r="A25" s="156">
        <v>47484</v>
      </c>
      <c r="B25" s="157">
        <f>MIN(100*(T25/H25-1),'F5 Foreign GDP'!B$2)</f>
        <v>-0.31659800369746582</v>
      </c>
      <c r="E25" s="94"/>
      <c r="G25" s="369">
        <v>47484</v>
      </c>
      <c r="H25" s="370">
        <v>22828.140625</v>
      </c>
      <c r="I25" s="370">
        <v>155.70692443847656</v>
      </c>
      <c r="J25" s="371">
        <v>134.96388244628906</v>
      </c>
      <c r="K25" s="371">
        <v>4.3094038963317871</v>
      </c>
      <c r="L25" s="372">
        <v>2.6236379146575928</v>
      </c>
      <c r="M25" s="373">
        <v>16.288631439208984</v>
      </c>
      <c r="N25" s="374">
        <v>3.0999999046325684</v>
      </c>
      <c r="O25" s="342"/>
      <c r="P25" s="384"/>
      <c r="Q25" s="385">
        <f t="shared" si="2"/>
        <v>15.037873983705865</v>
      </c>
      <c r="R25">
        <f>ricco_price_effects_and_etr!$D$25*100</f>
        <v>11.937874079073296</v>
      </c>
      <c r="T25" s="443">
        <v>22755.8671875</v>
      </c>
      <c r="U25" s="443">
        <v>157.47329711914063</v>
      </c>
      <c r="V25" s="443">
        <v>134.91619873046875</v>
      </c>
      <c r="W25" s="443">
        <v>4.3498468399047852</v>
      </c>
      <c r="X25" s="93"/>
      <c r="Y25">
        <f t="shared" si="1"/>
        <v>22755.8671875</v>
      </c>
      <c r="AB25" s="60"/>
      <c r="AC25" s="60"/>
      <c r="AD25" s="60"/>
      <c r="AE25" s="60"/>
      <c r="AF25" s="94"/>
      <c r="AO25" s="394"/>
      <c r="AP25" s="394"/>
      <c r="AQ25" s="391"/>
      <c r="AR25" s="391"/>
      <c r="AS25" s="391"/>
      <c r="AW25" s="389"/>
      <c r="AX25" s="389"/>
      <c r="BE25" s="389"/>
      <c r="BF25" s="389"/>
      <c r="BI25" s="390"/>
      <c r="BJ25" s="390"/>
      <c r="BK25" s="60"/>
    </row>
    <row r="26" spans="1:63">
      <c r="A26" s="156">
        <v>47574</v>
      </c>
      <c r="B26" s="157">
        <f>MIN(100*(T26/H26-1),'F5 Foreign GDP'!B$2)</f>
        <v>-0.31</v>
      </c>
      <c r="E26" s="94"/>
      <c r="G26" s="369">
        <v>47574</v>
      </c>
      <c r="H26" s="370">
        <v>22936.767578125</v>
      </c>
      <c r="I26" s="370">
        <v>156.50714111328125</v>
      </c>
      <c r="J26" s="371">
        <v>135.09765625</v>
      </c>
      <c r="K26" s="371">
        <v>4.2891240119934082</v>
      </c>
      <c r="L26" s="372">
        <v>2.6245472431182861</v>
      </c>
      <c r="M26" s="373">
        <v>16.243049621582031</v>
      </c>
      <c r="N26" s="374">
        <v>3.0999999046325684</v>
      </c>
      <c r="O26" s="342"/>
      <c r="P26" s="384"/>
      <c r="Q26" s="385">
        <f t="shared" si="2"/>
        <v>15.037873983705865</v>
      </c>
      <c r="R26">
        <f>ricco_price_effects_and_etr!$D$25*100</f>
        <v>11.937874079073296</v>
      </c>
      <c r="T26" s="443">
        <v>22867.095703125</v>
      </c>
      <c r="U26" s="443">
        <v>158.298583984375</v>
      </c>
      <c r="V26" s="443">
        <v>135.08036804199219</v>
      </c>
      <c r="W26" s="443">
        <v>4.3200578689575195</v>
      </c>
      <c r="X26" s="93"/>
      <c r="Y26">
        <f t="shared" si="1"/>
        <v>22865.663598632811</v>
      </c>
      <c r="AB26" s="60"/>
      <c r="AC26" s="60"/>
      <c r="AD26" s="60"/>
      <c r="AE26" s="60"/>
      <c r="AF26" s="94"/>
      <c r="AO26" s="391"/>
      <c r="AP26" s="391"/>
      <c r="AQ26" s="391"/>
      <c r="AR26" s="391"/>
      <c r="AS26" s="391"/>
      <c r="AW26" s="389"/>
      <c r="AX26" s="389"/>
      <c r="BE26" s="389"/>
      <c r="BF26" s="389"/>
      <c r="BI26" s="390"/>
      <c r="BJ26" s="390"/>
      <c r="BK26" s="60"/>
    </row>
    <row r="27" spans="1:63">
      <c r="A27" s="156">
        <v>47665</v>
      </c>
      <c r="B27" s="157">
        <f>MIN(100*(T27/H27-1),'F5 Foreign GDP'!B$2)</f>
        <v>-0.31</v>
      </c>
      <c r="E27" s="94"/>
      <c r="G27" s="369">
        <v>47665</v>
      </c>
      <c r="H27" s="370">
        <v>23027.15234375</v>
      </c>
      <c r="I27" s="370">
        <v>157.29939270019531</v>
      </c>
      <c r="J27" s="371">
        <v>135.22010803222656</v>
      </c>
      <c r="K27" s="371">
        <v>4.2583150863647461</v>
      </c>
      <c r="L27" s="372">
        <v>2.6242721080780029</v>
      </c>
      <c r="M27" s="373">
        <v>16.214809417724609</v>
      </c>
      <c r="N27" s="374">
        <v>3.0999999046325684</v>
      </c>
      <c r="O27" s="342"/>
      <c r="P27" s="384"/>
      <c r="Q27" s="385">
        <f t="shared" si="2"/>
        <v>15.037873983705865</v>
      </c>
      <c r="R27">
        <f>ricco_price_effects_and_etr!$D$25*100</f>
        <v>11.937874079073296</v>
      </c>
      <c r="T27" s="443">
        <v>22961.193359375</v>
      </c>
      <c r="U27" s="443">
        <v>159.11953735351563</v>
      </c>
      <c r="V27" s="443">
        <v>135.22933959960938</v>
      </c>
      <c r="W27" s="443">
        <v>4.2809691429138184</v>
      </c>
      <c r="X27" s="93"/>
      <c r="Y27">
        <f t="shared" si="1"/>
        <v>22955.768171484375</v>
      </c>
      <c r="AB27" s="60"/>
      <c r="AC27" s="60"/>
      <c r="AD27" s="60"/>
      <c r="AE27" s="60"/>
      <c r="AF27" s="94"/>
      <c r="AI27">
        <f>AVERAGE(B24:B27)-AI23-AI19-AI15-AI11-AI7</f>
        <v>5.124642801464474E-2</v>
      </c>
      <c r="AO27" s="391"/>
      <c r="AP27" s="391"/>
      <c r="AQ27" s="391"/>
      <c r="AR27" s="391"/>
      <c r="AS27" s="391"/>
      <c r="AW27" s="389"/>
      <c r="AX27" s="389"/>
      <c r="BE27" s="389"/>
      <c r="BF27" s="389"/>
      <c r="BI27" s="390"/>
      <c r="BJ27" s="390"/>
      <c r="BK27" s="60"/>
    </row>
    <row r="28" spans="1:63">
      <c r="A28" s="156">
        <v>47757</v>
      </c>
      <c r="B28" s="157">
        <f>MIN(100*(T28/H28-1),'F5 Foreign GDP'!B$2)</f>
        <v>-0.31</v>
      </c>
      <c r="E28" s="94"/>
      <c r="G28" s="369">
        <v>47757</v>
      </c>
      <c r="H28" s="370">
        <v>23121.48828125</v>
      </c>
      <c r="I28" s="370">
        <v>158.05813598632813</v>
      </c>
      <c r="J28" s="371">
        <v>135.36538696289063</v>
      </c>
      <c r="K28" s="371">
        <v>4.2524242401123047</v>
      </c>
      <c r="L28" s="372">
        <v>2.6233615875244141</v>
      </c>
      <c r="M28" s="373">
        <v>16.197315216064453</v>
      </c>
      <c r="N28" s="374">
        <v>3.0999999046325684</v>
      </c>
      <c r="O28" s="348"/>
      <c r="P28" s="384"/>
      <c r="Q28" s="385">
        <f t="shared" si="2"/>
        <v>15.037873983705865</v>
      </c>
      <c r="R28">
        <f>ricco_price_effects_and_etr!$D$25*100</f>
        <v>11.937874079073296</v>
      </c>
      <c r="T28" s="444">
        <v>23058.763671875</v>
      </c>
      <c r="U28" s="444">
        <v>159.90995788574219</v>
      </c>
      <c r="V28" s="444">
        <v>135.39749145507813</v>
      </c>
      <c r="W28" s="444">
        <v>4.267913818359375</v>
      </c>
      <c r="X28" s="93"/>
      <c r="Y28">
        <f t="shared" si="1"/>
        <v>23049.811667578124</v>
      </c>
      <c r="AB28" s="60"/>
      <c r="AC28" s="60"/>
      <c r="AD28" s="60"/>
      <c r="AE28" s="60"/>
      <c r="AF28" s="94"/>
      <c r="AO28" s="391"/>
      <c r="AP28" s="391"/>
      <c r="AQ28" s="391"/>
      <c r="AR28" s="391"/>
      <c r="AS28" s="391"/>
      <c r="AW28" s="392"/>
      <c r="AX28" s="392"/>
      <c r="BE28" s="392"/>
      <c r="BF28" s="392"/>
      <c r="BI28" s="393"/>
      <c r="BJ28" s="393"/>
      <c r="BK28" s="60"/>
    </row>
    <row r="29" spans="1:63">
      <c r="A29" s="156">
        <v>47849</v>
      </c>
      <c r="B29" s="157">
        <f>MIN(100*(T29/H29-1),'F5 Foreign GDP'!B$2)</f>
        <v>-0.31</v>
      </c>
      <c r="E29" s="94"/>
      <c r="G29" s="369">
        <v>47849</v>
      </c>
      <c r="H29" s="370">
        <v>23217.5625</v>
      </c>
      <c r="I29" s="370">
        <v>158.84083557128906</v>
      </c>
      <c r="J29" s="371">
        <v>135.49919128417969</v>
      </c>
      <c r="K29" s="371">
        <v>4.2450046539306641</v>
      </c>
      <c r="L29" s="372">
        <v>2.6229074001312256</v>
      </c>
      <c r="M29" s="373">
        <v>16.18647575378418</v>
      </c>
      <c r="N29" s="374">
        <v>3.0999999046325684</v>
      </c>
      <c r="O29" s="342"/>
      <c r="P29" s="384"/>
      <c r="Q29" s="385">
        <f t="shared" si="2"/>
        <v>15.037873983705865</v>
      </c>
      <c r="R29">
        <f>ricco_price_effects_and_etr!$D$25*100</f>
        <v>11.937874079073296</v>
      </c>
      <c r="T29" s="443">
        <v>23158.41015625</v>
      </c>
      <c r="U29" s="443">
        <v>160.72369384765625</v>
      </c>
      <c r="V29" s="443">
        <v>135.55386352539063</v>
      </c>
      <c r="W29" s="443">
        <v>4.2530937194824219</v>
      </c>
      <c r="X29" s="93"/>
      <c r="Y29">
        <f t="shared" si="1"/>
        <v>23145.588056249999</v>
      </c>
      <c r="AB29" s="60"/>
      <c r="AC29" s="60"/>
      <c r="AD29" s="60"/>
      <c r="AE29" s="60"/>
      <c r="AF29" s="94"/>
      <c r="AO29" s="394"/>
      <c r="AP29" s="394"/>
      <c r="AQ29" s="391"/>
      <c r="AR29" s="391"/>
      <c r="AS29" s="391"/>
      <c r="AW29" s="389"/>
      <c r="AX29" s="389"/>
      <c r="BE29" s="389"/>
      <c r="BF29" s="389"/>
      <c r="BI29" s="390"/>
      <c r="BJ29" s="390"/>
      <c r="BK29" s="60"/>
    </row>
    <row r="30" spans="1:63">
      <c r="A30" s="156">
        <v>47939</v>
      </c>
      <c r="B30" s="157">
        <f>MIN(100*(T30/H30-1),'F5 Foreign GDP'!B$2)</f>
        <v>-0.31</v>
      </c>
      <c r="E30" s="94"/>
      <c r="G30" s="369">
        <v>47939</v>
      </c>
      <c r="H30" s="370">
        <v>23314.712890625</v>
      </c>
      <c r="I30" s="370">
        <v>159.62843322753906</v>
      </c>
      <c r="J30" s="371">
        <v>135.61874389648438</v>
      </c>
      <c r="K30" s="371">
        <v>4.2366862297058105</v>
      </c>
      <c r="L30" s="372">
        <v>2.6226444244384766</v>
      </c>
      <c r="M30" s="373">
        <v>16.179759979248047</v>
      </c>
      <c r="N30" s="374">
        <v>3.0999999046325684</v>
      </c>
      <c r="O30" s="342"/>
      <c r="P30" s="384"/>
      <c r="Q30" s="385">
        <f t="shared" si="2"/>
        <v>15.037873983705865</v>
      </c>
      <c r="R30">
        <f>ricco_price_effects_and_etr!$D$25*100</f>
        <v>11.937874079073296</v>
      </c>
      <c r="T30" s="443">
        <v>23262.35546875</v>
      </c>
      <c r="U30" s="443">
        <v>161.54127502441406</v>
      </c>
      <c r="V30" s="443">
        <v>135.70489501953125</v>
      </c>
      <c r="W30" s="443">
        <v>4.232520580291748</v>
      </c>
      <c r="X30" s="93"/>
      <c r="Y30">
        <f t="shared" si="1"/>
        <v>23242.437280664064</v>
      </c>
      <c r="AB30" s="60"/>
      <c r="AC30" s="60"/>
      <c r="AD30" s="60"/>
      <c r="AE30" s="60"/>
      <c r="AF30" s="94"/>
      <c r="AO30" s="391"/>
      <c r="AP30" s="391"/>
      <c r="AQ30" s="391"/>
      <c r="AR30" s="391"/>
      <c r="AS30" s="391"/>
      <c r="AW30" s="389"/>
      <c r="AX30" s="389"/>
      <c r="BE30" s="389"/>
      <c r="BF30" s="389"/>
      <c r="BI30" s="390"/>
      <c r="BJ30" s="390"/>
      <c r="BK30" s="60"/>
    </row>
    <row r="31" spans="1:63">
      <c r="A31" s="156">
        <v>48030</v>
      </c>
      <c r="B31" s="157">
        <f>MIN(100*(T31/H31-1),'F5 Foreign GDP'!B$2)</f>
        <v>-0.31</v>
      </c>
      <c r="E31" s="94"/>
      <c r="G31" s="369">
        <v>48030</v>
      </c>
      <c r="H31" s="370">
        <v>23410.185546875</v>
      </c>
      <c r="I31" s="370">
        <v>160.43487548828125</v>
      </c>
      <c r="J31" s="371">
        <v>135.72273254394531</v>
      </c>
      <c r="K31" s="371">
        <v>4.2317185401916504</v>
      </c>
      <c r="L31" s="372">
        <v>2.6229643821716309</v>
      </c>
      <c r="M31" s="373">
        <v>16.175600051879883</v>
      </c>
      <c r="N31" s="374">
        <v>3.0999999046325684</v>
      </c>
      <c r="O31" s="342"/>
      <c r="P31" s="384"/>
      <c r="Q31" s="385">
        <f>N31+R31</f>
        <v>15.037873983705865</v>
      </c>
      <c r="R31">
        <f>ricco_price_effects_and_etr!$D$25*100</f>
        <v>11.937874079073296</v>
      </c>
      <c r="T31" s="443">
        <v>23365.162109375</v>
      </c>
      <c r="U31" s="443">
        <v>162.38088989257813</v>
      </c>
      <c r="V31" s="443">
        <v>135.84927368164063</v>
      </c>
      <c r="W31" s="443">
        <v>4.2109003067016602</v>
      </c>
      <c r="X31" s="93"/>
      <c r="Y31">
        <f t="shared" si="1"/>
        <v>23337.613971679686</v>
      </c>
      <c r="AB31" s="60"/>
      <c r="AC31" s="60"/>
      <c r="AD31" s="60"/>
      <c r="AE31" s="60"/>
      <c r="AF31" s="94"/>
      <c r="AI31">
        <f>AVERAGE(B28:B31)-AI27-AI23-AI19-AI15-AI11-AI7</f>
        <v>5.9875925830283894E-3</v>
      </c>
      <c r="AO31" s="391"/>
      <c r="AP31" s="391"/>
      <c r="AQ31" s="391"/>
      <c r="AR31" s="391"/>
      <c r="AS31" s="391"/>
      <c r="AW31" s="389"/>
      <c r="AX31" s="389"/>
      <c r="BE31" s="389"/>
      <c r="BF31" s="389"/>
      <c r="BI31" s="390"/>
      <c r="BJ31" s="390"/>
      <c r="BK31" s="60"/>
    </row>
    <row r="32" spans="1:63">
      <c r="A32" s="156">
        <v>48122</v>
      </c>
      <c r="B32" s="157">
        <f>MIN(100*(T32/H32-1),'F5 Foreign GDP'!B$2)</f>
        <v>-0.31</v>
      </c>
      <c r="E32" s="94"/>
      <c r="G32" s="369">
        <v>48122</v>
      </c>
      <c r="H32" s="370">
        <v>23505.876953125</v>
      </c>
      <c r="I32" s="370">
        <v>161.2496337890625</v>
      </c>
      <c r="J32" s="371">
        <v>135.81532287597656</v>
      </c>
      <c r="K32" s="371">
        <v>4.232243537902832</v>
      </c>
      <c r="L32" s="372">
        <v>2.6226787567138672</v>
      </c>
      <c r="M32" s="373">
        <v>16.173023223876953</v>
      </c>
      <c r="N32" s="374">
        <v>3.0999999046325684</v>
      </c>
      <c r="O32" s="348"/>
      <c r="P32" s="384"/>
      <c r="Q32" s="385">
        <f t="shared" si="2"/>
        <v>15.037873983705865</v>
      </c>
      <c r="R32">
        <f>ricco_price_effects_and_etr!$D$25*100</f>
        <v>11.937874079073296</v>
      </c>
      <c r="T32" s="444">
        <v>23467.90234375</v>
      </c>
      <c r="U32" s="444">
        <v>163.23173522949219</v>
      </c>
      <c r="V32" s="444">
        <v>135.98884582519531</v>
      </c>
      <c r="W32" s="444">
        <v>4.1920771598815918</v>
      </c>
      <c r="X32" s="93"/>
      <c r="Y32">
        <f t="shared" si="1"/>
        <v>23433.008734570314</v>
      </c>
      <c r="AB32" s="60"/>
      <c r="AC32" s="60"/>
      <c r="AD32" s="60"/>
      <c r="AE32" s="60"/>
      <c r="AF32" s="94"/>
      <c r="AO32" s="391"/>
      <c r="AP32" s="391"/>
      <c r="AQ32" s="391"/>
      <c r="AR32" s="391"/>
      <c r="AS32" s="391"/>
      <c r="AW32" s="392"/>
      <c r="AX32" s="392"/>
      <c r="BE32" s="392"/>
      <c r="BF32" s="392"/>
      <c r="BI32" s="393"/>
      <c r="BJ32" s="393"/>
      <c r="BK32" s="60"/>
    </row>
    <row r="33" spans="1:63">
      <c r="A33" s="156">
        <v>48214</v>
      </c>
      <c r="B33" s="157">
        <f>MIN(100*(T33/H33-1),'F5 Foreign GDP'!B$2)</f>
        <v>-0.31</v>
      </c>
      <c r="E33" s="94"/>
      <c r="G33" s="369">
        <v>48214</v>
      </c>
      <c r="H33" s="370">
        <v>23604.087890625</v>
      </c>
      <c r="I33" s="370">
        <v>162.05540466308594</v>
      </c>
      <c r="J33" s="371">
        <v>135.90171813964844</v>
      </c>
      <c r="K33" s="371">
        <v>4.2339105606079102</v>
      </c>
      <c r="L33" s="372">
        <v>2.6229538917541504</v>
      </c>
      <c r="M33" s="373">
        <v>16.171426773071289</v>
      </c>
      <c r="N33" s="374">
        <v>3.0999999046325684</v>
      </c>
      <c r="O33" s="342"/>
      <c r="P33" s="384"/>
      <c r="Q33" s="385">
        <f t="shared" si="2"/>
        <v>15.037873983705865</v>
      </c>
      <c r="R33">
        <f>ricco_price_effects_and_etr!$D$25*100</f>
        <v>11.937874079073296</v>
      </c>
      <c r="T33" s="443">
        <v>23572.017578125</v>
      </c>
      <c r="U33" s="443">
        <v>164.07662963867188</v>
      </c>
      <c r="V33" s="443">
        <v>136.12431335449219</v>
      </c>
      <c r="W33" s="443">
        <v>4.1738324165344238</v>
      </c>
      <c r="X33" s="93"/>
      <c r="Y33">
        <f t="shared" si="1"/>
        <v>23530.915218164064</v>
      </c>
      <c r="AB33" s="60"/>
      <c r="AC33" s="60"/>
      <c r="AD33" s="60"/>
      <c r="AE33" s="60"/>
      <c r="AF33" s="94"/>
      <c r="AO33" s="394"/>
      <c r="AP33" s="394"/>
      <c r="AQ33" s="391"/>
      <c r="AR33" s="391"/>
      <c r="AS33" s="391"/>
      <c r="AW33" s="389"/>
      <c r="AX33" s="389"/>
      <c r="BE33" s="389"/>
      <c r="BF33" s="389"/>
      <c r="BI33" s="390"/>
      <c r="BJ33" s="390"/>
      <c r="BK33" s="60"/>
    </row>
    <row r="34" spans="1:63">
      <c r="A34" s="156">
        <v>48305</v>
      </c>
      <c r="B34" s="157">
        <f>MIN(100*(T34/H34-1),'F5 Foreign GDP'!B$2)</f>
        <v>-0.31</v>
      </c>
      <c r="E34" s="94"/>
      <c r="G34" s="369">
        <v>48305</v>
      </c>
      <c r="H34" s="370">
        <v>23705.375</v>
      </c>
      <c r="I34" s="370">
        <v>162.84782409667969</v>
      </c>
      <c r="J34" s="371">
        <v>135.98892211914063</v>
      </c>
      <c r="K34" s="371">
        <v>4.2339253425598145</v>
      </c>
      <c r="L34" s="372">
        <v>2.623915433883667</v>
      </c>
      <c r="M34" s="373">
        <v>16.170436859130859</v>
      </c>
      <c r="N34" s="374">
        <v>3.0999999046325684</v>
      </c>
      <c r="O34" s="342"/>
      <c r="P34" s="384"/>
      <c r="Q34" s="385">
        <f t="shared" si="2"/>
        <v>15.037873983705865</v>
      </c>
      <c r="R34">
        <f>ricco_price_effects_and_etr!$D$25*100</f>
        <v>11.937874079073296</v>
      </c>
      <c r="T34" s="443">
        <v>23677.962890625</v>
      </c>
      <c r="U34" s="443">
        <v>164.91159057617188</v>
      </c>
      <c r="V34" s="443">
        <v>136.25883483886719</v>
      </c>
      <c r="W34" s="443">
        <v>4.1550955772399902</v>
      </c>
      <c r="X34" s="93"/>
      <c r="Y34">
        <f t="shared" si="1"/>
        <v>23631.8883375</v>
      </c>
      <c r="AB34" s="60"/>
      <c r="AC34" s="60"/>
      <c r="AD34" s="60"/>
      <c r="AE34" s="60"/>
      <c r="AF34" s="94"/>
      <c r="AO34" s="391"/>
      <c r="AP34" s="391"/>
      <c r="AQ34" s="391"/>
      <c r="AR34" s="391"/>
      <c r="AS34" s="391"/>
      <c r="AW34" s="389"/>
      <c r="AX34" s="389"/>
      <c r="BE34" s="389"/>
      <c r="BF34" s="389"/>
      <c r="BI34" s="390"/>
      <c r="BJ34" s="390"/>
      <c r="BK34" s="60"/>
    </row>
    <row r="35" spans="1:63">
      <c r="A35" s="156">
        <v>48396</v>
      </c>
      <c r="B35" s="157">
        <f>MIN(100*(T35/H35-1),'F5 Foreign GDP'!B$2)</f>
        <v>-0.31</v>
      </c>
      <c r="E35" s="94"/>
      <c r="G35" s="369">
        <v>48396</v>
      </c>
      <c r="H35" s="370">
        <v>23807.345703125</v>
      </c>
      <c r="I35" s="370">
        <v>163.66935729980469</v>
      </c>
      <c r="J35" s="371">
        <v>136.07522583007813</v>
      </c>
      <c r="K35" s="371">
        <v>4.2312197685241699</v>
      </c>
      <c r="L35" s="372">
        <v>2.6234416961669922</v>
      </c>
      <c r="M35" s="373">
        <v>16.169824600219727</v>
      </c>
      <c r="N35" s="374">
        <v>3.0999999046325684</v>
      </c>
      <c r="O35" s="342"/>
      <c r="P35" s="384"/>
      <c r="Q35" s="385">
        <f t="shared" si="2"/>
        <v>15.037873983705865</v>
      </c>
      <c r="R35">
        <f>ricco_price_effects_and_etr!$D$25*100</f>
        <v>11.937874079073296</v>
      </c>
      <c r="T35" s="443">
        <v>23783.638671875</v>
      </c>
      <c r="U35" s="443">
        <v>165.77976989746094</v>
      </c>
      <c r="V35" s="443">
        <v>136.38848876953125</v>
      </c>
      <c r="W35" s="443">
        <v>4.1356992721557617</v>
      </c>
      <c r="X35" s="93"/>
      <c r="Y35">
        <f t="shared" si="1"/>
        <v>23733.542931445314</v>
      </c>
      <c r="AB35" s="60"/>
      <c r="AC35" s="60"/>
      <c r="AD35" s="60"/>
      <c r="AE35" s="60"/>
      <c r="AF35" s="94"/>
      <c r="AI35">
        <f>AVERAGE(B28:B31)-AI27-AI23-AI19-AI15-AI11-AI7-AI31</f>
        <v>0</v>
      </c>
      <c r="AO35" s="391"/>
      <c r="AP35" s="391"/>
      <c r="AQ35" s="391"/>
      <c r="AR35" s="391"/>
      <c r="AS35" s="391"/>
      <c r="AW35" s="389"/>
      <c r="AX35" s="389"/>
      <c r="BE35" s="389"/>
      <c r="BF35" s="389"/>
      <c r="BI35" s="390"/>
      <c r="BJ35" s="390"/>
      <c r="BK35" s="60"/>
    </row>
    <row r="36" spans="1:63">
      <c r="A36" s="156">
        <v>48488</v>
      </c>
      <c r="B36" s="157">
        <f>MIN(100*(T36/H36-1),'F5 Foreign GDP'!B$2)</f>
        <v>-0.31</v>
      </c>
      <c r="E36" s="94"/>
      <c r="G36" s="369">
        <v>48488</v>
      </c>
      <c r="H36" s="370">
        <v>23909.390625</v>
      </c>
      <c r="I36" s="370">
        <v>164.48455810546875</v>
      </c>
      <c r="J36" s="371">
        <v>136.16108703613281</v>
      </c>
      <c r="K36" s="371">
        <v>4.2299880981445313</v>
      </c>
      <c r="L36" s="372">
        <v>2.6233584880828857</v>
      </c>
      <c r="M36" s="373">
        <v>16.169445037841797</v>
      </c>
      <c r="N36" s="374">
        <v>3.0999999046325684</v>
      </c>
      <c r="O36" s="348"/>
      <c r="P36" s="384"/>
      <c r="Q36" s="385">
        <f t="shared" si="2"/>
        <v>15.037873983705865</v>
      </c>
      <c r="R36">
        <f>ricco_price_effects_and_etr!$D$25*100</f>
        <v>11.937874079073296</v>
      </c>
      <c r="T36" s="444">
        <v>23888.81640625</v>
      </c>
      <c r="U36" s="444">
        <v>166.64466857910156</v>
      </c>
      <c r="V36" s="444">
        <v>136.51300048828125</v>
      </c>
      <c r="W36" s="444">
        <v>4.1200261116027832</v>
      </c>
      <c r="X36" s="93"/>
      <c r="Y36">
        <f t="shared" si="1"/>
        <v>23835.271514062501</v>
      </c>
      <c r="AB36" s="60"/>
      <c r="AC36" s="60"/>
      <c r="AD36" s="60"/>
      <c r="AE36" s="60"/>
      <c r="AF36" s="94"/>
      <c r="AO36" s="391"/>
      <c r="AP36" s="391"/>
      <c r="AQ36" s="391"/>
      <c r="AR36" s="391"/>
      <c r="AS36" s="391"/>
      <c r="AW36" s="392"/>
      <c r="AX36" s="392"/>
      <c r="BE36" s="392"/>
      <c r="BF36" s="392"/>
      <c r="BI36" s="393"/>
      <c r="BJ36" s="393"/>
      <c r="BK36" s="60"/>
    </row>
    <row r="37" spans="1:63">
      <c r="A37" s="156">
        <v>48580</v>
      </c>
      <c r="B37" s="157">
        <f>MIN(100*(T37/H37-1),'F5 Foreign GDP'!B$2)</f>
        <v>-0.31</v>
      </c>
      <c r="E37" s="94"/>
      <c r="G37" s="369">
        <v>48580</v>
      </c>
      <c r="H37" s="370">
        <v>24013.8828125</v>
      </c>
      <c r="I37" s="370">
        <v>165.31185913085938</v>
      </c>
      <c r="J37" s="371">
        <v>136.24830627441406</v>
      </c>
      <c r="K37" s="371">
        <v>4.22821044921875</v>
      </c>
      <c r="L37" s="372">
        <v>2.624565601348877</v>
      </c>
      <c r="M37" s="373">
        <v>16.169208526611328</v>
      </c>
      <c r="N37" s="374">
        <v>3.0999999046325684</v>
      </c>
      <c r="O37" s="342"/>
      <c r="P37" s="384"/>
      <c r="Q37" s="385">
        <f t="shared" si="2"/>
        <v>15.037873983705865</v>
      </c>
      <c r="R37">
        <f>ricco_price_effects_and_etr!$D$25*100</f>
        <v>11.937874079073296</v>
      </c>
      <c r="T37" s="443">
        <v>23996.162109375</v>
      </c>
      <c r="U37" s="443">
        <v>167.524658203125</v>
      </c>
      <c r="V37" s="443">
        <v>136.63493347167969</v>
      </c>
      <c r="W37" s="443">
        <v>4.1056065559387207</v>
      </c>
      <c r="X37" s="93"/>
      <c r="Y37">
        <f t="shared" si="1"/>
        <v>23939.439775781251</v>
      </c>
      <c r="AB37" s="60"/>
      <c r="AC37" s="60"/>
      <c r="AD37" s="60"/>
      <c r="AE37" s="60"/>
      <c r="AF37" s="94"/>
      <c r="AO37" s="394"/>
      <c r="AP37" s="394"/>
      <c r="AQ37" s="391"/>
      <c r="AR37" s="391"/>
      <c r="AS37" s="391"/>
      <c r="AW37" s="389"/>
      <c r="AX37" s="389"/>
      <c r="BE37" s="389"/>
      <c r="BF37" s="389"/>
      <c r="BI37" s="390"/>
      <c r="BJ37" s="390"/>
      <c r="BK37" s="60"/>
    </row>
    <row r="38" spans="1:63">
      <c r="A38" s="156">
        <v>48670</v>
      </c>
      <c r="B38" s="157">
        <f>MIN(100*(T38/H38-1),'F5 Foreign GDP'!B$2)</f>
        <v>-0.31</v>
      </c>
      <c r="E38" s="94"/>
      <c r="G38" s="369">
        <v>48670</v>
      </c>
      <c r="H38" s="370">
        <v>24121.4453125</v>
      </c>
      <c r="I38" s="370">
        <v>166.14698791503906</v>
      </c>
      <c r="J38" s="371">
        <v>136.34034729003906</v>
      </c>
      <c r="K38" s="371">
        <v>4.2236404418945313</v>
      </c>
      <c r="L38" s="372">
        <v>2.6250040531158447</v>
      </c>
      <c r="M38" s="373">
        <v>16.169063568115234</v>
      </c>
      <c r="N38" s="374">
        <v>3.0999999046325684</v>
      </c>
      <c r="O38" s="342"/>
      <c r="P38" s="384"/>
      <c r="Q38" s="385">
        <f t="shared" si="2"/>
        <v>15.037873983705865</v>
      </c>
      <c r="R38">
        <f>ricco_price_effects_and_etr!$D$25*100</f>
        <v>11.937874079073296</v>
      </c>
      <c r="T38" s="443">
        <v>24106.259765625</v>
      </c>
      <c r="U38" s="443">
        <v>168.41535949707031</v>
      </c>
      <c r="V38" s="443">
        <v>136.75836181640625</v>
      </c>
      <c r="W38" s="443">
        <v>4.0898489952087402</v>
      </c>
      <c r="X38" s="93"/>
      <c r="Y38">
        <f t="shared" si="1"/>
        <v>24046.66883203125</v>
      </c>
      <c r="AB38" s="60"/>
      <c r="AC38" s="60"/>
      <c r="AD38" s="60"/>
      <c r="AE38" s="60"/>
      <c r="AF38" s="94"/>
      <c r="AO38" s="391"/>
      <c r="AP38" s="391"/>
      <c r="AQ38" s="391"/>
      <c r="AR38" s="391"/>
      <c r="AS38" s="391"/>
      <c r="AW38" s="389"/>
      <c r="AX38" s="389"/>
      <c r="BE38" s="389"/>
      <c r="BF38" s="389"/>
      <c r="BI38" s="390"/>
      <c r="BJ38" s="390"/>
      <c r="BK38" s="60"/>
    </row>
    <row r="39" spans="1:63">
      <c r="A39" s="156">
        <v>48761</v>
      </c>
      <c r="B39" s="157">
        <f>MIN(100*(T39/H39-1),'F5 Foreign GDP'!B$2)</f>
        <v>-0.31</v>
      </c>
      <c r="E39" s="94"/>
      <c r="G39" s="369">
        <v>48761</v>
      </c>
      <c r="H39" s="370">
        <v>24227.255859375</v>
      </c>
      <c r="I39" s="370">
        <v>166.96272277832031</v>
      </c>
      <c r="J39" s="371">
        <v>136.42851257324219</v>
      </c>
      <c r="K39" s="371">
        <v>4.2179923057556152</v>
      </c>
      <c r="L39" s="372">
        <v>2.6250882148742676</v>
      </c>
      <c r="M39" s="373">
        <v>16.168973922729492</v>
      </c>
      <c r="N39" s="374">
        <v>3.0999999046325684</v>
      </c>
      <c r="O39" s="342"/>
      <c r="P39" s="384"/>
      <c r="Q39" s="385">
        <f t="shared" si="2"/>
        <v>15.037873983705865</v>
      </c>
      <c r="R39">
        <f>ricco_price_effects_and_etr!$D$25*100</f>
        <v>11.937874079073296</v>
      </c>
      <c r="T39" s="443">
        <v>24214.169921875</v>
      </c>
      <c r="U39" s="443">
        <v>169.28935241699219</v>
      </c>
      <c r="V39" s="443">
        <v>136.87393188476563</v>
      </c>
      <c r="W39" s="443">
        <v>4.0750107765197754</v>
      </c>
      <c r="X39" s="93"/>
      <c r="Y39">
        <f t="shared" si="1"/>
        <v>24152.151366210939</v>
      </c>
      <c r="AB39" s="60"/>
      <c r="AC39" s="60"/>
      <c r="AD39" s="60"/>
      <c r="AE39" s="60"/>
      <c r="AF39" s="94"/>
      <c r="AO39" s="391"/>
      <c r="AP39" s="391"/>
      <c r="AQ39" s="391"/>
      <c r="AR39" s="391"/>
      <c r="AS39" s="391"/>
      <c r="AW39" s="389"/>
      <c r="AX39" s="389"/>
      <c r="BE39" s="389"/>
      <c r="BF39" s="389"/>
      <c r="BI39" s="390"/>
      <c r="BJ39" s="390"/>
      <c r="BK39" s="60"/>
    </row>
    <row r="40" spans="1:63">
      <c r="A40" s="156">
        <v>48853</v>
      </c>
      <c r="B40" s="157">
        <f>MIN(100*(T40/H40-1),'F5 Foreign GDP'!B$2)</f>
        <v>-0.31</v>
      </c>
      <c r="E40" s="94"/>
      <c r="G40" s="369">
        <v>48853</v>
      </c>
      <c r="H40" s="370">
        <v>24331.755859375</v>
      </c>
      <c r="I40" s="370">
        <v>167.78543090820313</v>
      </c>
      <c r="J40" s="371">
        <v>136.50999450683594</v>
      </c>
      <c r="K40" s="371">
        <v>4.2173175811767578</v>
      </c>
      <c r="L40" s="372">
        <v>2.6251087188720703</v>
      </c>
      <c r="M40" s="373">
        <v>16.168916702270508</v>
      </c>
      <c r="N40" s="374">
        <v>3.0999999046325684</v>
      </c>
      <c r="O40" s="348"/>
      <c r="P40" s="384"/>
      <c r="Q40" s="385">
        <f t="shared" si="2"/>
        <v>15.037873983705865</v>
      </c>
      <c r="R40">
        <f>ricco_price_effects_and_etr!$D$25*100</f>
        <v>11.937874079073296</v>
      </c>
      <c r="T40" s="444">
        <v>24320.1875</v>
      </c>
      <c r="U40" s="444">
        <v>170.17323303222656</v>
      </c>
      <c r="V40" s="444">
        <v>136.97988891601563</v>
      </c>
      <c r="W40" s="444">
        <v>4.0662059783935547</v>
      </c>
      <c r="X40" s="93"/>
      <c r="Y40">
        <f t="shared" si="1"/>
        <v>24256.327416210937</v>
      </c>
      <c r="AB40" s="60"/>
      <c r="AC40" s="60"/>
      <c r="AD40" s="60"/>
      <c r="AE40" s="60"/>
      <c r="AF40" s="94"/>
      <c r="AO40" s="391"/>
      <c r="AP40" s="391"/>
      <c r="AQ40" s="391"/>
      <c r="AR40" s="391"/>
      <c r="AS40" s="391"/>
      <c r="AW40" s="392"/>
      <c r="AX40" s="392"/>
      <c r="BE40" s="392"/>
      <c r="BF40" s="392"/>
      <c r="BI40" s="393"/>
      <c r="BJ40" s="393"/>
      <c r="BK40" s="60"/>
    </row>
    <row r="41" spans="1:63">
      <c r="A41" s="156">
        <v>48945</v>
      </c>
      <c r="B41" s="157">
        <f>MIN(100*(T41/H41-1),'F5 Foreign GDP'!B$2)</f>
        <v>-0.31</v>
      </c>
      <c r="E41" s="94"/>
      <c r="G41" s="369">
        <v>48945</v>
      </c>
      <c r="H41" s="370">
        <v>24438.955078125</v>
      </c>
      <c r="I41" s="370">
        <v>168.61459350585938</v>
      </c>
      <c r="J41" s="371">
        <v>136.58833312988281</v>
      </c>
      <c r="K41" s="371">
        <v>4.2188882827758789</v>
      </c>
      <c r="L41" s="372">
        <v>2.6255500316619873</v>
      </c>
      <c r="M41" s="373">
        <v>16.168882369995117</v>
      </c>
      <c r="N41" s="374">
        <v>3.0999999046325684</v>
      </c>
      <c r="O41" s="342"/>
      <c r="P41" s="384"/>
      <c r="Q41" s="385">
        <f t="shared" si="2"/>
        <v>15.037873983705865</v>
      </c>
      <c r="R41">
        <f>ricco_price_effects_and_etr!$D$25*100</f>
        <v>11.937874079073296</v>
      </c>
      <c r="T41" s="443">
        <v>24428.390625</v>
      </c>
      <c r="U41" s="443">
        <v>171.06623840332031</v>
      </c>
      <c r="V41" s="443">
        <v>137.07980346679688</v>
      </c>
      <c r="W41" s="443">
        <v>4.0606307983398438</v>
      </c>
      <c r="X41" s="93"/>
      <c r="Y41">
        <f t="shared" si="1"/>
        <v>24363.194317382811</v>
      </c>
      <c r="AB41" s="60"/>
      <c r="AC41" s="60"/>
      <c r="AD41" s="60"/>
      <c r="AE41" s="60"/>
      <c r="AF41" s="94"/>
      <c r="AO41" s="394"/>
      <c r="AP41" s="394"/>
      <c r="AQ41" s="391"/>
      <c r="AR41" s="391"/>
      <c r="AS41" s="391"/>
      <c r="AW41" s="389"/>
      <c r="AX41" s="389"/>
      <c r="BE41" s="389"/>
      <c r="BF41" s="389"/>
      <c r="BI41" s="390"/>
      <c r="BJ41" s="390"/>
      <c r="BK41" s="60"/>
    </row>
    <row r="42" spans="1:63">
      <c r="A42" s="156">
        <v>49035</v>
      </c>
      <c r="B42" s="157">
        <f>MIN(100*(T42/H42-1),'F5 Foreign GDP'!B$2)</f>
        <v>-0.31</v>
      </c>
      <c r="E42" s="94"/>
      <c r="G42" s="369">
        <v>49035</v>
      </c>
      <c r="H42" s="370">
        <v>24550.01171875</v>
      </c>
      <c r="I42" s="370">
        <v>169.4427490234375</v>
      </c>
      <c r="J42" s="371">
        <v>136.66954040527344</v>
      </c>
      <c r="K42" s="371">
        <v>4.219386100769043</v>
      </c>
      <c r="L42" s="372">
        <v>2.6252439022064209</v>
      </c>
      <c r="M42" s="373">
        <v>16.168861389160156</v>
      </c>
      <c r="N42" s="374">
        <v>3.0999999046325684</v>
      </c>
      <c r="O42" s="342"/>
      <c r="P42" s="384"/>
      <c r="Q42" s="385">
        <f t="shared" si="2"/>
        <v>15.037873983705865</v>
      </c>
      <c r="R42">
        <f>ricco_price_effects_and_etr!$D$25*100</f>
        <v>11.937874079073296</v>
      </c>
      <c r="T42" s="443">
        <v>24539.931640625</v>
      </c>
      <c r="U42" s="443">
        <v>171.96095275878906</v>
      </c>
      <c r="V42" s="443">
        <v>137.17820739746094</v>
      </c>
      <c r="W42" s="443">
        <v>4.0560531616210938</v>
      </c>
      <c r="X42" s="93"/>
      <c r="Y42">
        <f t="shared" si="1"/>
        <v>24473.906682421875</v>
      </c>
      <c r="AB42" s="60"/>
      <c r="AC42" s="60"/>
      <c r="AD42" s="60"/>
      <c r="AE42" s="60"/>
      <c r="AF42" s="94"/>
      <c r="AO42" s="391"/>
      <c r="AP42" s="391"/>
      <c r="AQ42" s="391"/>
      <c r="AR42" s="391"/>
      <c r="AS42" s="391"/>
      <c r="AW42" s="389"/>
      <c r="AX42" s="389"/>
      <c r="BE42" s="389"/>
      <c r="BF42" s="389"/>
      <c r="BI42" s="390"/>
      <c r="BJ42" s="390"/>
      <c r="BK42" s="60"/>
    </row>
    <row r="43" spans="1:63">
      <c r="A43" s="156">
        <v>49126</v>
      </c>
      <c r="B43" s="157">
        <f>MIN(100*(T43/H43-1),'F5 Foreign GDP'!B$2)</f>
        <v>-0.31</v>
      </c>
      <c r="E43" s="94"/>
      <c r="G43" s="369">
        <v>49126</v>
      </c>
      <c r="H43" s="370">
        <v>24660.83203125</v>
      </c>
      <c r="I43" s="370">
        <v>170.27711486816406</v>
      </c>
      <c r="J43" s="371">
        <v>136.74754333496094</v>
      </c>
      <c r="K43" s="371">
        <v>4.2148985862731934</v>
      </c>
      <c r="L43" s="372">
        <v>2.626323938369751</v>
      </c>
      <c r="M43" s="373">
        <v>16.168848037719727</v>
      </c>
      <c r="N43" s="374">
        <v>3.0999999046325684</v>
      </c>
      <c r="O43" s="342"/>
      <c r="P43" s="384"/>
      <c r="Q43" s="385">
        <f t="shared" si="2"/>
        <v>15.037873983705865</v>
      </c>
      <c r="R43">
        <f>ricco_price_effects_and_etr!$D$25*100</f>
        <v>11.937874079073296</v>
      </c>
      <c r="T43" s="443">
        <v>24650.857421875</v>
      </c>
      <c r="U43" s="443">
        <v>172.86480712890625</v>
      </c>
      <c r="V43" s="443">
        <v>137.26985168457031</v>
      </c>
      <c r="W43" s="443">
        <v>4.0480256080627441</v>
      </c>
      <c r="X43" s="93"/>
      <c r="Y43">
        <f t="shared" si="1"/>
        <v>24584.383451953126</v>
      </c>
      <c r="AB43" s="60"/>
      <c r="AC43" s="60"/>
      <c r="AD43" s="60"/>
      <c r="AE43" s="60"/>
      <c r="AF43" s="94"/>
      <c r="AO43" s="391"/>
      <c r="AP43" s="391"/>
      <c r="AQ43" s="391"/>
      <c r="AR43" s="391"/>
      <c r="AS43" s="391"/>
      <c r="AW43" s="389"/>
      <c r="AX43" s="389"/>
      <c r="BE43" s="389"/>
      <c r="BF43" s="389"/>
      <c r="BI43" s="390"/>
      <c r="BJ43" s="390"/>
      <c r="BK43" s="60"/>
    </row>
    <row r="44" spans="1:63">
      <c r="A44" s="156">
        <v>49218</v>
      </c>
      <c r="B44" s="157">
        <f>MIN(100*(T44/H44-1),'F5 Foreign GDP'!B$2)</f>
        <v>-0.31</v>
      </c>
      <c r="E44" s="94"/>
      <c r="G44" s="369">
        <v>49218</v>
      </c>
      <c r="H44" s="370">
        <v>24772.056640625</v>
      </c>
      <c r="I44" s="370">
        <v>171.12074279785156</v>
      </c>
      <c r="J44" s="371">
        <v>136.82351684570313</v>
      </c>
      <c r="K44" s="371">
        <v>4.2125720977783203</v>
      </c>
      <c r="L44" s="372">
        <v>2.6268045902252197</v>
      </c>
      <c r="M44" s="373">
        <v>16.168840408325195</v>
      </c>
      <c r="N44" s="374">
        <v>3.0999999046325684</v>
      </c>
      <c r="O44" s="348"/>
      <c r="P44" s="384"/>
      <c r="Q44" s="385">
        <f t="shared" si="2"/>
        <v>15.037873983705865</v>
      </c>
      <c r="R44">
        <f>ricco_price_effects_and_etr!$D$25*100</f>
        <v>11.937874079073296</v>
      </c>
      <c r="T44" s="444">
        <v>24761.90234375</v>
      </c>
      <c r="U44" s="444">
        <v>173.78065490722656</v>
      </c>
      <c r="V44" s="444">
        <v>137.35716247558594</v>
      </c>
      <c r="W44" s="444">
        <v>4.0427603721618652</v>
      </c>
      <c r="X44" s="93"/>
      <c r="Y44">
        <f t="shared" si="1"/>
        <v>24695.263265039062</v>
      </c>
      <c r="AB44" s="60"/>
      <c r="AC44" s="60"/>
      <c r="AD44" s="60"/>
      <c r="AE44" s="60"/>
      <c r="AF44" s="94"/>
      <c r="AO44" s="391"/>
      <c r="AP44" s="391"/>
      <c r="AQ44" s="391"/>
      <c r="AR44" s="391"/>
      <c r="AS44" s="391"/>
      <c r="AW44" s="392"/>
      <c r="AX44" s="392"/>
      <c r="BE44" s="392"/>
      <c r="BF44" s="392"/>
      <c r="BI44" s="393"/>
      <c r="BJ44" s="393"/>
      <c r="BK44" s="60"/>
    </row>
    <row r="45" spans="1:63">
      <c r="A45" s="156">
        <v>49310</v>
      </c>
      <c r="B45" s="157">
        <f>MIN(100*(T45/H45-1),'F5 Foreign GDP'!B$2)</f>
        <v>-0.31</v>
      </c>
      <c r="E45" s="94"/>
      <c r="G45" s="369">
        <v>49310</v>
      </c>
      <c r="H45" s="370">
        <v>24886.5859375</v>
      </c>
      <c r="I45" s="370">
        <v>171.97624206542969</v>
      </c>
      <c r="J45" s="371">
        <v>136.89849853515625</v>
      </c>
      <c r="K45" s="371">
        <v>4.2123184204101563</v>
      </c>
      <c r="L45" s="372">
        <v>2.6266076564788818</v>
      </c>
      <c r="M45" s="373">
        <v>16.168834686279297</v>
      </c>
      <c r="N45" s="374">
        <v>3.0999999046325684</v>
      </c>
      <c r="O45" s="342"/>
      <c r="P45" s="384"/>
      <c r="Q45" s="385">
        <f t="shared" si="2"/>
        <v>15.037873983705865</v>
      </c>
      <c r="R45">
        <f>ricco_price_effects_and_etr!$D$25*100</f>
        <v>11.937874079073296</v>
      </c>
      <c r="T45" s="443">
        <v>24875.966796875</v>
      </c>
      <c r="U45" s="443">
        <v>174.7109375</v>
      </c>
      <c r="V45" s="443">
        <v>137.44149780273438</v>
      </c>
      <c r="W45" s="443">
        <v>4.0402288436889648</v>
      </c>
      <c r="X45" s="93"/>
      <c r="Y45">
        <f t="shared" si="1"/>
        <v>24809.437521093751</v>
      </c>
      <c r="AB45" s="60"/>
      <c r="AC45" s="60"/>
      <c r="AD45" s="60"/>
      <c r="AE45" s="60"/>
      <c r="AF45" s="94"/>
      <c r="AO45" s="394"/>
      <c r="AP45" s="394"/>
      <c r="AQ45" s="391"/>
      <c r="AR45" s="391"/>
      <c r="AS45" s="391"/>
      <c r="AW45" s="389"/>
      <c r="AX45" s="389"/>
      <c r="BE45" s="389"/>
      <c r="BF45" s="389"/>
      <c r="BI45" s="390"/>
      <c r="BJ45" s="390"/>
      <c r="BK45" s="60"/>
    </row>
    <row r="46" spans="1:63">
      <c r="A46" s="156">
        <v>49400</v>
      </c>
      <c r="B46" s="157">
        <f>MIN(100*(T46/H46-1),'F5 Foreign GDP'!B$2)</f>
        <v>-0.31</v>
      </c>
      <c r="E46" s="94"/>
      <c r="G46" s="369">
        <v>49400</v>
      </c>
      <c r="H46" s="370">
        <v>25002.3671875</v>
      </c>
      <c r="I46" s="370">
        <v>172.83206176757813</v>
      </c>
      <c r="J46" s="371">
        <v>136.97587585449219</v>
      </c>
      <c r="K46" s="371">
        <v>4.2115287780761719</v>
      </c>
      <c r="L46" s="372">
        <v>2.6268002986907959</v>
      </c>
      <c r="M46" s="373">
        <v>16.168830871582031</v>
      </c>
      <c r="N46" s="374">
        <v>3.0999999046325684</v>
      </c>
      <c r="O46" s="342"/>
      <c r="P46" s="384"/>
      <c r="Q46" s="385">
        <f t="shared" si="2"/>
        <v>15.037873983705865</v>
      </c>
      <c r="R46">
        <f>ricco_price_effects_and_etr!$D$25*100</f>
        <v>11.937874079073296</v>
      </c>
      <c r="T46" s="443">
        <v>24991.05859375</v>
      </c>
      <c r="U46" s="443">
        <v>175.64419555664063</v>
      </c>
      <c r="V46" s="443">
        <v>137.52680969238281</v>
      </c>
      <c r="W46" s="443">
        <v>4.0374932289123535</v>
      </c>
      <c r="X46" s="93"/>
      <c r="Y46">
        <f t="shared" si="1"/>
        <v>24924.859849218748</v>
      </c>
      <c r="AB46" s="60"/>
      <c r="AC46" s="60"/>
      <c r="AD46" s="60"/>
      <c r="AE46" s="60"/>
      <c r="AF46" s="94"/>
      <c r="AO46" s="391"/>
      <c r="AP46" s="391"/>
      <c r="AQ46" s="391"/>
      <c r="AR46" s="391"/>
      <c r="AS46" s="391"/>
      <c r="AW46" s="389"/>
      <c r="AX46" s="389"/>
      <c r="BE46" s="389"/>
      <c r="BF46" s="389"/>
      <c r="BI46" s="390"/>
      <c r="BJ46" s="390"/>
      <c r="BK46" s="60"/>
    </row>
    <row r="47" spans="1:63">
      <c r="A47" s="156">
        <v>49491</v>
      </c>
      <c r="B47" s="157">
        <f>MIN(100*(T47/H47-1),'F5 Foreign GDP'!B$2)</f>
        <v>-0.31</v>
      </c>
      <c r="E47" s="94"/>
      <c r="G47" s="369">
        <v>49491</v>
      </c>
      <c r="H47" s="370">
        <v>25115.58203125</v>
      </c>
      <c r="I47" s="370">
        <v>173.69082641601563</v>
      </c>
      <c r="J47" s="371">
        <v>137.04545593261719</v>
      </c>
      <c r="K47" s="371">
        <v>4.2130379676818848</v>
      </c>
      <c r="L47" s="372">
        <v>2.6268301010131836</v>
      </c>
      <c r="M47" s="373">
        <v>16.168828964233398</v>
      </c>
      <c r="N47" s="374">
        <v>3.0999999046325684</v>
      </c>
      <c r="O47" s="342"/>
      <c r="P47" s="384"/>
      <c r="Q47" s="385">
        <f t="shared" si="2"/>
        <v>15.037873983705865</v>
      </c>
      <c r="R47">
        <f>ricco_price_effects_and_etr!$D$25*100</f>
        <v>11.937874079073296</v>
      </c>
      <c r="T47" s="443">
        <v>25103.25390625</v>
      </c>
      <c r="U47" s="443">
        <v>176.58294677734375</v>
      </c>
      <c r="V47" s="443">
        <v>137.60142517089844</v>
      </c>
      <c r="W47" s="443">
        <v>4.0385408401489258</v>
      </c>
      <c r="X47" s="93"/>
      <c r="Y47">
        <f t="shared" si="1"/>
        <v>25037.723726953125</v>
      </c>
      <c r="AB47" s="60"/>
      <c r="AC47" s="60"/>
      <c r="AD47" s="60"/>
      <c r="AE47" s="60"/>
      <c r="AF47" s="94"/>
      <c r="AO47" s="391"/>
      <c r="AP47" s="391"/>
      <c r="AQ47" s="391"/>
      <c r="AR47" s="391"/>
      <c r="AS47" s="391"/>
      <c r="AW47" s="389"/>
      <c r="AX47" s="389"/>
      <c r="BE47" s="389"/>
      <c r="BF47" s="389"/>
      <c r="BI47" s="390"/>
      <c r="BJ47" s="390"/>
      <c r="BK47" s="60"/>
    </row>
    <row r="48" spans="1:63" ht="12.95" thickBot="1">
      <c r="A48" s="158">
        <v>49583</v>
      </c>
      <c r="B48" s="159">
        <f>MIN(100*(T48/H48-1),'F5 Foreign GDP'!B$2)</f>
        <v>-0.31</v>
      </c>
      <c r="E48" s="94"/>
      <c r="G48" s="375">
        <v>49583</v>
      </c>
      <c r="H48" s="376">
        <v>25227.162109375</v>
      </c>
      <c r="I48" s="376">
        <v>174.54570007324219</v>
      </c>
      <c r="J48" s="377">
        <v>137.10441589355469</v>
      </c>
      <c r="K48" s="377">
        <v>4.2222094535827637</v>
      </c>
      <c r="L48" s="378">
        <v>2.6268954277038574</v>
      </c>
      <c r="M48" s="379">
        <v>16.168827056884766</v>
      </c>
      <c r="N48" s="380">
        <v>3.0999999046325684</v>
      </c>
      <c r="O48" s="342"/>
      <c r="P48" s="386"/>
      <c r="Q48" s="387">
        <f t="shared" si="2"/>
        <v>15.037873983705865</v>
      </c>
      <c r="R48">
        <f>ricco_price_effects_and_etr!$D$25*100</f>
        <v>11.937874079073296</v>
      </c>
      <c r="T48" s="443">
        <v>25213.435546875</v>
      </c>
      <c r="U48" s="443">
        <v>177.51980590820313</v>
      </c>
      <c r="V48" s="443">
        <v>137.6644287109375</v>
      </c>
      <c r="W48" s="443">
        <v>4.0473318099975586</v>
      </c>
      <c r="X48" s="93"/>
      <c r="Y48">
        <f t="shared" si="1"/>
        <v>25148.957906835938</v>
      </c>
      <c r="AB48" s="60"/>
      <c r="AC48" s="60"/>
      <c r="AD48" s="60"/>
      <c r="AE48" s="60"/>
      <c r="AF48" s="94"/>
      <c r="AO48" s="391"/>
      <c r="AP48" s="391"/>
      <c r="AQ48" s="391"/>
      <c r="AR48" s="391"/>
      <c r="AS48" s="391"/>
      <c r="AW48" s="389"/>
      <c r="AX48" s="389"/>
      <c r="BE48" s="389"/>
      <c r="BF48" s="389"/>
      <c r="BI48" s="390"/>
      <c r="BJ48" s="390"/>
      <c r="BK48" s="60"/>
    </row>
    <row r="49" spans="7:46" ht="12.95" thickBot="1">
      <c r="AO49" s="391"/>
      <c r="AP49" s="391"/>
      <c r="AQ49" s="391"/>
      <c r="AR49" s="391"/>
      <c r="AS49" s="391"/>
    </row>
    <row r="50" spans="7:46">
      <c r="G50" s="243" t="s">
        <v>324</v>
      </c>
      <c r="H50" s="235"/>
      <c r="I50" s="235"/>
      <c r="J50" s="235"/>
      <c r="K50" s="235"/>
      <c r="L50" s="235"/>
      <c r="M50" s="235"/>
      <c r="N50" s="235"/>
      <c r="O50" s="235"/>
      <c r="P50" s="235"/>
      <c r="Q50" s="230"/>
    </row>
    <row r="51" spans="7:46" ht="14.1">
      <c r="G51" s="381">
        <v>2025</v>
      </c>
      <c r="H51" s="95">
        <v>2026</v>
      </c>
      <c r="I51" s="95">
        <v>2027</v>
      </c>
      <c r="J51" s="95">
        <v>2028</v>
      </c>
      <c r="K51" s="95">
        <v>2029</v>
      </c>
      <c r="L51" s="95">
        <v>2030</v>
      </c>
      <c r="M51" s="95">
        <v>2031</v>
      </c>
      <c r="N51" s="95">
        <v>2032</v>
      </c>
      <c r="O51" s="95">
        <v>2033</v>
      </c>
      <c r="P51" s="95">
        <v>2034</v>
      </c>
      <c r="Q51" s="382">
        <v>2035</v>
      </c>
    </row>
    <row r="52" spans="7:46" ht="14.45" thickBot="1">
      <c r="G52" s="233">
        <f>AI7</f>
        <v>-0.18702118075953067</v>
      </c>
      <c r="H52" s="237">
        <f>AI11</f>
        <v>-0.62555134476329766</v>
      </c>
      <c r="I52" s="237">
        <f>AI15</f>
        <v>7.5513267810775608E-2</v>
      </c>
      <c r="J52" s="237">
        <f>AI19</f>
        <v>0.21273778866452431</v>
      </c>
      <c r="K52" s="237">
        <f>AI23</f>
        <v>0.15708744844985523</v>
      </c>
      <c r="L52" s="237">
        <f>AI27</f>
        <v>5.124642801464474E-2</v>
      </c>
      <c r="M52" s="237">
        <f>AI31</f>
        <v>5.9875925830283894E-3</v>
      </c>
      <c r="N52" s="237"/>
      <c r="O52" s="237"/>
      <c r="P52" s="237"/>
      <c r="Q52" s="234"/>
      <c r="AQ52" s="96"/>
      <c r="AR52" s="96"/>
      <c r="AS52" s="96"/>
    </row>
    <row r="53" spans="7:46"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</row>
    <row r="54" spans="7:46">
      <c r="P54" s="91"/>
      <c r="Q54" s="91"/>
      <c r="R54" s="91"/>
      <c r="S54" s="344"/>
      <c r="T54" s="91"/>
      <c r="U54" s="344"/>
      <c r="V54" s="91"/>
      <c r="W54" s="91"/>
      <c r="X54" s="91"/>
      <c r="Y54" s="91"/>
      <c r="Z54" s="344"/>
      <c r="AA54" s="91"/>
      <c r="AB54" s="91"/>
      <c r="AC54" s="91"/>
      <c r="AD54" s="344"/>
      <c r="AE54" s="91"/>
      <c r="AF54" s="91"/>
      <c r="AG54" s="91"/>
      <c r="AH54" s="344"/>
      <c r="AI54" s="91"/>
      <c r="AJ54" s="91"/>
      <c r="AK54" s="91"/>
      <c r="AL54" s="344"/>
      <c r="AM54" s="91"/>
      <c r="AN54" s="91"/>
      <c r="AO54" s="91"/>
      <c r="AP54" s="344"/>
      <c r="AQ54" s="91"/>
      <c r="AR54" s="91"/>
      <c r="AS54" s="91"/>
      <c r="AT54" s="91"/>
    </row>
    <row r="55" spans="7:46">
      <c r="P55" s="91"/>
      <c r="Q55" s="91"/>
      <c r="R55" s="91"/>
      <c r="S55" s="344"/>
      <c r="T55" s="91"/>
      <c r="U55" s="344"/>
      <c r="V55" s="91"/>
      <c r="W55" s="91"/>
      <c r="X55" s="91"/>
      <c r="Y55" s="91"/>
      <c r="Z55" s="344"/>
      <c r="AA55" s="91"/>
      <c r="AB55" s="91"/>
      <c r="AC55" s="91"/>
      <c r="AD55" s="344"/>
      <c r="AE55" s="91"/>
      <c r="AF55" s="91"/>
      <c r="AG55" s="91"/>
      <c r="AH55" s="344"/>
      <c r="AI55" s="91"/>
      <c r="AJ55" s="91"/>
      <c r="AK55" s="91"/>
      <c r="AL55" s="344"/>
      <c r="AM55" s="91"/>
      <c r="AN55" s="91"/>
      <c r="AO55" s="91"/>
      <c r="AP55" s="344"/>
      <c r="AQ55" s="91"/>
      <c r="AR55" s="91"/>
      <c r="AS55" s="91"/>
      <c r="AT55" s="91"/>
    </row>
    <row r="56" spans="7:46">
      <c r="P56" s="339"/>
      <c r="Q56" s="339"/>
      <c r="R56" s="339"/>
      <c r="S56" s="345"/>
      <c r="T56" s="339"/>
      <c r="U56" s="345"/>
      <c r="V56" s="339"/>
      <c r="W56" s="339"/>
      <c r="X56" s="339"/>
      <c r="Y56" s="339"/>
      <c r="Z56" s="345"/>
      <c r="AA56" s="339"/>
      <c r="AB56" s="339"/>
      <c r="AC56" s="339"/>
      <c r="AD56" s="345"/>
      <c r="AE56" s="339"/>
      <c r="AF56" s="339"/>
      <c r="AG56" s="339"/>
      <c r="AH56" s="345"/>
      <c r="AI56" s="339"/>
      <c r="AJ56" s="339"/>
      <c r="AK56" s="339"/>
      <c r="AL56" s="345"/>
      <c r="AM56" s="339"/>
      <c r="AN56" s="339"/>
      <c r="AO56" s="339"/>
      <c r="AP56" s="345"/>
      <c r="AQ56" s="339"/>
      <c r="AR56" s="339"/>
      <c r="AS56" s="339"/>
      <c r="AT56" s="339"/>
    </row>
    <row r="57" spans="7:46">
      <c r="P57" s="339"/>
      <c r="Q57" s="339"/>
      <c r="R57" s="339"/>
      <c r="S57" s="345"/>
      <c r="T57" s="339"/>
      <c r="U57" s="345"/>
      <c r="V57" s="339"/>
      <c r="W57" s="339"/>
      <c r="X57" s="339"/>
      <c r="Y57" s="339"/>
      <c r="Z57" s="345"/>
      <c r="AA57" s="339"/>
      <c r="AB57" s="339"/>
      <c r="AC57" s="339"/>
      <c r="AD57" s="345"/>
      <c r="AE57" s="339"/>
      <c r="AF57" s="339"/>
      <c r="AG57" s="339"/>
      <c r="AH57" s="345"/>
      <c r="AI57" s="339"/>
      <c r="AJ57" s="339"/>
      <c r="AK57" s="339"/>
      <c r="AL57" s="345"/>
      <c r="AM57" s="339"/>
      <c r="AN57" s="339"/>
      <c r="AO57" s="339"/>
      <c r="AP57" s="345"/>
      <c r="AQ57" s="339"/>
      <c r="AR57" s="339"/>
      <c r="AS57" s="339"/>
      <c r="AT57" s="339"/>
    </row>
    <row r="58" spans="7:46">
      <c r="P58" s="340"/>
      <c r="Q58" s="340"/>
      <c r="R58" s="340"/>
      <c r="S58" s="346"/>
      <c r="T58" s="340"/>
      <c r="U58" s="346"/>
      <c r="V58" s="340"/>
      <c r="W58" s="340"/>
      <c r="X58" s="340"/>
      <c r="Y58" s="340"/>
      <c r="Z58" s="346"/>
      <c r="AA58" s="340"/>
      <c r="AB58" s="340"/>
      <c r="AC58" s="340"/>
      <c r="AD58" s="346"/>
      <c r="AE58" s="340"/>
      <c r="AF58" s="340"/>
      <c r="AG58" s="340"/>
      <c r="AH58" s="346"/>
      <c r="AI58" s="340"/>
      <c r="AJ58" s="340"/>
      <c r="AK58" s="340"/>
      <c r="AL58" s="346"/>
      <c r="AM58" s="340"/>
      <c r="AN58" s="340"/>
      <c r="AO58" s="340"/>
      <c r="AP58" s="346"/>
      <c r="AQ58" s="340"/>
      <c r="AR58" s="340"/>
      <c r="AS58" s="340"/>
      <c r="AT58" s="340"/>
    </row>
    <row r="59" spans="7:46">
      <c r="P59" s="341"/>
      <c r="Q59" s="341"/>
      <c r="R59" s="341"/>
      <c r="S59" s="347"/>
      <c r="T59" s="341"/>
      <c r="U59" s="347"/>
      <c r="V59" s="341"/>
      <c r="W59" s="341"/>
      <c r="X59" s="341"/>
      <c r="Y59" s="341"/>
      <c r="Z59" s="347"/>
      <c r="AA59" s="341"/>
      <c r="AB59" s="341"/>
      <c r="AC59" s="341"/>
      <c r="AD59" s="347"/>
      <c r="AE59" s="341"/>
      <c r="AF59" s="341"/>
      <c r="AG59" s="341"/>
      <c r="AH59" s="347"/>
      <c r="AI59" s="341"/>
      <c r="AJ59" s="341"/>
      <c r="AK59" s="341"/>
      <c r="AL59" s="347"/>
      <c r="AM59" s="341"/>
      <c r="AN59" s="341"/>
      <c r="AO59" s="341"/>
      <c r="AP59" s="347"/>
      <c r="AQ59" s="341"/>
      <c r="AR59" s="341"/>
      <c r="AS59" s="341"/>
      <c r="AT59" s="341"/>
    </row>
    <row r="60" spans="7:46">
      <c r="P60" s="92"/>
      <c r="Q60" s="92"/>
      <c r="R60" s="92"/>
      <c r="S60" s="349"/>
      <c r="T60" s="92"/>
      <c r="U60" s="349"/>
      <c r="V60" s="92"/>
      <c r="W60" s="92"/>
      <c r="X60" s="92"/>
      <c r="Y60" s="92"/>
      <c r="Z60" s="349"/>
      <c r="AA60" s="92"/>
      <c r="AB60" s="92"/>
      <c r="AC60" s="92"/>
      <c r="AD60" s="349"/>
      <c r="AE60" s="92"/>
      <c r="AF60" s="92"/>
      <c r="AG60" s="92"/>
      <c r="AH60" s="349"/>
      <c r="AI60" s="92"/>
      <c r="AJ60" s="92"/>
      <c r="AK60" s="92"/>
      <c r="AL60" s="349"/>
      <c r="AM60" s="92"/>
      <c r="AN60" s="92"/>
      <c r="AO60" s="92"/>
      <c r="AP60" s="349"/>
      <c r="AQ60" s="92"/>
      <c r="AR60" s="92"/>
      <c r="AS60" s="92"/>
      <c r="AT60" s="92"/>
    </row>
    <row r="61" spans="7:46">
      <c r="P61" s="342"/>
      <c r="Q61" s="342"/>
      <c r="R61" s="342"/>
      <c r="S61" s="348"/>
      <c r="T61" s="342"/>
      <c r="U61" s="348"/>
      <c r="V61" s="342"/>
      <c r="W61" s="342"/>
      <c r="X61" s="342"/>
      <c r="Y61" s="342"/>
      <c r="Z61" s="348"/>
      <c r="AA61" s="342"/>
      <c r="AB61" s="342"/>
      <c r="AC61" s="342"/>
      <c r="AD61" s="348"/>
      <c r="AE61" s="342"/>
      <c r="AF61" s="342"/>
      <c r="AG61" s="342"/>
      <c r="AH61" s="348"/>
      <c r="AI61" s="342"/>
      <c r="AJ61" s="342"/>
      <c r="AK61" s="342"/>
      <c r="AL61" s="348"/>
      <c r="AM61" s="342"/>
      <c r="AN61" s="342"/>
      <c r="AO61" s="342"/>
      <c r="AP61" s="348"/>
      <c r="AQ61" s="342"/>
      <c r="AR61" s="342"/>
      <c r="AS61" s="342"/>
      <c r="AT61" s="342"/>
    </row>
    <row r="62" spans="7:46"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</row>
    <row r="63" spans="7:46"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</row>
    <row r="64" spans="7:46">
      <c r="P64" s="343"/>
      <c r="Q64" s="343"/>
      <c r="R64" s="343"/>
      <c r="S64" s="350"/>
      <c r="T64" s="343"/>
      <c r="U64" s="350"/>
      <c r="V64" s="343"/>
      <c r="W64" s="343"/>
      <c r="X64" s="343"/>
      <c r="Y64" s="343"/>
      <c r="Z64" s="350"/>
      <c r="AA64" s="343"/>
      <c r="AB64" s="343"/>
      <c r="AC64" s="343"/>
      <c r="AD64" s="350"/>
      <c r="AE64" s="343"/>
      <c r="AF64" s="343"/>
      <c r="AG64" s="343"/>
      <c r="AH64" s="350"/>
      <c r="AI64" s="343"/>
      <c r="AJ64" s="343"/>
      <c r="AK64" s="343"/>
      <c r="AL64" s="350"/>
      <c r="AM64" s="343"/>
      <c r="AN64" s="343"/>
      <c r="AO64" s="343"/>
      <c r="AP64" s="350"/>
      <c r="AQ64" s="343"/>
      <c r="AR64" s="343"/>
      <c r="AS64" s="343"/>
      <c r="AT64" s="343"/>
    </row>
    <row r="65" spans="16:46"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</row>
    <row r="66" spans="16:46"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</row>
    <row r="67" spans="16:46">
      <c r="P67" s="351"/>
      <c r="Q67" s="351"/>
      <c r="R67" s="351"/>
      <c r="S67" s="352"/>
      <c r="T67" s="351"/>
      <c r="U67" s="352"/>
      <c r="V67" s="351"/>
      <c r="W67" s="351"/>
      <c r="X67" s="351"/>
      <c r="Y67" s="351"/>
      <c r="Z67" s="352"/>
      <c r="AA67" s="351"/>
      <c r="AB67" s="351"/>
      <c r="AC67" s="351"/>
      <c r="AD67" s="352"/>
      <c r="AE67" s="351"/>
      <c r="AF67" s="351"/>
      <c r="AG67" s="351"/>
      <c r="AH67" s="352"/>
      <c r="AI67" s="351"/>
      <c r="AJ67" s="351"/>
      <c r="AK67" s="351"/>
      <c r="AL67" s="352"/>
      <c r="AM67" s="351"/>
      <c r="AN67" s="351"/>
      <c r="AO67" s="351"/>
      <c r="AP67" s="352"/>
      <c r="AQ67" s="351"/>
      <c r="AR67" s="351"/>
      <c r="AS67" s="351"/>
      <c r="AT67" s="351"/>
    </row>
    <row r="68" spans="16:46">
      <c r="P68" s="351"/>
      <c r="Q68" s="351"/>
      <c r="R68" s="351"/>
      <c r="S68" s="352"/>
      <c r="T68" s="351"/>
      <c r="U68" s="352"/>
      <c r="V68" s="351"/>
      <c r="W68" s="351"/>
      <c r="X68" s="351"/>
      <c r="Y68" s="351"/>
      <c r="Z68" s="352"/>
      <c r="AA68" s="351"/>
      <c r="AB68" s="351"/>
      <c r="AC68" s="351"/>
      <c r="AD68" s="352"/>
      <c r="AE68" s="351"/>
      <c r="AF68" s="351"/>
      <c r="AG68" s="351"/>
      <c r="AH68" s="352"/>
      <c r="AI68" s="351"/>
      <c r="AJ68" s="351"/>
      <c r="AK68" s="351"/>
      <c r="AL68" s="352"/>
      <c r="AM68" s="351"/>
      <c r="AN68" s="351"/>
      <c r="AO68" s="351"/>
      <c r="AP68" s="352"/>
      <c r="AQ68" s="351"/>
      <c r="AR68" s="351"/>
      <c r="AS68" s="351"/>
      <c r="AT68" s="351"/>
    </row>
    <row r="69" spans="16:46">
      <c r="P69" s="351"/>
      <c r="Q69" s="351"/>
      <c r="R69" s="351"/>
      <c r="S69" s="352"/>
      <c r="T69" s="351"/>
      <c r="U69" s="352"/>
      <c r="V69" s="351"/>
      <c r="W69" s="351"/>
      <c r="X69" s="351"/>
      <c r="Y69" s="351"/>
      <c r="Z69" s="352"/>
      <c r="AA69" s="351"/>
      <c r="AB69" s="351"/>
      <c r="AC69" s="351"/>
      <c r="AD69" s="352"/>
      <c r="AE69" s="351"/>
      <c r="AF69" s="351"/>
      <c r="AG69" s="351"/>
      <c r="AH69" s="352"/>
      <c r="AI69" s="351"/>
      <c r="AJ69" s="351"/>
      <c r="AK69" s="351"/>
      <c r="AL69" s="352"/>
      <c r="AM69" s="351"/>
      <c r="AN69" s="351"/>
      <c r="AO69" s="351"/>
      <c r="AP69" s="352"/>
      <c r="AQ69" s="351"/>
      <c r="AR69" s="351"/>
      <c r="AS69" s="351"/>
      <c r="AT69" s="351"/>
    </row>
    <row r="70" spans="16:46">
      <c r="P70" s="351"/>
      <c r="Q70" s="351"/>
      <c r="R70" s="351"/>
      <c r="S70" s="352"/>
      <c r="T70" s="351"/>
      <c r="U70" s="352"/>
      <c r="V70" s="351"/>
      <c r="W70" s="351"/>
      <c r="X70" s="351"/>
      <c r="Y70" s="351"/>
      <c r="Z70" s="352"/>
      <c r="AA70" s="351"/>
      <c r="AB70" s="351"/>
      <c r="AC70" s="351"/>
      <c r="AD70" s="352"/>
      <c r="AE70" s="351"/>
      <c r="AF70" s="351"/>
      <c r="AG70" s="351"/>
      <c r="AH70" s="352"/>
      <c r="AI70" s="351"/>
      <c r="AJ70" s="351"/>
      <c r="AK70" s="351"/>
      <c r="AL70" s="352"/>
      <c r="AM70" s="351"/>
      <c r="AN70" s="351"/>
      <c r="AO70" s="351"/>
      <c r="AP70" s="352"/>
      <c r="AQ70" s="351"/>
      <c r="AR70" s="351"/>
      <c r="AS70" s="351"/>
      <c r="AT70" s="351"/>
    </row>
    <row r="71" spans="16:46">
      <c r="P71" s="353"/>
      <c r="Q71" s="353"/>
      <c r="R71" s="353"/>
      <c r="S71" s="353"/>
      <c r="T71" s="353"/>
      <c r="U71" s="353"/>
      <c r="V71" s="353"/>
      <c r="W71" s="353"/>
      <c r="X71" s="353"/>
      <c r="Y71" s="353"/>
      <c r="Z71" s="353"/>
      <c r="AA71" s="353"/>
      <c r="AB71" s="353"/>
      <c r="AC71" s="353"/>
      <c r="AD71" s="353"/>
      <c r="AE71" s="353"/>
      <c r="AF71" s="353"/>
      <c r="AG71" s="353"/>
      <c r="AH71" s="353"/>
      <c r="AI71" s="353"/>
      <c r="AJ71" s="353"/>
      <c r="AK71" s="353"/>
      <c r="AL71" s="353"/>
      <c r="AM71" s="353"/>
      <c r="AN71" s="353"/>
      <c r="AO71" s="353"/>
      <c r="AP71" s="353"/>
      <c r="AQ71" s="353"/>
      <c r="AR71" s="353"/>
      <c r="AS71" s="353"/>
      <c r="AT71" s="353"/>
    </row>
    <row r="72" spans="16:46"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1"/>
      <c r="AB72" s="351"/>
      <c r="AC72" s="351"/>
      <c r="AD72" s="351"/>
      <c r="AE72" s="351"/>
      <c r="AF72" s="351"/>
      <c r="AG72" s="351"/>
      <c r="AH72" s="351"/>
      <c r="AI72" s="351"/>
      <c r="AJ72" s="351"/>
      <c r="AK72" s="351"/>
      <c r="AL72" s="351"/>
      <c r="AM72" s="351"/>
      <c r="AN72" s="351"/>
      <c r="AO72" s="351"/>
      <c r="AP72" s="351"/>
      <c r="AQ72" s="351"/>
      <c r="AR72" s="351"/>
      <c r="AS72" s="351"/>
      <c r="AT72" s="351"/>
    </row>
    <row r="73" spans="16:46"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</row>
    <row r="74" spans="16:46"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</row>
    <row r="81" spans="16:46"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R81" s="112"/>
      <c r="AS81" s="112"/>
      <c r="AT81" s="112"/>
    </row>
    <row r="85" spans="16:46">
      <c r="P85" s="354"/>
      <c r="Q85" s="354"/>
      <c r="R85" s="354"/>
      <c r="S85" s="355"/>
      <c r="T85" s="354"/>
      <c r="U85" s="355"/>
      <c r="V85" s="354"/>
      <c r="W85" s="354"/>
      <c r="X85" s="354"/>
      <c r="Y85" s="354"/>
      <c r="Z85" s="355"/>
      <c r="AA85" s="354"/>
      <c r="AB85" s="354"/>
      <c r="AC85" s="354"/>
      <c r="AD85" s="355"/>
      <c r="AE85" s="354"/>
      <c r="AF85" s="354"/>
      <c r="AG85" s="354"/>
      <c r="AH85" s="355"/>
      <c r="AI85" s="354"/>
      <c r="AJ85" s="354"/>
      <c r="AK85" s="354"/>
      <c r="AL85" s="355"/>
      <c r="AM85" s="354"/>
      <c r="AN85" s="354"/>
      <c r="AO85" s="354"/>
      <c r="AP85" s="355"/>
      <c r="AQ85" s="354"/>
      <c r="AR85" s="354"/>
      <c r="AS85" s="354"/>
      <c r="AT85" s="354"/>
    </row>
    <row r="86" spans="16:46">
      <c r="P86" s="354"/>
      <c r="Q86" s="354"/>
      <c r="R86" s="354"/>
      <c r="S86" s="355"/>
      <c r="T86" s="354"/>
      <c r="U86" s="355"/>
      <c r="V86" s="354"/>
      <c r="W86" s="354"/>
      <c r="X86" s="354"/>
      <c r="Y86" s="354"/>
      <c r="Z86" s="355"/>
      <c r="AA86" s="354"/>
      <c r="AB86" s="354"/>
      <c r="AC86" s="354"/>
      <c r="AD86" s="355"/>
      <c r="AE86" s="354"/>
      <c r="AF86" s="354"/>
      <c r="AG86" s="354"/>
      <c r="AH86" s="355"/>
      <c r="AI86" s="354"/>
      <c r="AJ86" s="354"/>
      <c r="AK86" s="354"/>
      <c r="AL86" s="355"/>
      <c r="AM86" s="354"/>
      <c r="AN86" s="354"/>
      <c r="AO86" s="354"/>
      <c r="AP86" s="355"/>
      <c r="AQ86" s="354"/>
      <c r="AR86" s="354"/>
      <c r="AS86" s="354"/>
      <c r="AT86" s="354"/>
    </row>
    <row r="87" spans="16:46">
      <c r="P87" s="354"/>
      <c r="Q87" s="354"/>
      <c r="R87" s="354"/>
      <c r="S87" s="355"/>
      <c r="T87" s="354"/>
      <c r="U87" s="355"/>
      <c r="V87" s="354"/>
      <c r="W87" s="354"/>
      <c r="X87" s="354"/>
      <c r="Y87" s="354"/>
      <c r="Z87" s="355"/>
      <c r="AA87" s="354"/>
      <c r="AB87" s="354"/>
      <c r="AC87" s="354"/>
      <c r="AD87" s="355"/>
      <c r="AE87" s="354"/>
      <c r="AF87" s="354"/>
      <c r="AG87" s="354"/>
      <c r="AH87" s="355"/>
      <c r="AI87" s="354"/>
      <c r="AJ87" s="354"/>
      <c r="AK87" s="354"/>
      <c r="AL87" s="355"/>
      <c r="AM87" s="354"/>
      <c r="AN87" s="354"/>
      <c r="AO87" s="354"/>
      <c r="AP87" s="355"/>
      <c r="AQ87" s="354"/>
      <c r="AR87" s="354"/>
      <c r="AS87" s="354"/>
      <c r="AT87" s="354"/>
    </row>
    <row r="88" spans="16:46">
      <c r="P88" s="354"/>
      <c r="Q88" s="354"/>
      <c r="R88" s="354"/>
      <c r="S88" s="355"/>
      <c r="T88" s="354"/>
      <c r="U88" s="355"/>
      <c r="V88" s="354"/>
      <c r="W88" s="354"/>
      <c r="X88" s="354"/>
      <c r="Y88" s="354"/>
      <c r="Z88" s="355"/>
      <c r="AA88" s="354"/>
      <c r="AB88" s="354"/>
      <c r="AC88" s="354"/>
      <c r="AD88" s="355"/>
      <c r="AE88" s="354"/>
      <c r="AF88" s="354"/>
      <c r="AG88" s="354"/>
      <c r="AH88" s="355"/>
      <c r="AI88" s="354"/>
      <c r="AJ88" s="354"/>
      <c r="AK88" s="354"/>
      <c r="AL88" s="355"/>
      <c r="AM88" s="354"/>
      <c r="AN88" s="354"/>
      <c r="AO88" s="354"/>
      <c r="AP88" s="355"/>
      <c r="AQ88" s="354"/>
      <c r="AR88" s="354"/>
      <c r="AS88" s="354"/>
      <c r="AT88" s="354"/>
    </row>
    <row r="89" spans="16:46">
      <c r="P89" s="395"/>
      <c r="Q89" s="395"/>
      <c r="R89" s="395"/>
      <c r="S89" s="396"/>
      <c r="T89" s="395"/>
      <c r="U89" s="396"/>
      <c r="V89" s="395"/>
      <c r="W89" s="395"/>
      <c r="X89" s="395"/>
      <c r="Y89" s="395"/>
      <c r="Z89" s="396"/>
      <c r="AA89" s="395"/>
      <c r="AB89" s="395"/>
      <c r="AC89" s="395"/>
      <c r="AD89" s="396"/>
      <c r="AE89" s="395"/>
      <c r="AF89" s="395"/>
      <c r="AG89" s="395"/>
      <c r="AH89" s="396"/>
      <c r="AI89" s="395"/>
      <c r="AJ89" s="395"/>
      <c r="AK89" s="395"/>
      <c r="AL89" s="396"/>
      <c r="AM89" s="395"/>
      <c r="AN89" s="395"/>
      <c r="AO89" s="395"/>
      <c r="AP89" s="396"/>
      <c r="AQ89" s="395"/>
      <c r="AR89" s="395"/>
      <c r="AS89" s="395"/>
      <c r="AT89" s="395"/>
    </row>
    <row r="90" spans="16:46">
      <c r="P90" s="395"/>
      <c r="Q90" s="395"/>
      <c r="R90" s="395"/>
      <c r="S90" s="396"/>
      <c r="T90" s="395"/>
      <c r="U90" s="396"/>
      <c r="V90" s="395"/>
      <c r="W90" s="395"/>
      <c r="X90" s="395"/>
      <c r="Y90" s="395"/>
      <c r="Z90" s="396"/>
      <c r="AA90" s="395"/>
      <c r="AB90" s="395"/>
      <c r="AC90" s="395"/>
      <c r="AD90" s="396"/>
      <c r="AE90" s="395"/>
      <c r="AF90" s="395"/>
      <c r="AG90" s="395"/>
      <c r="AH90" s="396"/>
      <c r="AI90" s="395"/>
      <c r="AJ90" s="395"/>
      <c r="AK90" s="395"/>
      <c r="AL90" s="396"/>
      <c r="AM90" s="395"/>
      <c r="AN90" s="395"/>
      <c r="AO90" s="395"/>
      <c r="AP90" s="396"/>
      <c r="AQ90" s="395"/>
      <c r="AR90" s="395"/>
      <c r="AS90" s="395"/>
      <c r="AT90" s="395"/>
    </row>
    <row r="91" spans="16:46">
      <c r="P91" s="91"/>
      <c r="Q91" s="91"/>
      <c r="R91" s="91"/>
      <c r="S91" s="91"/>
      <c r="T91" s="91"/>
      <c r="U91" s="91"/>
      <c r="V91" s="91"/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</row>
    <row r="92" spans="16:46"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93"/>
      <c r="AG92" s="93"/>
      <c r="AH92" s="93"/>
      <c r="AI92" s="93"/>
      <c r="AJ92" s="93"/>
      <c r="AK92" s="93"/>
      <c r="AL92" s="93"/>
      <c r="AM92" s="93"/>
      <c r="AN92" s="93"/>
      <c r="AO92" s="93"/>
      <c r="AP92" s="93"/>
      <c r="AQ92" s="93"/>
      <c r="AR92" s="93"/>
      <c r="AS92" s="93"/>
      <c r="AT92" s="9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2A89A-01C4-4EF5-8AB5-2E2D4E3883F8}">
  <sheetPr codeName="Sheet8"/>
  <dimension ref="A1:AF83"/>
  <sheetViews>
    <sheetView zoomScale="70" zoomScaleNormal="70" workbookViewId="0">
      <selection activeCell="B10" sqref="B10"/>
    </sheetView>
  </sheetViews>
  <sheetFormatPr defaultRowHeight="12.6"/>
  <cols>
    <col min="7" max="8" width="14" bestFit="1" customWidth="1"/>
    <col min="9" max="14" width="12.85546875" customWidth="1"/>
    <col min="16" max="16" width="16.140625" customWidth="1"/>
    <col min="22" max="22" width="18.7109375" customWidth="1"/>
  </cols>
  <sheetData>
    <row r="1" spans="1:32">
      <c r="A1" s="160" t="s">
        <v>20</v>
      </c>
      <c r="B1" s="161">
        <f>SUMPRODUCT(L11:L24,X11:X24)/SUM(L11:L24)</f>
        <v>-1.3631424408279904</v>
      </c>
    </row>
    <row r="2" spans="1:32">
      <c r="A2" s="162" t="s">
        <v>21</v>
      </c>
      <c r="B2" s="163">
        <f>SUMPRODUCT(L25:L28,X25:X28)/SUM(L25:L28)</f>
        <v>-2.0610277960768757</v>
      </c>
    </row>
    <row r="3" spans="1:32">
      <c r="A3" s="162" t="s">
        <v>22</v>
      </c>
      <c r="B3" s="163">
        <f>SUMPRODUCT(L29:L55,X29:X55,$S$29:$S$55)/SUMPRODUCT(L29:L55,$S$29:$S$55)</f>
        <v>2.9417095662670643</v>
      </c>
    </row>
    <row r="4" spans="1:32">
      <c r="A4" s="162" t="s">
        <v>23</v>
      </c>
      <c r="B4" s="163">
        <f>SUMPRODUCT(L29:L55,X29:X55,$T$29:$T$55)/SUMPRODUCT(L29:L55,$T$29:$T$55)</f>
        <v>4.9446875883670653</v>
      </c>
    </row>
    <row r="5" spans="1:32">
      <c r="A5" s="162" t="s">
        <v>24</v>
      </c>
      <c r="B5" s="163">
        <f>X50</f>
        <v>1.61</v>
      </c>
    </row>
    <row r="6" spans="1:32">
      <c r="A6" s="162" t="s">
        <v>25</v>
      </c>
      <c r="B6" s="163">
        <f>SUMPRODUCT(L29:L55,X29:X55,$U$29:$U$55)/SUMPRODUCT(L29:L55,$U$29:$U$55)</f>
        <v>0.62684953503355501</v>
      </c>
    </row>
    <row r="7" spans="1:32">
      <c r="A7" s="162" t="s">
        <v>26</v>
      </c>
      <c r="B7" s="163">
        <f>SUMPRODUCT(L56:L58,X56:X58)/SUM(L56:L58)</f>
        <v>0.38480899347707825</v>
      </c>
    </row>
    <row r="8" spans="1:32">
      <c r="A8" s="162" t="s">
        <v>27</v>
      </c>
      <c r="B8" s="163">
        <f>X59</f>
        <v>-4.1100000000000003</v>
      </c>
      <c r="R8" s="114"/>
      <c r="S8" s="114"/>
      <c r="T8" s="114"/>
    </row>
    <row r="9" spans="1:32">
      <c r="A9" s="162" t="s">
        <v>28</v>
      </c>
      <c r="B9" s="163">
        <f>100*(SUM(M60:M75)/SUM(L60:L75)-1)</f>
        <v>-0.19752116950961796</v>
      </c>
      <c r="R9" s="112"/>
      <c r="S9" s="112"/>
      <c r="T9" s="112"/>
    </row>
    <row r="10" spans="1:32" ht="13.5" thickBot="1">
      <c r="A10" s="164" t="s">
        <v>29</v>
      </c>
      <c r="B10" s="165">
        <f>'F5 Foreign GDP'!B2</f>
        <v>-0.31</v>
      </c>
      <c r="F10" t="s">
        <v>325</v>
      </c>
      <c r="G10" t="s">
        <v>326</v>
      </c>
      <c r="J10" t="s">
        <v>327</v>
      </c>
      <c r="R10" s="112"/>
      <c r="S10" s="112"/>
      <c r="T10" s="112" t="s">
        <v>328</v>
      </c>
      <c r="U10" t="s">
        <v>329</v>
      </c>
      <c r="W10" s="338" t="s">
        <v>330</v>
      </c>
      <c r="X10" s="25" t="s">
        <v>31</v>
      </c>
      <c r="Y10" s="25" t="s">
        <v>32</v>
      </c>
      <c r="Z10" s="25" t="s">
        <v>33</v>
      </c>
      <c r="AA10" s="25" t="s">
        <v>34</v>
      </c>
      <c r="AB10" s="25" t="s">
        <v>35</v>
      </c>
      <c r="AC10" s="25" t="s">
        <v>36</v>
      </c>
      <c r="AD10" s="25" t="s">
        <v>37</v>
      </c>
      <c r="AE10" s="25" t="s">
        <v>38</v>
      </c>
      <c r="AF10" s="25" t="s">
        <v>39</v>
      </c>
    </row>
    <row r="11" spans="1:32" ht="14.45">
      <c r="F11" t="s">
        <v>331</v>
      </c>
      <c r="G11">
        <f>H11/(1+X11/100)</f>
        <v>980.90507282772467</v>
      </c>
      <c r="H11">
        <v>976.49099999999999</v>
      </c>
      <c r="J11" s="22">
        <f>$G$78*$R$8*G11/SUM($G$11:$G$24)</f>
        <v>0</v>
      </c>
      <c r="L11">
        <f>G11</f>
        <v>980.90507282772467</v>
      </c>
      <c r="M11">
        <f>L11*(1+X11/100)</f>
        <v>976.49099999999999</v>
      </c>
      <c r="R11" s="112"/>
      <c r="S11" s="112"/>
      <c r="T11" s="112">
        <v>0</v>
      </c>
      <c r="U11">
        <v>0</v>
      </c>
      <c r="V11" s="28" t="s">
        <v>332</v>
      </c>
      <c r="W11" s="25" t="s">
        <v>333</v>
      </c>
      <c r="X11" s="25">
        <v>-0.45</v>
      </c>
      <c r="Y11" s="25">
        <v>0.18</v>
      </c>
      <c r="Z11" s="25">
        <v>-0.05</v>
      </c>
      <c r="AA11" s="25">
        <v>1.38</v>
      </c>
      <c r="AB11" s="25">
        <v>0.49</v>
      </c>
      <c r="AC11" s="25">
        <v>0.19</v>
      </c>
      <c r="AD11" s="25">
        <v>0.41</v>
      </c>
      <c r="AE11" s="25">
        <v>-0.11</v>
      </c>
      <c r="AF11" s="25">
        <v>-0.23</v>
      </c>
    </row>
    <row r="12" spans="1:32" ht="14.45">
      <c r="F12" t="s">
        <v>334</v>
      </c>
      <c r="G12">
        <f t="shared" ref="G12:G75" si="0">H12/(1+X12/100)</f>
        <v>5677.1653874461144</v>
      </c>
      <c r="H12">
        <v>5399.5519999999997</v>
      </c>
      <c r="J12" s="22">
        <f t="shared" ref="J12:J24" si="1">$G$78*$R$8*G12/SUM($G$11:$G$24)</f>
        <v>0</v>
      </c>
      <c r="L12">
        <f t="shared" ref="L12:L76" si="2">G12</f>
        <v>5677.1653874461144</v>
      </c>
      <c r="M12">
        <f t="shared" ref="M12:M76" si="3">L12*(1+X12/100)</f>
        <v>5399.5519999999997</v>
      </c>
      <c r="R12" s="112"/>
      <c r="S12" s="112"/>
      <c r="T12" s="112">
        <v>0</v>
      </c>
      <c r="U12">
        <v>0</v>
      </c>
      <c r="V12" s="28" t="s">
        <v>335</v>
      </c>
      <c r="W12" s="25" t="s">
        <v>336</v>
      </c>
      <c r="X12" s="25">
        <v>-4.8899999999999997</v>
      </c>
      <c r="Y12" s="25">
        <v>0.6</v>
      </c>
      <c r="Z12" s="25">
        <v>-0.04</v>
      </c>
      <c r="AA12" s="25">
        <v>7.69</v>
      </c>
      <c r="AB12" s="25">
        <v>-0.75</v>
      </c>
      <c r="AC12" s="25">
        <v>0.71</v>
      </c>
      <c r="AD12" s="25">
        <v>0.45</v>
      </c>
      <c r="AE12" s="25">
        <v>-0.15</v>
      </c>
      <c r="AF12" s="25">
        <v>-0.46</v>
      </c>
    </row>
    <row r="13" spans="1:32" ht="14.45">
      <c r="F13" t="s">
        <v>337</v>
      </c>
      <c r="G13">
        <f t="shared" si="0"/>
        <v>18443.58180543032</v>
      </c>
      <c r="H13">
        <v>18408.539000000001</v>
      </c>
      <c r="J13" s="22">
        <f t="shared" si="1"/>
        <v>0</v>
      </c>
      <c r="L13">
        <f t="shared" si="2"/>
        <v>18443.58180543032</v>
      </c>
      <c r="M13">
        <f t="shared" si="3"/>
        <v>18408.539000000001</v>
      </c>
      <c r="R13" s="112"/>
      <c r="S13" s="112"/>
      <c r="T13" s="112">
        <v>0</v>
      </c>
      <c r="U13">
        <v>0</v>
      </c>
      <c r="V13" s="28" t="s">
        <v>338</v>
      </c>
      <c r="W13" s="25" t="s">
        <v>339</v>
      </c>
      <c r="X13" s="25">
        <v>-0.19</v>
      </c>
      <c r="Y13" s="25">
        <v>0.37</v>
      </c>
      <c r="Z13" s="25">
        <v>-7.0000000000000007E-2</v>
      </c>
      <c r="AA13" s="25">
        <v>6.81</v>
      </c>
      <c r="AB13" s="25">
        <v>0.94</v>
      </c>
      <c r="AC13" s="25">
        <v>0.75</v>
      </c>
      <c r="AD13" s="25">
        <v>0.64</v>
      </c>
      <c r="AE13" s="25">
        <v>-0.25</v>
      </c>
      <c r="AF13" s="25">
        <v>-0.7</v>
      </c>
    </row>
    <row r="14" spans="1:32" ht="14.45">
      <c r="F14" t="s">
        <v>340</v>
      </c>
      <c r="G14">
        <f t="shared" si="0"/>
        <v>42584.39908165302</v>
      </c>
      <c r="H14">
        <v>42661.050999999999</v>
      </c>
      <c r="J14" s="22">
        <f t="shared" si="1"/>
        <v>0</v>
      </c>
      <c r="L14">
        <f t="shared" si="2"/>
        <v>42584.39908165302</v>
      </c>
      <c r="M14">
        <f t="shared" si="3"/>
        <v>42661.050999999999</v>
      </c>
      <c r="R14" s="112"/>
      <c r="S14" s="112"/>
      <c r="T14" s="112">
        <v>0</v>
      </c>
      <c r="U14">
        <v>0</v>
      </c>
      <c r="V14" s="28" t="s">
        <v>341</v>
      </c>
      <c r="W14" s="25" t="s">
        <v>342</v>
      </c>
      <c r="X14" s="25">
        <v>0.18</v>
      </c>
      <c r="Y14" s="25">
        <v>0.31</v>
      </c>
      <c r="Z14" s="25">
        <v>-0.11</v>
      </c>
      <c r="AA14" s="25">
        <v>5.81</v>
      </c>
      <c r="AB14" s="25">
        <v>1.66</v>
      </c>
      <c r="AC14" s="25">
        <v>-0.77</v>
      </c>
      <c r="AD14" s="25">
        <v>0.03</v>
      </c>
      <c r="AE14" s="25">
        <v>-0.23</v>
      </c>
      <c r="AF14" s="25">
        <v>-0.47</v>
      </c>
    </row>
    <row r="15" spans="1:32" ht="14.45">
      <c r="F15" t="s">
        <v>343</v>
      </c>
      <c r="G15">
        <f t="shared" si="0"/>
        <v>29741.868155464894</v>
      </c>
      <c r="H15">
        <v>27701.576000000001</v>
      </c>
      <c r="J15" s="22">
        <f t="shared" si="1"/>
        <v>0</v>
      </c>
      <c r="L15">
        <f t="shared" si="2"/>
        <v>29741.868155464894</v>
      </c>
      <c r="M15">
        <f t="shared" si="3"/>
        <v>27701.576000000001</v>
      </c>
      <c r="R15" s="112"/>
      <c r="T15" s="112">
        <v>0</v>
      </c>
      <c r="U15">
        <v>0</v>
      </c>
      <c r="V15" s="28" t="s">
        <v>344</v>
      </c>
      <c r="W15" s="25" t="s">
        <v>345</v>
      </c>
      <c r="X15" s="25">
        <v>-6.86</v>
      </c>
      <c r="Y15" s="25">
        <v>3.68</v>
      </c>
      <c r="Z15" s="25">
        <v>1.03</v>
      </c>
      <c r="AA15" s="25">
        <v>10.14</v>
      </c>
      <c r="AB15" s="25">
        <v>-0.54</v>
      </c>
      <c r="AC15" s="25">
        <v>-0.3</v>
      </c>
      <c r="AD15" s="25">
        <v>-0.43</v>
      </c>
      <c r="AE15" s="25">
        <v>-0.9</v>
      </c>
      <c r="AF15" s="25">
        <v>-1.1299999999999999</v>
      </c>
    </row>
    <row r="16" spans="1:32" ht="14.45">
      <c r="F16" t="s">
        <v>346</v>
      </c>
      <c r="G16">
        <f t="shared" si="0"/>
        <v>1992.2190086765734</v>
      </c>
      <c r="H16">
        <v>1997.598</v>
      </c>
      <c r="J16" s="22">
        <f t="shared" si="1"/>
        <v>0</v>
      </c>
      <c r="L16">
        <f t="shared" si="2"/>
        <v>1992.2190086765734</v>
      </c>
      <c r="M16">
        <f t="shared" si="3"/>
        <v>1997.598</v>
      </c>
      <c r="R16" s="112"/>
      <c r="T16" s="112">
        <v>0</v>
      </c>
      <c r="U16">
        <v>0</v>
      </c>
      <c r="V16" s="28" t="s">
        <v>347</v>
      </c>
      <c r="W16" s="25" t="s">
        <v>348</v>
      </c>
      <c r="X16" s="25">
        <v>0.27</v>
      </c>
      <c r="Y16" s="25">
        <v>0.49</v>
      </c>
      <c r="Z16" s="25">
        <v>-0.25</v>
      </c>
      <c r="AA16" s="25">
        <v>4.5199999999999996</v>
      </c>
      <c r="AB16" s="25">
        <v>0.75</v>
      </c>
      <c r="AC16" s="25">
        <v>-0.45</v>
      </c>
      <c r="AD16" s="25">
        <v>0.03</v>
      </c>
      <c r="AE16" s="25">
        <v>-0.22</v>
      </c>
      <c r="AF16" s="25">
        <v>-1.29</v>
      </c>
    </row>
    <row r="17" spans="6:32" ht="14.45">
      <c r="F17" t="s">
        <v>349</v>
      </c>
      <c r="G17">
        <f t="shared" si="0"/>
        <v>5616.9314079422375</v>
      </c>
      <c r="H17">
        <v>5445.6149999999998</v>
      </c>
      <c r="J17" s="22">
        <f t="shared" si="1"/>
        <v>0</v>
      </c>
      <c r="L17">
        <f t="shared" si="2"/>
        <v>5616.9314079422375</v>
      </c>
      <c r="M17">
        <f t="shared" si="3"/>
        <v>5445.6149999999998</v>
      </c>
      <c r="T17" s="112">
        <v>0</v>
      </c>
      <c r="U17">
        <v>0</v>
      </c>
      <c r="V17" s="28" t="s">
        <v>350</v>
      </c>
      <c r="W17" s="25" t="s">
        <v>351</v>
      </c>
      <c r="X17" s="25">
        <v>-3.05</v>
      </c>
      <c r="Y17" s="25">
        <v>2.14</v>
      </c>
      <c r="Z17" s="25">
        <v>-1.99</v>
      </c>
      <c r="AA17" s="25">
        <v>-2.0299999999999998</v>
      </c>
      <c r="AB17" s="25">
        <v>-0.47</v>
      </c>
      <c r="AC17" s="25">
        <v>0.9</v>
      </c>
      <c r="AD17" s="25">
        <v>0.19</v>
      </c>
      <c r="AE17" s="25">
        <v>-0.82</v>
      </c>
      <c r="AF17" s="25">
        <v>0.24</v>
      </c>
    </row>
    <row r="18" spans="6:32" ht="14.45">
      <c r="F18" t="s">
        <v>352</v>
      </c>
      <c r="G18">
        <f t="shared" si="0"/>
        <v>11501.954102920725</v>
      </c>
      <c r="H18">
        <v>11577.867</v>
      </c>
      <c r="J18" s="22">
        <f t="shared" si="1"/>
        <v>0</v>
      </c>
      <c r="L18">
        <f t="shared" si="2"/>
        <v>11501.954102920725</v>
      </c>
      <c r="M18">
        <f t="shared" si="3"/>
        <v>11577.867</v>
      </c>
      <c r="T18" s="112">
        <v>0</v>
      </c>
      <c r="U18">
        <v>0</v>
      </c>
      <c r="V18" s="28" t="s">
        <v>353</v>
      </c>
      <c r="W18" s="25" t="s">
        <v>354</v>
      </c>
      <c r="X18" s="25">
        <v>0.66</v>
      </c>
      <c r="Y18" s="25">
        <v>1.76</v>
      </c>
      <c r="Z18" s="25">
        <v>-0.08</v>
      </c>
      <c r="AA18" s="25">
        <v>19.329999999999998</v>
      </c>
      <c r="AB18" s="25">
        <v>1.4</v>
      </c>
      <c r="AC18" s="25">
        <v>-0.17</v>
      </c>
      <c r="AD18" s="25">
        <v>-0.18</v>
      </c>
      <c r="AE18" s="25">
        <v>-1.1100000000000001</v>
      </c>
      <c r="AF18" s="25">
        <v>-3.24</v>
      </c>
    </row>
    <row r="19" spans="6:32" ht="14.45">
      <c r="F19" t="s">
        <v>355</v>
      </c>
      <c r="G19">
        <f t="shared" si="0"/>
        <v>23571.392062537583</v>
      </c>
      <c r="H19">
        <v>23519.535</v>
      </c>
      <c r="J19" s="22">
        <f t="shared" si="1"/>
        <v>0</v>
      </c>
      <c r="L19">
        <f t="shared" si="2"/>
        <v>23571.392062537583</v>
      </c>
      <c r="M19">
        <f t="shared" si="3"/>
        <v>23519.535</v>
      </c>
      <c r="T19" s="112">
        <v>0</v>
      </c>
      <c r="U19">
        <v>0</v>
      </c>
      <c r="V19" s="28" t="s">
        <v>356</v>
      </c>
      <c r="W19" s="25" t="s">
        <v>357</v>
      </c>
      <c r="X19" s="25">
        <v>-0.22</v>
      </c>
      <c r="Y19" s="25">
        <v>0.53</v>
      </c>
      <c r="Z19" s="25">
        <v>0.1</v>
      </c>
      <c r="AA19" s="25">
        <v>4.09</v>
      </c>
      <c r="AB19" s="25">
        <v>0.66</v>
      </c>
      <c r="AC19" s="25">
        <v>0.01</v>
      </c>
      <c r="AD19" s="25">
        <v>0.6</v>
      </c>
      <c r="AE19" s="25">
        <v>-0.47</v>
      </c>
      <c r="AF19" s="25">
        <v>-0.45</v>
      </c>
    </row>
    <row r="20" spans="6:32" ht="14.45">
      <c r="F20" t="s">
        <v>358</v>
      </c>
      <c r="G20">
        <f t="shared" si="0"/>
        <v>27906.078312645073</v>
      </c>
      <c r="H20">
        <v>27652.133000000002</v>
      </c>
      <c r="J20" s="22">
        <f t="shared" si="1"/>
        <v>0</v>
      </c>
      <c r="L20">
        <f t="shared" si="2"/>
        <v>27906.078312645073</v>
      </c>
      <c r="M20">
        <f t="shared" si="3"/>
        <v>27652.133000000002</v>
      </c>
      <c r="T20" s="112">
        <v>0</v>
      </c>
      <c r="U20">
        <v>0</v>
      </c>
      <c r="V20" s="28" t="s">
        <v>359</v>
      </c>
      <c r="W20" s="25" t="s">
        <v>360</v>
      </c>
      <c r="X20" s="25">
        <v>-0.91</v>
      </c>
      <c r="Y20" s="25">
        <v>0.3</v>
      </c>
      <c r="Z20" s="25">
        <v>-0.04</v>
      </c>
      <c r="AA20" s="25">
        <v>7.46</v>
      </c>
      <c r="AB20" s="25">
        <v>-0.02</v>
      </c>
      <c r="AC20" s="25">
        <v>7.0000000000000007E-2</v>
      </c>
      <c r="AD20" s="25">
        <v>0.11</v>
      </c>
      <c r="AE20" s="25">
        <v>-0.17</v>
      </c>
      <c r="AF20" s="25">
        <v>-0.22</v>
      </c>
    </row>
    <row r="21" spans="6:32" ht="14.45">
      <c r="F21" t="s">
        <v>361</v>
      </c>
      <c r="G21">
        <f t="shared" si="0"/>
        <v>8075.8137910388186</v>
      </c>
      <c r="H21">
        <v>8092.7730000000001</v>
      </c>
      <c r="J21" s="22">
        <f t="shared" si="1"/>
        <v>0</v>
      </c>
      <c r="L21">
        <f t="shared" si="2"/>
        <v>8075.8137910388186</v>
      </c>
      <c r="M21">
        <f t="shared" si="3"/>
        <v>8092.7730000000001</v>
      </c>
      <c r="T21" s="112">
        <v>0</v>
      </c>
      <c r="U21">
        <v>0</v>
      </c>
      <c r="V21" s="28" t="s">
        <v>362</v>
      </c>
      <c r="W21" s="25" t="s">
        <v>363</v>
      </c>
      <c r="X21" s="25">
        <v>0.21</v>
      </c>
      <c r="Y21" s="25">
        <v>0.05</v>
      </c>
      <c r="Z21" s="25">
        <v>0</v>
      </c>
      <c r="AA21" s="25">
        <v>1.21</v>
      </c>
      <c r="AB21" s="25">
        <v>0.51</v>
      </c>
      <c r="AC21" s="25">
        <v>0.01</v>
      </c>
      <c r="AD21" s="25">
        <v>0.2</v>
      </c>
      <c r="AE21" s="25">
        <v>-0.2</v>
      </c>
      <c r="AF21" s="25">
        <v>-0.61</v>
      </c>
    </row>
    <row r="22" spans="6:32" ht="14.45">
      <c r="F22" t="s">
        <v>364</v>
      </c>
      <c r="G22">
        <f t="shared" si="0"/>
        <v>35.541705619611513</v>
      </c>
      <c r="H22">
        <v>34.216000000000001</v>
      </c>
      <c r="J22" s="22">
        <f t="shared" si="1"/>
        <v>0</v>
      </c>
      <c r="L22">
        <f t="shared" si="2"/>
        <v>35.541705619611513</v>
      </c>
      <c r="M22">
        <f t="shared" si="3"/>
        <v>34.216000000000001</v>
      </c>
      <c r="T22" s="112">
        <v>0</v>
      </c>
      <c r="U22">
        <v>0</v>
      </c>
      <c r="V22" s="28" t="s">
        <v>365</v>
      </c>
      <c r="W22" s="25" t="s">
        <v>366</v>
      </c>
      <c r="X22" s="25">
        <v>-3.73</v>
      </c>
      <c r="Y22" s="25">
        <v>1.21</v>
      </c>
      <c r="Z22" s="25">
        <v>-0.35</v>
      </c>
      <c r="AA22" s="25">
        <v>3.43</v>
      </c>
      <c r="AB22" s="25">
        <v>-0.56000000000000005</v>
      </c>
      <c r="AC22" s="25">
        <v>-0.42</v>
      </c>
      <c r="AD22" s="25">
        <v>-0.4</v>
      </c>
      <c r="AE22" s="25">
        <v>-0.65</v>
      </c>
      <c r="AF22" s="25">
        <v>-1.1599999999999999</v>
      </c>
    </row>
    <row r="23" spans="6:32" ht="14.45">
      <c r="F23" t="s">
        <v>367</v>
      </c>
      <c r="G23">
        <f t="shared" si="0"/>
        <v>31404.475010076581</v>
      </c>
      <c r="H23">
        <v>31165.800999999999</v>
      </c>
      <c r="J23" s="22">
        <f t="shared" si="1"/>
        <v>0</v>
      </c>
      <c r="L23">
        <f t="shared" si="2"/>
        <v>31404.475010076581</v>
      </c>
      <c r="M23">
        <f t="shared" si="3"/>
        <v>31165.800999999999</v>
      </c>
      <c r="T23" s="112">
        <v>0</v>
      </c>
      <c r="U23">
        <v>0</v>
      </c>
      <c r="V23" s="28" t="s">
        <v>368</v>
      </c>
      <c r="W23" s="25" t="s">
        <v>369</v>
      </c>
      <c r="X23" s="25">
        <v>-0.76</v>
      </c>
      <c r="Y23" s="25">
        <v>0.21</v>
      </c>
      <c r="Z23" s="25">
        <v>0.08</v>
      </c>
      <c r="AA23" s="25">
        <v>3.93</v>
      </c>
      <c r="AB23" s="25">
        <v>-0.25</v>
      </c>
      <c r="AC23" s="25">
        <v>-0.16</v>
      </c>
      <c r="AD23" s="25">
        <v>0.51</v>
      </c>
      <c r="AE23" s="25">
        <v>-0.17</v>
      </c>
      <c r="AF23" s="25">
        <v>-0.06</v>
      </c>
    </row>
    <row r="24" spans="6:32" ht="14.45">
      <c r="F24" t="s">
        <v>370</v>
      </c>
      <c r="G24">
        <f t="shared" si="0"/>
        <v>5337.0448179271707</v>
      </c>
      <c r="H24">
        <v>5334.91</v>
      </c>
      <c r="J24" s="22">
        <f t="shared" si="1"/>
        <v>0</v>
      </c>
      <c r="L24">
        <f t="shared" si="2"/>
        <v>5337.0448179271707</v>
      </c>
      <c r="M24">
        <f t="shared" si="3"/>
        <v>5334.91</v>
      </c>
      <c r="T24" s="112">
        <v>0</v>
      </c>
      <c r="U24">
        <v>0</v>
      </c>
      <c r="V24" s="28" t="s">
        <v>371</v>
      </c>
      <c r="W24" s="25" t="s">
        <v>372</v>
      </c>
      <c r="X24" s="25">
        <v>-0.04</v>
      </c>
      <c r="Y24" s="25">
        <v>7.0000000000000007E-2</v>
      </c>
      <c r="Z24" s="25">
        <v>-0.12</v>
      </c>
      <c r="AA24" s="25">
        <v>1.3</v>
      </c>
      <c r="AB24" s="25">
        <v>0.32</v>
      </c>
      <c r="AC24" s="25">
        <v>-0.17</v>
      </c>
      <c r="AD24" s="25">
        <v>-0.09</v>
      </c>
      <c r="AE24" s="25">
        <v>-0.13</v>
      </c>
      <c r="AF24" s="25">
        <v>-0.56000000000000005</v>
      </c>
    </row>
    <row r="25" spans="6:32" ht="14.45">
      <c r="F25" t="s">
        <v>373</v>
      </c>
      <c r="G25">
        <f t="shared" si="0"/>
        <v>24059.23200967547</v>
      </c>
      <c r="H25">
        <v>23871.57</v>
      </c>
      <c r="J25" s="22">
        <f>$G$78*$R$9*G25/SUM($G$25:$G$27)</f>
        <v>0</v>
      </c>
      <c r="L25">
        <f t="shared" si="2"/>
        <v>24059.23200967547</v>
      </c>
      <c r="M25">
        <f t="shared" si="3"/>
        <v>23871.57</v>
      </c>
      <c r="T25" s="112">
        <v>0</v>
      </c>
      <c r="U25">
        <v>0</v>
      </c>
      <c r="V25" s="28" t="s">
        <v>374</v>
      </c>
      <c r="W25" s="25" t="s">
        <v>375</v>
      </c>
      <c r="X25" s="25">
        <v>-0.78</v>
      </c>
      <c r="Y25" s="25">
        <v>0.66</v>
      </c>
      <c r="Z25" s="25">
        <v>-0.09</v>
      </c>
      <c r="AA25" s="25">
        <v>0.6</v>
      </c>
      <c r="AB25" s="25">
        <v>0</v>
      </c>
      <c r="AC25" s="25">
        <v>-0.12</v>
      </c>
      <c r="AD25" s="25">
        <v>-0.03</v>
      </c>
      <c r="AE25" s="25">
        <v>-0.16</v>
      </c>
      <c r="AF25" s="25">
        <v>-0.33</v>
      </c>
    </row>
    <row r="26" spans="6:32" ht="14.45">
      <c r="F26" t="s">
        <v>376</v>
      </c>
      <c r="G26">
        <f t="shared" si="0"/>
        <v>95267.673222390309</v>
      </c>
      <c r="H26">
        <v>94457.898000000001</v>
      </c>
      <c r="J26" s="22">
        <f t="shared" ref="J26:J27" si="4">$G$78*$R$9*G26/SUM($G$25:$G$27)</f>
        <v>0</v>
      </c>
      <c r="L26">
        <f t="shared" si="2"/>
        <v>95267.673222390309</v>
      </c>
      <c r="M26">
        <f t="shared" si="3"/>
        <v>94457.898000000001</v>
      </c>
      <c r="T26" s="112">
        <v>0</v>
      </c>
      <c r="U26">
        <v>0</v>
      </c>
      <c r="V26" s="28" t="s">
        <v>377</v>
      </c>
      <c r="W26" s="25" t="s">
        <v>378</v>
      </c>
      <c r="X26" s="25">
        <v>-0.85</v>
      </c>
      <c r="Y26" s="25">
        <v>0.95</v>
      </c>
      <c r="Z26" s="25">
        <v>-0.02</v>
      </c>
      <c r="AA26" s="25">
        <v>0.72</v>
      </c>
      <c r="AB26" s="25">
        <v>-1.95</v>
      </c>
      <c r="AC26" s="25">
        <v>0.01</v>
      </c>
      <c r="AD26" s="25">
        <v>0.05</v>
      </c>
      <c r="AE26" s="25">
        <v>-0.16</v>
      </c>
      <c r="AF26" s="25">
        <v>-0.47</v>
      </c>
    </row>
    <row r="27" spans="6:32" ht="14.45">
      <c r="F27" t="s">
        <v>379</v>
      </c>
      <c r="G27">
        <f t="shared" si="0"/>
        <v>40000.442548921223</v>
      </c>
      <c r="H27">
        <v>39860.440999999999</v>
      </c>
      <c r="J27" s="22">
        <f t="shared" si="4"/>
        <v>0</v>
      </c>
      <c r="L27">
        <f t="shared" si="2"/>
        <v>40000.442548921223</v>
      </c>
      <c r="M27">
        <f t="shared" si="3"/>
        <v>39860.440999999999</v>
      </c>
      <c r="Q27" s="119"/>
      <c r="T27" s="112">
        <v>0</v>
      </c>
      <c r="U27">
        <v>0</v>
      </c>
      <c r="V27" s="28" t="s">
        <v>380</v>
      </c>
      <c r="W27" s="25" t="s">
        <v>381</v>
      </c>
      <c r="X27" s="25">
        <v>-0.35</v>
      </c>
      <c r="Y27" s="25">
        <v>0.66</v>
      </c>
      <c r="Z27" s="25">
        <v>0.03</v>
      </c>
      <c r="AA27" s="25">
        <v>0.76</v>
      </c>
      <c r="AB27" s="25">
        <v>0.41</v>
      </c>
      <c r="AC27" s="25">
        <v>0</v>
      </c>
      <c r="AD27" s="25">
        <v>0.14000000000000001</v>
      </c>
      <c r="AE27" s="25">
        <v>-0.05</v>
      </c>
      <c r="AF27" s="25">
        <v>-0.44</v>
      </c>
    </row>
    <row r="28" spans="6:32" ht="14.45">
      <c r="F28" t="s">
        <v>382</v>
      </c>
      <c r="G28">
        <f t="shared" si="0"/>
        <v>135077.38764919562</v>
      </c>
      <c r="H28">
        <v>130147.06299999999</v>
      </c>
      <c r="J28" s="22">
        <f t="shared" ref="J28:J55" si="5">$G$78*$R$11*G28/SUM($G$28:$G$55)</f>
        <v>0</v>
      </c>
      <c r="L28">
        <f t="shared" si="2"/>
        <v>135077.38764919562</v>
      </c>
      <c r="M28">
        <f t="shared" si="3"/>
        <v>130147.06299999998</v>
      </c>
      <c r="T28" s="112">
        <v>0</v>
      </c>
      <c r="U28">
        <v>0</v>
      </c>
      <c r="V28" s="28" t="s">
        <v>383</v>
      </c>
      <c r="W28" s="25" t="s">
        <v>384</v>
      </c>
      <c r="X28" s="25">
        <v>-3.65</v>
      </c>
      <c r="Y28" s="25">
        <v>1.07</v>
      </c>
      <c r="Z28" s="25">
        <v>0.13</v>
      </c>
      <c r="AA28" s="25">
        <v>-7.08</v>
      </c>
      <c r="AB28" s="25">
        <v>3.98</v>
      </c>
      <c r="AC28" s="25">
        <v>0.12</v>
      </c>
      <c r="AD28" s="25">
        <v>-0.08</v>
      </c>
      <c r="AE28" s="25">
        <v>-0.37</v>
      </c>
      <c r="AF28" s="25">
        <v>-0.1</v>
      </c>
    </row>
    <row r="29" spans="6:32" ht="14.45">
      <c r="F29" t="s">
        <v>385</v>
      </c>
      <c r="G29">
        <f t="shared" si="0"/>
        <v>29203.689603214465</v>
      </c>
      <c r="H29">
        <v>29072.273000000001</v>
      </c>
      <c r="J29" s="22">
        <f t="shared" si="5"/>
        <v>0</v>
      </c>
      <c r="L29">
        <f t="shared" si="2"/>
        <v>29203.689603214465</v>
      </c>
      <c r="M29">
        <f t="shared" si="3"/>
        <v>29072.273000000001</v>
      </c>
      <c r="S29">
        <v>1</v>
      </c>
      <c r="T29" s="112">
        <v>0</v>
      </c>
      <c r="U29">
        <v>1</v>
      </c>
      <c r="V29" s="28" t="s">
        <v>386</v>
      </c>
      <c r="W29" s="25" t="s">
        <v>387</v>
      </c>
      <c r="X29" s="25">
        <v>-0.45</v>
      </c>
      <c r="Y29" s="25">
        <v>0.82</v>
      </c>
      <c r="Z29" s="25">
        <v>0.03</v>
      </c>
      <c r="AA29" s="25">
        <v>3.09</v>
      </c>
      <c r="AB29" s="25">
        <v>0.79</v>
      </c>
      <c r="AC29" s="25">
        <v>-7.0000000000000007E-2</v>
      </c>
      <c r="AD29" s="25">
        <v>0.9</v>
      </c>
      <c r="AE29" s="25">
        <v>-0.04</v>
      </c>
      <c r="AF29" s="25">
        <v>-0.63</v>
      </c>
    </row>
    <row r="30" spans="6:32" ht="14.45">
      <c r="F30" t="s">
        <v>388</v>
      </c>
      <c r="G30">
        <f t="shared" si="0"/>
        <v>20978.848607594937</v>
      </c>
      <c r="H30">
        <v>20716.613000000001</v>
      </c>
      <c r="J30" s="22">
        <f t="shared" si="5"/>
        <v>0</v>
      </c>
      <c r="L30">
        <f t="shared" si="2"/>
        <v>20978.848607594937</v>
      </c>
      <c r="M30">
        <f t="shared" si="3"/>
        <v>20716.613000000001</v>
      </c>
      <c r="S30">
        <v>1</v>
      </c>
      <c r="T30" s="112">
        <v>0</v>
      </c>
      <c r="U30">
        <v>1</v>
      </c>
      <c r="V30" s="28" t="s">
        <v>389</v>
      </c>
      <c r="W30" s="25" t="s">
        <v>390</v>
      </c>
      <c r="X30" s="25">
        <v>-1.25</v>
      </c>
      <c r="Y30" s="25">
        <v>1.25</v>
      </c>
      <c r="Z30" s="25">
        <v>0.14000000000000001</v>
      </c>
      <c r="AA30" s="25">
        <v>8.5299999999999994</v>
      </c>
      <c r="AB30" s="25">
        <v>-0.12</v>
      </c>
      <c r="AC30" s="25">
        <v>0.01</v>
      </c>
      <c r="AD30" s="25">
        <v>0.22</v>
      </c>
      <c r="AE30" s="25">
        <v>-0.24</v>
      </c>
      <c r="AF30" s="25">
        <v>-1.69</v>
      </c>
    </row>
    <row r="31" spans="6:32" ht="14.45">
      <c r="F31" t="s">
        <v>391</v>
      </c>
      <c r="G31">
        <f t="shared" si="0"/>
        <v>7528.9952904238608</v>
      </c>
      <c r="H31">
        <v>7673.5519999999997</v>
      </c>
      <c r="J31" s="22">
        <f t="shared" si="5"/>
        <v>0</v>
      </c>
      <c r="L31">
        <f t="shared" si="2"/>
        <v>7528.9952904238608</v>
      </c>
      <c r="M31">
        <f t="shared" si="3"/>
        <v>7673.5519999999997</v>
      </c>
      <c r="S31">
        <v>1</v>
      </c>
      <c r="T31" s="112">
        <v>0</v>
      </c>
      <c r="U31">
        <v>1</v>
      </c>
      <c r="V31" s="28" t="s">
        <v>392</v>
      </c>
      <c r="W31" s="25" t="s">
        <v>393</v>
      </c>
      <c r="X31" s="25">
        <v>1.92</v>
      </c>
      <c r="Y31" s="25">
        <v>0.7</v>
      </c>
      <c r="Z31" s="25">
        <v>-0.9</v>
      </c>
      <c r="AA31" s="25">
        <v>16.52</v>
      </c>
      <c r="AB31" s="25">
        <v>1.28</v>
      </c>
      <c r="AC31" s="25">
        <v>-0.21</v>
      </c>
      <c r="AD31" s="25">
        <v>-0.33</v>
      </c>
      <c r="AE31" s="25">
        <v>-1.44</v>
      </c>
      <c r="AF31" s="25">
        <v>-2.0499999999999998</v>
      </c>
    </row>
    <row r="32" spans="6:32" ht="14.45">
      <c r="F32" t="s">
        <v>394</v>
      </c>
      <c r="G32">
        <f t="shared" si="0"/>
        <v>23399.082834331337</v>
      </c>
      <c r="H32">
        <v>23445.881000000001</v>
      </c>
      <c r="J32" s="22">
        <f t="shared" si="5"/>
        <v>0</v>
      </c>
      <c r="L32">
        <f t="shared" si="2"/>
        <v>23399.082834331337</v>
      </c>
      <c r="M32">
        <f t="shared" si="3"/>
        <v>23445.881000000001</v>
      </c>
      <c r="S32">
        <v>1</v>
      </c>
      <c r="T32" s="112">
        <v>0</v>
      </c>
      <c r="U32">
        <v>1</v>
      </c>
      <c r="V32" s="28" t="s">
        <v>395</v>
      </c>
      <c r="W32" s="25" t="s">
        <v>396</v>
      </c>
      <c r="X32" s="25">
        <v>0.2</v>
      </c>
      <c r="Y32" s="25">
        <v>0.72</v>
      </c>
      <c r="Z32" s="25">
        <v>-0.01</v>
      </c>
      <c r="AA32" s="25">
        <v>1.29</v>
      </c>
      <c r="AB32" s="25">
        <v>0.6</v>
      </c>
      <c r="AC32" s="25">
        <v>-0.02</v>
      </c>
      <c r="AD32" s="25">
        <v>0.04</v>
      </c>
      <c r="AE32" s="25">
        <v>-0.31</v>
      </c>
      <c r="AF32" s="25">
        <v>-0.91</v>
      </c>
    </row>
    <row r="33" spans="6:32" ht="14.45">
      <c r="F33" t="s">
        <v>397</v>
      </c>
      <c r="G33">
        <f t="shared" si="0"/>
        <v>529.60705858212782</v>
      </c>
      <c r="H33">
        <v>516.20799999999997</v>
      </c>
      <c r="J33" s="22">
        <f t="shared" si="5"/>
        <v>0</v>
      </c>
      <c r="L33">
        <f t="shared" si="2"/>
        <v>529.60705858212782</v>
      </c>
      <c r="M33">
        <f t="shared" si="3"/>
        <v>516.20799999999997</v>
      </c>
      <c r="S33">
        <v>1</v>
      </c>
      <c r="T33" s="112">
        <v>0</v>
      </c>
      <c r="U33">
        <v>1</v>
      </c>
      <c r="V33" s="28" t="s">
        <v>398</v>
      </c>
      <c r="W33" s="25" t="s">
        <v>399</v>
      </c>
      <c r="X33" s="25">
        <v>-2.5299999999999998</v>
      </c>
      <c r="Y33" s="25">
        <v>0.24</v>
      </c>
      <c r="Z33" s="25">
        <v>-0.02</v>
      </c>
      <c r="AA33" s="25">
        <v>4.93</v>
      </c>
      <c r="AB33" s="25">
        <v>2.59</v>
      </c>
      <c r="AC33" s="25">
        <v>0.25</v>
      </c>
      <c r="AD33" s="25">
        <v>0.43</v>
      </c>
      <c r="AE33" s="25">
        <v>-0.09</v>
      </c>
      <c r="AF33" s="25">
        <v>-0.27</v>
      </c>
    </row>
    <row r="34" spans="6:32" ht="14.45">
      <c r="F34" t="s">
        <v>400</v>
      </c>
      <c r="G34">
        <f t="shared" si="0"/>
        <v>9561.5812939661155</v>
      </c>
      <c r="H34">
        <v>9650.5040000000008</v>
      </c>
      <c r="J34" s="22">
        <f t="shared" si="5"/>
        <v>0</v>
      </c>
      <c r="L34">
        <f t="shared" si="2"/>
        <v>9561.5812939661155</v>
      </c>
      <c r="M34">
        <f t="shared" si="3"/>
        <v>9650.5040000000008</v>
      </c>
      <c r="S34">
        <v>1</v>
      </c>
      <c r="T34" s="112">
        <v>0</v>
      </c>
      <c r="U34">
        <v>1</v>
      </c>
      <c r="V34" s="28" t="s">
        <v>401</v>
      </c>
      <c r="W34" s="25" t="s">
        <v>402</v>
      </c>
      <c r="X34" s="25">
        <v>0.93</v>
      </c>
      <c r="Y34" s="25">
        <v>0.59</v>
      </c>
      <c r="Z34" s="25">
        <v>-0.27</v>
      </c>
      <c r="AA34" s="25">
        <v>4.0199999999999996</v>
      </c>
      <c r="AB34" s="25">
        <v>2.94</v>
      </c>
      <c r="AC34" s="25">
        <v>-1.21</v>
      </c>
      <c r="AD34" s="25">
        <v>0.02</v>
      </c>
      <c r="AE34" s="25">
        <v>-0.23</v>
      </c>
      <c r="AF34" s="25">
        <v>-1.33</v>
      </c>
    </row>
    <row r="35" spans="6:32" ht="14.45">
      <c r="F35" t="s">
        <v>403</v>
      </c>
      <c r="G35">
        <f t="shared" si="0"/>
        <v>118652.28724992536</v>
      </c>
      <c r="H35">
        <v>119209.95299999999</v>
      </c>
      <c r="J35" s="22">
        <f t="shared" si="5"/>
        <v>0</v>
      </c>
      <c r="L35">
        <f t="shared" si="2"/>
        <v>118652.28724992536</v>
      </c>
      <c r="M35">
        <f t="shared" si="3"/>
        <v>119209.95299999999</v>
      </c>
      <c r="S35">
        <v>1</v>
      </c>
      <c r="T35" s="112">
        <v>0</v>
      </c>
      <c r="U35">
        <v>1</v>
      </c>
      <c r="V35" s="28" t="s">
        <v>404</v>
      </c>
      <c r="W35" s="25" t="s">
        <v>405</v>
      </c>
      <c r="X35" s="25">
        <v>0.47</v>
      </c>
      <c r="Y35" s="25">
        <v>0.09</v>
      </c>
      <c r="Z35" s="25">
        <v>-0.56999999999999995</v>
      </c>
      <c r="AA35" s="25">
        <v>9.26</v>
      </c>
      <c r="AB35" s="25">
        <v>2.71</v>
      </c>
      <c r="AC35" s="25">
        <v>-0.28000000000000003</v>
      </c>
      <c r="AD35" s="25">
        <v>-0.1</v>
      </c>
      <c r="AE35" s="25">
        <v>-0.37</v>
      </c>
      <c r="AF35" s="25">
        <v>-0.75</v>
      </c>
    </row>
    <row r="36" spans="6:32" ht="14.45">
      <c r="F36" t="s">
        <v>406</v>
      </c>
      <c r="G36">
        <f t="shared" si="0"/>
        <v>69583.927392739264</v>
      </c>
      <c r="H36">
        <v>69576.968999999997</v>
      </c>
      <c r="J36" s="22">
        <f t="shared" si="5"/>
        <v>0</v>
      </c>
      <c r="L36">
        <f t="shared" si="2"/>
        <v>69583.927392739264</v>
      </c>
      <c r="M36">
        <f t="shared" si="3"/>
        <v>69576.968999999997</v>
      </c>
      <c r="S36">
        <v>1</v>
      </c>
      <c r="T36" s="112">
        <v>0</v>
      </c>
      <c r="U36">
        <v>1</v>
      </c>
      <c r="V36" s="28" t="s">
        <v>407</v>
      </c>
      <c r="W36" s="25" t="s">
        <v>408</v>
      </c>
      <c r="X36" s="25">
        <v>-0.01</v>
      </c>
      <c r="Y36" s="25">
        <v>0.14000000000000001</v>
      </c>
      <c r="Z36" s="25">
        <v>-0.06</v>
      </c>
      <c r="AA36" s="25">
        <v>1.94</v>
      </c>
      <c r="AB36" s="25">
        <v>2.37</v>
      </c>
      <c r="AC36" s="25">
        <v>-0.64</v>
      </c>
      <c r="AD36" s="25">
        <v>0.02</v>
      </c>
      <c r="AE36" s="25">
        <v>-0.72</v>
      </c>
      <c r="AF36" s="25">
        <v>-1.05</v>
      </c>
    </row>
    <row r="37" spans="6:32" ht="14.45">
      <c r="F37" t="s">
        <v>409</v>
      </c>
      <c r="G37">
        <f t="shared" si="0"/>
        <v>16929.661865448797</v>
      </c>
      <c r="H37">
        <v>19276.113000000001</v>
      </c>
      <c r="J37" s="22">
        <f t="shared" si="5"/>
        <v>0</v>
      </c>
      <c r="L37">
        <f t="shared" si="2"/>
        <v>16929.661865448797</v>
      </c>
      <c r="M37">
        <f t="shared" si="3"/>
        <v>19276.113000000001</v>
      </c>
      <c r="S37">
        <v>1</v>
      </c>
      <c r="T37" s="112">
        <v>0</v>
      </c>
      <c r="U37">
        <v>1</v>
      </c>
      <c r="V37" s="28" t="s">
        <v>410</v>
      </c>
      <c r="W37" s="25" t="s">
        <v>411</v>
      </c>
      <c r="X37" s="25">
        <v>13.86</v>
      </c>
      <c r="Y37" s="25">
        <v>1.6</v>
      </c>
      <c r="Z37" s="25">
        <v>-3.69</v>
      </c>
      <c r="AA37" s="25">
        <v>-27.47</v>
      </c>
      <c r="AB37" s="25">
        <v>-2.86</v>
      </c>
      <c r="AC37" s="25">
        <v>-2.27</v>
      </c>
      <c r="AD37" s="25">
        <v>-2.54</v>
      </c>
      <c r="AE37" s="25">
        <v>-2.66</v>
      </c>
      <c r="AF37" s="25">
        <v>-2.4500000000000002</v>
      </c>
    </row>
    <row r="38" spans="6:32" ht="14.45">
      <c r="F38" t="s">
        <v>412</v>
      </c>
      <c r="G38">
        <f t="shared" si="0"/>
        <v>8650.9537822399161</v>
      </c>
      <c r="H38">
        <v>9995.3119999999999</v>
      </c>
      <c r="J38" s="22">
        <f t="shared" si="5"/>
        <v>0</v>
      </c>
      <c r="L38">
        <f t="shared" si="2"/>
        <v>8650.9537822399161</v>
      </c>
      <c r="M38">
        <f t="shared" si="3"/>
        <v>9995.3119999999981</v>
      </c>
      <c r="S38">
        <v>1</v>
      </c>
      <c r="T38" s="112">
        <v>0</v>
      </c>
      <c r="U38">
        <v>1</v>
      </c>
      <c r="V38" s="28" t="s">
        <v>413</v>
      </c>
      <c r="W38" s="25" t="s">
        <v>414</v>
      </c>
      <c r="X38" s="25">
        <v>15.54</v>
      </c>
      <c r="Y38" s="25">
        <v>0.76</v>
      </c>
      <c r="Z38" s="25">
        <v>-4.99</v>
      </c>
      <c r="AA38" s="25">
        <v>17.75</v>
      </c>
      <c r="AB38" s="25">
        <v>56.47</v>
      </c>
      <c r="AC38" s="25">
        <v>0.18</v>
      </c>
      <c r="AD38" s="25">
        <v>-1.59</v>
      </c>
      <c r="AE38" s="25">
        <v>-2.66</v>
      </c>
      <c r="AF38" s="25">
        <v>-5.7</v>
      </c>
    </row>
    <row r="39" spans="6:32" ht="14.45">
      <c r="F39" t="s">
        <v>415</v>
      </c>
      <c r="G39">
        <f t="shared" si="0"/>
        <v>3442.2056786703602</v>
      </c>
      <c r="H39">
        <v>3976.4360000000001</v>
      </c>
      <c r="J39" s="22">
        <f t="shared" si="5"/>
        <v>0</v>
      </c>
      <c r="L39">
        <f t="shared" si="2"/>
        <v>3442.2056786703602</v>
      </c>
      <c r="M39">
        <f t="shared" si="3"/>
        <v>3976.4360000000001</v>
      </c>
      <c r="S39">
        <v>1</v>
      </c>
      <c r="T39" s="112">
        <v>0</v>
      </c>
      <c r="U39">
        <v>1</v>
      </c>
      <c r="V39" s="28" t="s">
        <v>416</v>
      </c>
      <c r="W39" s="25" t="s">
        <v>417</v>
      </c>
      <c r="X39" s="25">
        <v>15.52</v>
      </c>
      <c r="Y39" s="25">
        <v>1.69</v>
      </c>
      <c r="Z39" s="25">
        <v>-5.18</v>
      </c>
      <c r="AA39" s="25">
        <v>63.51</v>
      </c>
      <c r="AB39" s="25">
        <v>33.65</v>
      </c>
      <c r="AC39" s="25">
        <v>-3.2</v>
      </c>
      <c r="AD39" s="25">
        <v>-1.53</v>
      </c>
      <c r="AE39" s="25">
        <v>-3.29</v>
      </c>
      <c r="AF39" s="25">
        <v>-5.5</v>
      </c>
    </row>
    <row r="40" spans="6:32" ht="14.45">
      <c r="F40" t="s">
        <v>418</v>
      </c>
      <c r="G40">
        <f t="shared" si="0"/>
        <v>28251.255947660589</v>
      </c>
      <c r="H40">
        <v>28499.866999999998</v>
      </c>
      <c r="J40" s="22">
        <f t="shared" si="5"/>
        <v>0</v>
      </c>
      <c r="L40">
        <f t="shared" si="2"/>
        <v>28251.255947660589</v>
      </c>
      <c r="M40">
        <f t="shared" si="3"/>
        <v>28499.867000000002</v>
      </c>
      <c r="S40">
        <v>1</v>
      </c>
      <c r="T40" s="112">
        <v>1</v>
      </c>
      <c r="U40">
        <v>0</v>
      </c>
      <c r="V40" s="28" t="s">
        <v>419</v>
      </c>
      <c r="W40" s="25" t="s">
        <v>420</v>
      </c>
      <c r="X40" s="25">
        <v>0.88</v>
      </c>
      <c r="Y40" s="25">
        <v>-1.1200000000000001</v>
      </c>
      <c r="Z40" s="25">
        <v>-0.71</v>
      </c>
      <c r="AA40" s="25">
        <v>4.95</v>
      </c>
      <c r="AB40" s="25">
        <v>-4.59</v>
      </c>
      <c r="AC40" s="25">
        <v>-0.33</v>
      </c>
      <c r="AD40" s="25">
        <v>0.97</v>
      </c>
      <c r="AE40" s="25">
        <v>-0.34</v>
      </c>
      <c r="AF40" s="25">
        <v>0.27</v>
      </c>
    </row>
    <row r="41" spans="6:32" ht="14.45">
      <c r="F41" t="s">
        <v>421</v>
      </c>
      <c r="G41">
        <f t="shared" si="0"/>
        <v>102852.07270536252</v>
      </c>
      <c r="H41">
        <v>102420.094</v>
      </c>
      <c r="J41" s="22">
        <f t="shared" si="5"/>
        <v>0</v>
      </c>
      <c r="L41">
        <f t="shared" si="2"/>
        <v>102852.07270536252</v>
      </c>
      <c r="M41">
        <f t="shared" si="3"/>
        <v>102420.094</v>
      </c>
      <c r="S41">
        <v>1</v>
      </c>
      <c r="T41" s="112">
        <v>0</v>
      </c>
      <c r="U41">
        <v>1</v>
      </c>
      <c r="V41" s="28" t="s">
        <v>422</v>
      </c>
      <c r="W41" s="25" t="s">
        <v>423</v>
      </c>
      <c r="X41" s="25">
        <v>-0.42</v>
      </c>
      <c r="Y41" s="25">
        <v>0.64</v>
      </c>
      <c r="Z41" s="25">
        <v>-0.38</v>
      </c>
      <c r="AA41" s="25">
        <v>13.33</v>
      </c>
      <c r="AB41" s="25">
        <v>1.52</v>
      </c>
      <c r="AC41" s="25">
        <v>-0.86</v>
      </c>
      <c r="AD41" s="25">
        <v>-0.01</v>
      </c>
      <c r="AE41" s="25">
        <v>-0.32</v>
      </c>
      <c r="AF41" s="25">
        <v>-1.25</v>
      </c>
    </row>
    <row r="42" spans="6:32" ht="14.45">
      <c r="F42" t="s">
        <v>424</v>
      </c>
      <c r="G42">
        <f t="shared" si="0"/>
        <v>23588.241802454235</v>
      </c>
      <c r="H42">
        <v>23451.43</v>
      </c>
      <c r="J42" s="22">
        <f t="shared" si="5"/>
        <v>0</v>
      </c>
      <c r="L42">
        <f t="shared" si="2"/>
        <v>23588.241802454235</v>
      </c>
      <c r="M42">
        <f t="shared" si="3"/>
        <v>23451.43</v>
      </c>
      <c r="S42">
        <v>1</v>
      </c>
      <c r="T42" s="112">
        <v>0</v>
      </c>
      <c r="U42">
        <v>1</v>
      </c>
      <c r="V42" s="28" t="s">
        <v>425</v>
      </c>
      <c r="W42" s="25" t="s">
        <v>426</v>
      </c>
      <c r="X42" s="25">
        <v>-0.57999999999999996</v>
      </c>
      <c r="Y42" s="25">
        <v>0.42</v>
      </c>
      <c r="Z42" s="25">
        <v>-0.12</v>
      </c>
      <c r="AA42" s="25">
        <v>2.48</v>
      </c>
      <c r="AB42" s="25">
        <v>0.3</v>
      </c>
      <c r="AC42" s="25">
        <v>-0.17</v>
      </c>
      <c r="AD42" s="25">
        <v>-0.26</v>
      </c>
      <c r="AE42" s="25">
        <v>-0.41</v>
      </c>
      <c r="AF42" s="25">
        <v>-0.32</v>
      </c>
    </row>
    <row r="43" spans="6:32" ht="14.45">
      <c r="F43" t="s">
        <v>427</v>
      </c>
      <c r="G43">
        <f t="shared" si="0"/>
        <v>185183.88441261314</v>
      </c>
      <c r="H43">
        <v>186165.359</v>
      </c>
      <c r="J43" s="22">
        <f t="shared" si="5"/>
        <v>0</v>
      </c>
      <c r="L43">
        <f t="shared" si="2"/>
        <v>185183.88441261314</v>
      </c>
      <c r="M43">
        <f t="shared" si="3"/>
        <v>186165.359</v>
      </c>
      <c r="S43">
        <v>1</v>
      </c>
      <c r="T43" s="112">
        <v>0</v>
      </c>
      <c r="U43">
        <v>1</v>
      </c>
      <c r="V43" s="28" t="s">
        <v>428</v>
      </c>
      <c r="W43" s="25" t="s">
        <v>429</v>
      </c>
      <c r="X43" s="25">
        <v>0.53</v>
      </c>
      <c r="Y43" s="25">
        <v>2.4900000000000002</v>
      </c>
      <c r="Z43" s="25">
        <v>-1.17</v>
      </c>
      <c r="AA43" s="25">
        <v>24.4</v>
      </c>
      <c r="AB43" s="25">
        <v>3.52</v>
      </c>
      <c r="AC43" s="25">
        <v>-1.55</v>
      </c>
      <c r="AD43" s="25">
        <v>-1.05</v>
      </c>
      <c r="AE43" s="25">
        <v>-1.86</v>
      </c>
      <c r="AF43" s="25">
        <v>-3.17</v>
      </c>
    </row>
    <row r="44" spans="6:32" ht="14.45">
      <c r="F44" t="s">
        <v>430</v>
      </c>
      <c r="G44">
        <f t="shared" si="0"/>
        <v>107573.30478745358</v>
      </c>
      <c r="H44">
        <v>104260.04700000001</v>
      </c>
      <c r="J44" s="22">
        <f t="shared" si="5"/>
        <v>0</v>
      </c>
      <c r="L44">
        <f t="shared" si="2"/>
        <v>107573.30478745358</v>
      </c>
      <c r="M44">
        <f t="shared" si="3"/>
        <v>104260.04700000001</v>
      </c>
      <c r="S44">
        <v>1</v>
      </c>
      <c r="T44" s="112">
        <v>0</v>
      </c>
      <c r="U44">
        <v>1</v>
      </c>
      <c r="V44" s="28" t="s">
        <v>431</v>
      </c>
      <c r="W44" s="25" t="s">
        <v>432</v>
      </c>
      <c r="X44" s="25">
        <v>-3.08</v>
      </c>
      <c r="Y44" s="25">
        <v>1.06</v>
      </c>
      <c r="Z44" s="25">
        <v>0.91</v>
      </c>
      <c r="AA44" s="25">
        <v>4.9800000000000004</v>
      </c>
      <c r="AB44" s="25">
        <v>-2.2999999999999998</v>
      </c>
      <c r="AC44" s="25">
        <v>0.67</v>
      </c>
      <c r="AD44" s="25">
        <v>0.78</v>
      </c>
      <c r="AE44" s="25">
        <v>0.78</v>
      </c>
      <c r="AF44" s="25">
        <v>-2.8</v>
      </c>
    </row>
    <row r="45" spans="6:32" ht="14.45">
      <c r="F45" t="s">
        <v>433</v>
      </c>
      <c r="G45">
        <f t="shared" si="0"/>
        <v>76580.672099712378</v>
      </c>
      <c r="H45">
        <v>79873.641000000003</v>
      </c>
      <c r="J45" s="22">
        <f t="shared" si="5"/>
        <v>0</v>
      </c>
      <c r="L45">
        <f t="shared" si="2"/>
        <v>76580.672099712378</v>
      </c>
      <c r="M45">
        <f t="shared" si="3"/>
        <v>79873.641000000003</v>
      </c>
      <c r="S45">
        <v>1</v>
      </c>
      <c r="T45" s="112">
        <v>0</v>
      </c>
      <c r="U45">
        <v>1</v>
      </c>
      <c r="V45" s="28" t="s">
        <v>434</v>
      </c>
      <c r="W45" s="25" t="s">
        <v>435</v>
      </c>
      <c r="X45" s="25">
        <v>4.3</v>
      </c>
      <c r="Y45" s="25">
        <v>0.32</v>
      </c>
      <c r="Z45" s="25">
        <v>-2.1800000000000002</v>
      </c>
      <c r="AA45" s="25">
        <v>20.11</v>
      </c>
      <c r="AB45" s="25">
        <v>7.68</v>
      </c>
      <c r="AC45" s="25">
        <v>-2.39</v>
      </c>
      <c r="AD45" s="25">
        <v>-1.57</v>
      </c>
      <c r="AE45" s="25">
        <v>-1.33</v>
      </c>
      <c r="AF45" s="25">
        <v>-1.59</v>
      </c>
    </row>
    <row r="46" spans="6:32" ht="14.45">
      <c r="F46" t="s">
        <v>436</v>
      </c>
      <c r="G46">
        <f t="shared" si="0"/>
        <v>47760.797690124302</v>
      </c>
      <c r="H46">
        <v>48797.207000000002</v>
      </c>
      <c r="J46" s="22">
        <f t="shared" si="5"/>
        <v>0</v>
      </c>
      <c r="L46">
        <f t="shared" si="2"/>
        <v>47760.797690124302</v>
      </c>
      <c r="M46">
        <f t="shared" si="3"/>
        <v>48797.207000000002</v>
      </c>
      <c r="S46">
        <v>1</v>
      </c>
      <c r="T46" s="112">
        <v>1</v>
      </c>
      <c r="U46">
        <v>0</v>
      </c>
      <c r="V46" s="28" t="s">
        <v>437</v>
      </c>
      <c r="W46" s="25" t="s">
        <v>438</v>
      </c>
      <c r="X46" s="25">
        <v>2.17</v>
      </c>
      <c r="Y46" s="25">
        <v>-0.87</v>
      </c>
      <c r="Z46" s="25">
        <v>0.41</v>
      </c>
      <c r="AA46" s="25">
        <v>8.81</v>
      </c>
      <c r="AB46" s="25">
        <v>7.13</v>
      </c>
      <c r="AC46" s="25">
        <v>0.2</v>
      </c>
      <c r="AD46" s="25">
        <v>-0.02</v>
      </c>
      <c r="AE46" s="25">
        <v>-0.03</v>
      </c>
      <c r="AF46" s="25">
        <v>0.54</v>
      </c>
    </row>
    <row r="47" spans="6:32" ht="14.45">
      <c r="F47" t="s">
        <v>439</v>
      </c>
      <c r="G47">
        <f t="shared" si="0"/>
        <v>35768.618212353045</v>
      </c>
      <c r="H47">
        <v>38336.805</v>
      </c>
      <c r="J47" s="22">
        <f t="shared" si="5"/>
        <v>0</v>
      </c>
      <c r="L47">
        <f t="shared" si="2"/>
        <v>35768.618212353045</v>
      </c>
      <c r="M47">
        <f t="shared" si="3"/>
        <v>38336.805</v>
      </c>
      <c r="S47">
        <v>1</v>
      </c>
      <c r="T47" s="112">
        <v>1</v>
      </c>
      <c r="U47">
        <v>0</v>
      </c>
      <c r="V47" s="28" t="s">
        <v>440</v>
      </c>
      <c r="W47" s="25" t="s">
        <v>441</v>
      </c>
      <c r="X47" s="25">
        <v>7.18</v>
      </c>
      <c r="Y47" s="25">
        <v>7.0000000000000007E-2</v>
      </c>
      <c r="Z47" s="25">
        <v>-0.8</v>
      </c>
      <c r="AA47" s="25">
        <v>-0.83</v>
      </c>
      <c r="AB47" s="25">
        <v>-0.97</v>
      </c>
      <c r="AC47" s="25">
        <v>-1.93</v>
      </c>
      <c r="AD47" s="25">
        <v>-0.93</v>
      </c>
      <c r="AE47" s="25">
        <v>-1.2</v>
      </c>
      <c r="AF47" s="25">
        <v>-2.57</v>
      </c>
    </row>
    <row r="48" spans="6:32" ht="14.45">
      <c r="F48" t="s">
        <v>442</v>
      </c>
      <c r="G48">
        <f t="shared" si="0"/>
        <v>37656.437206514143</v>
      </c>
      <c r="H48">
        <v>37690.328000000001</v>
      </c>
      <c r="J48" s="22">
        <f t="shared" si="5"/>
        <v>0</v>
      </c>
      <c r="L48">
        <f t="shared" si="2"/>
        <v>37656.437206514143</v>
      </c>
      <c r="M48">
        <f t="shared" si="3"/>
        <v>37690.328000000001</v>
      </c>
      <c r="S48">
        <v>1</v>
      </c>
      <c r="T48" s="112">
        <v>1</v>
      </c>
      <c r="U48">
        <v>0</v>
      </c>
      <c r="V48" s="28" t="s">
        <v>443</v>
      </c>
      <c r="W48" s="25" t="s">
        <v>444</v>
      </c>
      <c r="X48" s="25">
        <v>0.09</v>
      </c>
      <c r="Y48" s="25">
        <v>2.76</v>
      </c>
      <c r="Z48" s="25">
        <v>0.28999999999999998</v>
      </c>
      <c r="AA48" s="25">
        <v>-27.14</v>
      </c>
      <c r="AB48" s="25">
        <v>9.99</v>
      </c>
      <c r="AC48" s="25">
        <v>2.23</v>
      </c>
      <c r="AD48" s="25">
        <v>0.57999999999999996</v>
      </c>
      <c r="AE48" s="25">
        <v>-1.49</v>
      </c>
      <c r="AF48" s="25">
        <v>-1.69</v>
      </c>
    </row>
    <row r="49" spans="6:32" ht="14.45">
      <c r="F49" t="s">
        <v>445</v>
      </c>
      <c r="G49">
        <f t="shared" si="0"/>
        <v>146598.50623918389</v>
      </c>
      <c r="H49">
        <v>160950.5</v>
      </c>
      <c r="J49" s="22">
        <f t="shared" si="5"/>
        <v>0</v>
      </c>
      <c r="L49">
        <f t="shared" si="2"/>
        <v>146598.50623918389</v>
      </c>
      <c r="M49">
        <f t="shared" si="3"/>
        <v>160950.5</v>
      </c>
      <c r="S49">
        <v>1</v>
      </c>
      <c r="T49" s="112">
        <v>1</v>
      </c>
      <c r="U49">
        <v>0</v>
      </c>
      <c r="V49" s="28" t="s">
        <v>446</v>
      </c>
      <c r="W49" s="25" t="s">
        <v>447</v>
      </c>
      <c r="X49" s="25">
        <v>9.7899999999999991</v>
      </c>
      <c r="Y49" s="25">
        <v>-0.86</v>
      </c>
      <c r="Z49" s="25">
        <v>-1.1499999999999999</v>
      </c>
      <c r="AA49" s="25">
        <v>-14.32</v>
      </c>
      <c r="AB49" s="25">
        <v>-18.059999999999999</v>
      </c>
      <c r="AC49" s="25">
        <v>-1.58</v>
      </c>
      <c r="AD49" s="25">
        <v>-0.79</v>
      </c>
      <c r="AE49" s="25">
        <v>-1.2</v>
      </c>
      <c r="AF49" s="25">
        <v>-1.04</v>
      </c>
    </row>
    <row r="50" spans="6:32" ht="14.45">
      <c r="F50" t="s">
        <v>448</v>
      </c>
      <c r="G50">
        <f t="shared" si="0"/>
        <v>261529.46954039956</v>
      </c>
      <c r="H50">
        <v>265740.09399999998</v>
      </c>
      <c r="J50" s="22">
        <f t="shared" si="5"/>
        <v>0</v>
      </c>
      <c r="L50">
        <f t="shared" si="2"/>
        <v>261529.46954039956</v>
      </c>
      <c r="M50">
        <f t="shared" si="3"/>
        <v>265740.09399999998</v>
      </c>
      <c r="S50">
        <v>1</v>
      </c>
      <c r="T50" s="112">
        <v>0</v>
      </c>
      <c r="U50">
        <v>0</v>
      </c>
      <c r="V50" s="28" t="s">
        <v>449</v>
      </c>
      <c r="W50" s="25" t="s">
        <v>450</v>
      </c>
      <c r="X50" s="25">
        <v>1.61</v>
      </c>
      <c r="Y50" s="25">
        <v>-0.81</v>
      </c>
      <c r="Z50" s="25">
        <v>-1.0900000000000001</v>
      </c>
      <c r="AA50" s="25">
        <v>12.79</v>
      </c>
      <c r="AB50" s="25">
        <v>2.15</v>
      </c>
      <c r="AC50" s="25">
        <v>1.61</v>
      </c>
      <c r="AD50" s="25">
        <v>0.54</v>
      </c>
      <c r="AE50" s="25">
        <v>-1.65</v>
      </c>
      <c r="AF50" s="25">
        <v>-4.2699999999999996</v>
      </c>
    </row>
    <row r="51" spans="6:32" ht="14.45">
      <c r="F51" t="s">
        <v>451</v>
      </c>
      <c r="G51">
        <f t="shared" si="0"/>
        <v>62592.189370578635</v>
      </c>
      <c r="H51">
        <v>69014.148000000001</v>
      </c>
      <c r="J51" s="22">
        <f t="shared" si="5"/>
        <v>0</v>
      </c>
      <c r="L51">
        <f t="shared" si="2"/>
        <v>62592.189370578635</v>
      </c>
      <c r="M51">
        <f t="shared" si="3"/>
        <v>69014.148000000001</v>
      </c>
      <c r="S51">
        <v>1</v>
      </c>
      <c r="T51" s="112">
        <v>1</v>
      </c>
      <c r="U51">
        <v>0</v>
      </c>
      <c r="V51" s="28" t="s">
        <v>452</v>
      </c>
      <c r="W51" s="25" t="s">
        <v>453</v>
      </c>
      <c r="X51" s="25">
        <v>10.26</v>
      </c>
      <c r="Y51" s="25">
        <v>-0.3</v>
      </c>
      <c r="Z51" s="25">
        <v>-2.9</v>
      </c>
      <c r="AA51" s="25">
        <v>9.1999999999999993</v>
      </c>
      <c r="AB51" s="25">
        <v>21.21</v>
      </c>
      <c r="AC51" s="25">
        <v>-3.34</v>
      </c>
      <c r="AD51" s="25">
        <v>-2.39</v>
      </c>
      <c r="AE51" s="25">
        <v>-1.8</v>
      </c>
      <c r="AF51" s="25">
        <v>-4.55</v>
      </c>
    </row>
    <row r="52" spans="6:32" ht="14.45">
      <c r="F52" t="s">
        <v>454</v>
      </c>
      <c r="G52">
        <f t="shared" si="0"/>
        <v>149977.5937133932</v>
      </c>
      <c r="H52">
        <v>153637.04699999999</v>
      </c>
      <c r="J52" s="22">
        <f t="shared" si="5"/>
        <v>0</v>
      </c>
      <c r="L52">
        <f t="shared" si="2"/>
        <v>149977.5937133932</v>
      </c>
      <c r="M52">
        <f t="shared" si="3"/>
        <v>153637.04699999999</v>
      </c>
      <c r="S52">
        <v>1</v>
      </c>
      <c r="T52" s="112">
        <v>1</v>
      </c>
      <c r="U52">
        <v>0</v>
      </c>
      <c r="V52" s="28" t="s">
        <v>455</v>
      </c>
      <c r="W52" s="25" t="s">
        <v>456</v>
      </c>
      <c r="X52" s="25">
        <v>2.44</v>
      </c>
      <c r="Y52" s="25">
        <v>1.54</v>
      </c>
      <c r="Z52" s="25">
        <v>-0.93</v>
      </c>
      <c r="AA52" s="25">
        <v>14.24</v>
      </c>
      <c r="AB52" s="25">
        <v>-16.850000000000001</v>
      </c>
      <c r="AC52" s="25">
        <v>-1.32</v>
      </c>
      <c r="AD52" s="25">
        <v>-0.77</v>
      </c>
      <c r="AE52" s="25">
        <v>-0.69</v>
      </c>
      <c r="AF52" s="25">
        <v>-2.56</v>
      </c>
    </row>
    <row r="53" spans="6:32" ht="14.45">
      <c r="F53" t="s">
        <v>457</v>
      </c>
      <c r="G53">
        <f t="shared" si="0"/>
        <v>121393.90164561808</v>
      </c>
      <c r="H53">
        <v>126880.906</v>
      </c>
      <c r="J53" s="22">
        <f t="shared" si="5"/>
        <v>0</v>
      </c>
      <c r="L53">
        <f t="shared" si="2"/>
        <v>121393.90164561808</v>
      </c>
      <c r="M53">
        <f t="shared" si="3"/>
        <v>126880.906</v>
      </c>
      <c r="S53">
        <v>1</v>
      </c>
      <c r="T53" s="112">
        <v>1</v>
      </c>
      <c r="U53">
        <v>0</v>
      </c>
      <c r="V53" s="28" t="s">
        <v>458</v>
      </c>
      <c r="W53" s="25" t="s">
        <v>459</v>
      </c>
      <c r="X53" s="25">
        <v>4.5199999999999996</v>
      </c>
      <c r="Y53" s="25">
        <v>0.23</v>
      </c>
      <c r="Z53" s="25">
        <v>0.65</v>
      </c>
      <c r="AA53" s="25">
        <v>-10.55</v>
      </c>
      <c r="AB53" s="25">
        <v>-9.31</v>
      </c>
      <c r="AC53" s="25">
        <v>-3.89</v>
      </c>
      <c r="AD53" s="25">
        <v>-4.0199999999999996</v>
      </c>
      <c r="AE53" s="25">
        <v>-0.84</v>
      </c>
      <c r="AF53" s="25">
        <v>-5.37</v>
      </c>
    </row>
    <row r="54" spans="6:32" ht="14.45">
      <c r="F54" t="s">
        <v>460</v>
      </c>
      <c r="G54">
        <f t="shared" si="0"/>
        <v>89658.607594936708</v>
      </c>
      <c r="H54">
        <v>88537.875</v>
      </c>
      <c r="J54" s="22">
        <f t="shared" si="5"/>
        <v>0</v>
      </c>
      <c r="L54">
        <f t="shared" si="2"/>
        <v>89658.607594936708</v>
      </c>
      <c r="M54">
        <f t="shared" si="3"/>
        <v>88537.875</v>
      </c>
      <c r="S54">
        <v>1</v>
      </c>
      <c r="T54" s="112">
        <v>1</v>
      </c>
      <c r="U54">
        <v>0</v>
      </c>
      <c r="V54" s="28" t="s">
        <v>461</v>
      </c>
      <c r="W54" s="25" t="s">
        <v>462</v>
      </c>
      <c r="X54" s="25">
        <v>-1.25</v>
      </c>
      <c r="Y54" s="25">
        <v>2.56</v>
      </c>
      <c r="Z54" s="25">
        <v>0.09</v>
      </c>
      <c r="AA54" s="25">
        <v>28.3</v>
      </c>
      <c r="AB54" s="25">
        <v>2.74</v>
      </c>
      <c r="AC54" s="25">
        <v>-0.09</v>
      </c>
      <c r="AD54" s="25">
        <v>0.1</v>
      </c>
      <c r="AE54" s="25">
        <v>-2.7</v>
      </c>
      <c r="AF54" s="25">
        <v>-3.21</v>
      </c>
    </row>
    <row r="55" spans="6:32" ht="14.45">
      <c r="F55" t="s">
        <v>463</v>
      </c>
      <c r="G55">
        <f t="shared" si="0"/>
        <v>383690.22043519397</v>
      </c>
      <c r="H55">
        <v>405560.56300000002</v>
      </c>
      <c r="J55" s="22">
        <f t="shared" si="5"/>
        <v>0</v>
      </c>
      <c r="L55">
        <f t="shared" si="2"/>
        <v>383690.22043519397</v>
      </c>
      <c r="M55">
        <f t="shared" si="3"/>
        <v>405560.56300000002</v>
      </c>
      <c r="S55">
        <v>1</v>
      </c>
      <c r="T55" s="112">
        <v>1</v>
      </c>
      <c r="U55">
        <v>0</v>
      </c>
      <c r="V55" s="28" t="s">
        <v>464</v>
      </c>
      <c r="W55" s="25" t="s">
        <v>465</v>
      </c>
      <c r="X55" s="25">
        <v>5.7</v>
      </c>
      <c r="Y55" s="25">
        <v>-2.93</v>
      </c>
      <c r="Z55" s="25">
        <v>-2.2599999999999998</v>
      </c>
      <c r="AA55" s="25">
        <v>-25.19</v>
      </c>
      <c r="AB55" s="25">
        <v>-29.57</v>
      </c>
      <c r="AC55" s="25">
        <v>-1.51</v>
      </c>
      <c r="AD55" s="25">
        <v>0.25</v>
      </c>
      <c r="AE55" s="25">
        <v>-1.03</v>
      </c>
      <c r="AF55" s="25">
        <v>-0.8</v>
      </c>
    </row>
    <row r="56" spans="6:32" ht="14.45">
      <c r="F56" t="s">
        <v>466</v>
      </c>
      <c r="G56">
        <f t="shared" si="0"/>
        <v>182463.72474873121</v>
      </c>
      <c r="H56">
        <v>183357.79699999999</v>
      </c>
      <c r="J56" s="22">
        <f>$G$78*$R$13*G56/SUM($G$56:$G$58)</f>
        <v>0</v>
      </c>
      <c r="L56">
        <f t="shared" si="2"/>
        <v>182463.72474873121</v>
      </c>
      <c r="M56">
        <f t="shared" si="3"/>
        <v>183357.79699999999</v>
      </c>
      <c r="T56" s="112">
        <v>0</v>
      </c>
      <c r="U56">
        <v>0</v>
      </c>
      <c r="V56" s="28" t="s">
        <v>467</v>
      </c>
      <c r="W56" s="25" t="s">
        <v>468</v>
      </c>
      <c r="X56" s="25">
        <v>0.49</v>
      </c>
      <c r="Y56" s="25">
        <v>0.4</v>
      </c>
      <c r="Z56" s="25">
        <v>-0.23</v>
      </c>
      <c r="AA56" s="25">
        <v>-0.08</v>
      </c>
      <c r="AB56" s="25">
        <v>0.79</v>
      </c>
      <c r="AC56" s="25">
        <v>-0.2</v>
      </c>
      <c r="AD56" s="25">
        <v>-0.26</v>
      </c>
      <c r="AE56" s="25">
        <v>-0.33</v>
      </c>
      <c r="AF56" s="25">
        <v>-0.48</v>
      </c>
    </row>
    <row r="57" spans="6:32" ht="14.45">
      <c r="F57" t="s">
        <v>469</v>
      </c>
      <c r="G57">
        <f t="shared" si="0"/>
        <v>24734.261594994539</v>
      </c>
      <c r="H57">
        <v>24904.928</v>
      </c>
      <c r="J57" s="22">
        <f>$G$78*$R$13*G57/SUM($G$56:$G$58)</f>
        <v>0</v>
      </c>
      <c r="L57">
        <f t="shared" si="2"/>
        <v>24734.261594994539</v>
      </c>
      <c r="M57">
        <f t="shared" si="3"/>
        <v>24904.928</v>
      </c>
      <c r="T57" s="112">
        <v>0</v>
      </c>
      <c r="U57">
        <v>0</v>
      </c>
      <c r="V57" s="28" t="s">
        <v>470</v>
      </c>
      <c r="W57" s="25" t="s">
        <v>471</v>
      </c>
      <c r="X57" s="25">
        <v>0.69</v>
      </c>
      <c r="Y57" s="25">
        <v>0.32</v>
      </c>
      <c r="Z57" s="25">
        <v>-0.3</v>
      </c>
      <c r="AA57" s="25">
        <v>1.39</v>
      </c>
      <c r="AB57" s="25">
        <v>-0.24</v>
      </c>
      <c r="AC57" s="25">
        <v>-0.18</v>
      </c>
      <c r="AD57" s="25">
        <v>-0.06</v>
      </c>
      <c r="AE57" s="25">
        <v>-0.14000000000000001</v>
      </c>
      <c r="AF57" s="25">
        <v>-0.09</v>
      </c>
    </row>
    <row r="58" spans="6:32" ht="14.45">
      <c r="F58" t="s">
        <v>472</v>
      </c>
      <c r="G58">
        <f t="shared" si="0"/>
        <v>100986.81582101477</v>
      </c>
      <c r="H58">
        <v>101108</v>
      </c>
      <c r="J58" s="22">
        <f>$G$78*$R$13*G58/SUM($G$56:$G$58)</f>
        <v>0</v>
      </c>
      <c r="L58">
        <f t="shared" si="2"/>
        <v>100986.81582101477</v>
      </c>
      <c r="M58">
        <f t="shared" si="3"/>
        <v>101108</v>
      </c>
      <c r="T58" s="112">
        <v>0</v>
      </c>
      <c r="U58">
        <v>0</v>
      </c>
      <c r="V58" s="28" t="s">
        <v>473</v>
      </c>
      <c r="W58" s="25" t="s">
        <v>474</v>
      </c>
      <c r="X58" s="25">
        <v>0.12</v>
      </c>
      <c r="Y58" s="25">
        <v>-0.14000000000000001</v>
      </c>
      <c r="Z58" s="25">
        <v>0.17</v>
      </c>
      <c r="AA58" s="25">
        <v>0.77</v>
      </c>
      <c r="AB58" s="25">
        <v>0.22</v>
      </c>
      <c r="AC58" s="25">
        <v>0.01</v>
      </c>
      <c r="AD58" s="25">
        <v>-0.08</v>
      </c>
      <c r="AE58" s="25">
        <v>-0.1</v>
      </c>
      <c r="AF58" s="25">
        <v>0.08</v>
      </c>
    </row>
    <row r="59" spans="6:32" ht="14.45">
      <c r="F59" t="s">
        <v>475</v>
      </c>
      <c r="G59">
        <f t="shared" si="0"/>
        <v>884764.11721764528</v>
      </c>
      <c r="H59">
        <v>848400.31200000003</v>
      </c>
      <c r="J59" s="22">
        <f>$G$78*$R$14*G59/SUM($G$59)</f>
        <v>0</v>
      </c>
      <c r="L59">
        <f t="shared" si="2"/>
        <v>884764.11721764528</v>
      </c>
      <c r="M59">
        <f t="shared" si="3"/>
        <v>848400.31200000003</v>
      </c>
      <c r="T59" s="112">
        <v>0</v>
      </c>
      <c r="U59">
        <v>0</v>
      </c>
      <c r="V59" s="28" t="s">
        <v>27</v>
      </c>
      <c r="W59" s="25" t="s">
        <v>476</v>
      </c>
      <c r="X59" s="25">
        <v>-4.1100000000000003</v>
      </c>
      <c r="Y59" s="25">
        <v>-1.49</v>
      </c>
      <c r="Z59" s="25">
        <v>1.87</v>
      </c>
      <c r="AA59" s="25">
        <v>-5.94</v>
      </c>
      <c r="AB59" s="25">
        <v>0.69</v>
      </c>
      <c r="AC59" s="25">
        <v>1.45</v>
      </c>
      <c r="AD59" s="25">
        <v>1.61</v>
      </c>
      <c r="AE59" s="25">
        <v>2.15</v>
      </c>
      <c r="AF59" s="25">
        <v>3.27</v>
      </c>
    </row>
    <row r="60" spans="6:32" ht="14.45">
      <c r="F60" t="s">
        <v>477</v>
      </c>
      <c r="G60">
        <f t="shared" si="0"/>
        <v>1618085.6949729621</v>
      </c>
      <c r="H60">
        <v>1615820.375</v>
      </c>
      <c r="J60" s="22">
        <f t="shared" ref="J60:J76" si="6">$G$78*$R$15*G60/SUM($G$60:$G$75)</f>
        <v>0</v>
      </c>
      <c r="L60">
        <f t="shared" si="2"/>
        <v>1618085.6949729621</v>
      </c>
      <c r="M60">
        <f t="shared" si="3"/>
        <v>1615820.375</v>
      </c>
      <c r="T60" s="112">
        <v>0</v>
      </c>
      <c r="U60">
        <v>0</v>
      </c>
      <c r="V60" s="28" t="s">
        <v>478</v>
      </c>
      <c r="W60" s="25" t="s">
        <v>479</v>
      </c>
      <c r="X60" s="25">
        <v>-0.14000000000000001</v>
      </c>
      <c r="Y60" s="25">
        <v>0.11</v>
      </c>
      <c r="Z60" s="25">
        <v>7.0000000000000007E-2</v>
      </c>
      <c r="AA60" s="25">
        <v>-0.63</v>
      </c>
      <c r="AB60" s="25">
        <v>-0.45</v>
      </c>
      <c r="AC60" s="25">
        <v>-0.02</v>
      </c>
      <c r="AD60" s="25">
        <v>0.08</v>
      </c>
      <c r="AE60" s="25">
        <v>0.04</v>
      </c>
      <c r="AF60" s="25">
        <v>0.02</v>
      </c>
    </row>
    <row r="61" spans="6:32" ht="14.45">
      <c r="F61" t="s">
        <v>480</v>
      </c>
      <c r="G61">
        <f t="shared" si="0"/>
        <v>604974.82212646562</v>
      </c>
      <c r="H61">
        <v>603704.375</v>
      </c>
      <c r="J61" s="22">
        <f t="shared" si="6"/>
        <v>0</v>
      </c>
      <c r="L61">
        <f t="shared" si="2"/>
        <v>604974.82212646562</v>
      </c>
      <c r="M61">
        <f t="shared" si="3"/>
        <v>603704.375</v>
      </c>
      <c r="T61" s="112">
        <v>0</v>
      </c>
      <c r="U61">
        <v>0</v>
      </c>
      <c r="V61" s="28" t="s">
        <v>481</v>
      </c>
      <c r="W61" s="25" t="s">
        <v>482</v>
      </c>
      <c r="X61" s="25">
        <v>-0.21</v>
      </c>
      <c r="Y61" s="25">
        <v>0.65</v>
      </c>
      <c r="Z61" s="25">
        <v>7.0000000000000007E-2</v>
      </c>
      <c r="AA61" s="25">
        <v>1.34</v>
      </c>
      <c r="AB61" s="25">
        <v>-0.01</v>
      </c>
      <c r="AC61" s="25">
        <v>0</v>
      </c>
      <c r="AD61" s="25">
        <v>-0.04</v>
      </c>
      <c r="AE61" s="25">
        <v>0.04</v>
      </c>
      <c r="AF61" s="25">
        <v>-0.18</v>
      </c>
    </row>
    <row r="62" spans="6:32" ht="14.45">
      <c r="F62" t="s">
        <v>483</v>
      </c>
      <c r="G62">
        <f t="shared" si="0"/>
        <v>292443.99400599406</v>
      </c>
      <c r="H62">
        <v>292736.43800000002</v>
      </c>
      <c r="J62" s="22">
        <f t="shared" si="6"/>
        <v>0</v>
      </c>
      <c r="L62">
        <f t="shared" si="2"/>
        <v>292443.99400599406</v>
      </c>
      <c r="M62">
        <f t="shared" si="3"/>
        <v>292736.43800000002</v>
      </c>
      <c r="T62" s="112">
        <v>0</v>
      </c>
      <c r="U62">
        <v>0</v>
      </c>
      <c r="V62" s="28" t="s">
        <v>484</v>
      </c>
      <c r="W62" s="25" t="s">
        <v>485</v>
      </c>
      <c r="X62" s="25">
        <v>0.1</v>
      </c>
      <c r="Y62" s="25">
        <v>-0.05</v>
      </c>
      <c r="Z62" s="25">
        <v>0.04</v>
      </c>
      <c r="AA62" s="25">
        <v>0.82</v>
      </c>
      <c r="AB62" s="25">
        <v>-0.27</v>
      </c>
      <c r="AC62" s="25">
        <v>-0.04</v>
      </c>
      <c r="AD62" s="25">
        <v>7.0000000000000007E-2</v>
      </c>
      <c r="AE62" s="25">
        <v>-0.04</v>
      </c>
      <c r="AF62" s="25">
        <v>0.08</v>
      </c>
    </row>
    <row r="63" spans="6:32" ht="14.45">
      <c r="F63" t="s">
        <v>486</v>
      </c>
      <c r="G63">
        <f t="shared" si="0"/>
        <v>14133.994487545937</v>
      </c>
      <c r="H63">
        <v>13845.661</v>
      </c>
      <c r="J63" s="22">
        <f t="shared" si="6"/>
        <v>0</v>
      </c>
      <c r="L63">
        <f t="shared" si="2"/>
        <v>14133.994487545937</v>
      </c>
      <c r="M63">
        <f t="shared" si="3"/>
        <v>13845.661</v>
      </c>
      <c r="T63" s="112">
        <v>0</v>
      </c>
      <c r="U63">
        <v>0</v>
      </c>
      <c r="V63" s="28" t="s">
        <v>487</v>
      </c>
      <c r="W63" s="25" t="s">
        <v>488</v>
      </c>
      <c r="X63" s="25">
        <v>-2.04</v>
      </c>
      <c r="Y63" s="25">
        <v>-0.2</v>
      </c>
      <c r="Z63" s="25">
        <v>-2.0099999999999998</v>
      </c>
      <c r="AA63" s="25">
        <v>0.12</v>
      </c>
      <c r="AB63" s="25">
        <v>-0.68</v>
      </c>
      <c r="AC63" s="25">
        <v>-2.98</v>
      </c>
      <c r="AD63" s="25">
        <v>-3.09</v>
      </c>
      <c r="AE63" s="25">
        <v>-3.54</v>
      </c>
      <c r="AF63" s="25">
        <v>-2.16</v>
      </c>
    </row>
    <row r="64" spans="6:32" ht="14.45">
      <c r="F64" t="s">
        <v>489</v>
      </c>
      <c r="G64">
        <f t="shared" si="0"/>
        <v>81012.21650005049</v>
      </c>
      <c r="H64">
        <v>80226.398000000001</v>
      </c>
      <c r="J64" s="22">
        <f t="shared" si="6"/>
        <v>0</v>
      </c>
      <c r="L64">
        <f t="shared" si="2"/>
        <v>81012.21650005049</v>
      </c>
      <c r="M64">
        <f t="shared" si="3"/>
        <v>80226.398000000001</v>
      </c>
      <c r="T64" s="112">
        <v>0</v>
      </c>
      <c r="U64">
        <v>0</v>
      </c>
      <c r="V64" s="28" t="s">
        <v>490</v>
      </c>
      <c r="W64" s="25" t="s">
        <v>491</v>
      </c>
      <c r="X64" s="25">
        <v>-0.97</v>
      </c>
      <c r="Y64" s="25">
        <v>1.63</v>
      </c>
      <c r="Z64" s="25">
        <v>-0.17</v>
      </c>
      <c r="AA64" s="25">
        <v>1.74</v>
      </c>
      <c r="AB64" s="25">
        <v>-0.08</v>
      </c>
      <c r="AC64" s="25">
        <v>-0.31</v>
      </c>
      <c r="AD64" s="25">
        <v>-0.14000000000000001</v>
      </c>
      <c r="AE64" s="25">
        <v>-0.26</v>
      </c>
      <c r="AF64" s="25">
        <v>-0.37</v>
      </c>
    </row>
    <row r="65" spans="6:32" ht="14.45">
      <c r="F65" t="s">
        <v>492</v>
      </c>
      <c r="G65">
        <f t="shared" si="0"/>
        <v>68622.028259344632</v>
      </c>
      <c r="H65">
        <v>68477.922000000006</v>
      </c>
      <c r="J65" s="22">
        <f t="shared" si="6"/>
        <v>0</v>
      </c>
      <c r="L65">
        <f t="shared" si="2"/>
        <v>68622.028259344632</v>
      </c>
      <c r="M65">
        <f t="shared" si="3"/>
        <v>68477.922000000006</v>
      </c>
      <c r="T65" s="112">
        <v>0</v>
      </c>
      <c r="U65">
        <v>0</v>
      </c>
      <c r="V65" s="28" t="s">
        <v>493</v>
      </c>
      <c r="W65" s="25" t="s">
        <v>494</v>
      </c>
      <c r="X65" s="25">
        <v>-0.21</v>
      </c>
      <c r="Y65" s="25">
        <v>0.61</v>
      </c>
      <c r="Z65" s="25">
        <v>-0.18</v>
      </c>
      <c r="AA65" s="25">
        <v>3.41</v>
      </c>
      <c r="AB65" s="25">
        <v>-0.17</v>
      </c>
      <c r="AC65" s="25">
        <v>-0.3</v>
      </c>
      <c r="AD65" s="25">
        <v>-0.15</v>
      </c>
      <c r="AE65" s="25">
        <v>-0.28999999999999998</v>
      </c>
      <c r="AF65" s="25">
        <v>-0.36</v>
      </c>
    </row>
    <row r="66" spans="6:32" ht="14.45">
      <c r="F66" t="s">
        <v>495</v>
      </c>
      <c r="G66">
        <f t="shared" si="0"/>
        <v>719861.4479135091</v>
      </c>
      <c r="H66">
        <v>712446.875</v>
      </c>
      <c r="J66" s="22">
        <f t="shared" si="6"/>
        <v>0</v>
      </c>
      <c r="L66">
        <f t="shared" si="2"/>
        <v>719861.4479135091</v>
      </c>
      <c r="M66">
        <f t="shared" si="3"/>
        <v>712446.875</v>
      </c>
      <c r="T66" s="112">
        <v>0</v>
      </c>
      <c r="U66">
        <v>0</v>
      </c>
      <c r="V66" s="28" t="s">
        <v>496</v>
      </c>
      <c r="W66" s="25" t="s">
        <v>497</v>
      </c>
      <c r="X66" s="25">
        <v>-1.03</v>
      </c>
      <c r="Y66" s="25">
        <v>0.25</v>
      </c>
      <c r="Z66" s="25">
        <v>0.32</v>
      </c>
      <c r="AA66" s="25">
        <v>0.53</v>
      </c>
      <c r="AB66" s="25">
        <v>-0.33</v>
      </c>
      <c r="AC66" s="25">
        <v>0.31</v>
      </c>
      <c r="AD66" s="25">
        <v>0.55000000000000004</v>
      </c>
      <c r="AE66" s="25">
        <v>0.66</v>
      </c>
      <c r="AF66" s="25">
        <v>0.92</v>
      </c>
    </row>
    <row r="67" spans="6:32" ht="14.45">
      <c r="F67" t="s">
        <v>498</v>
      </c>
      <c r="G67">
        <f t="shared" si="0"/>
        <v>830354.22342234221</v>
      </c>
      <c r="H67">
        <v>830271.18799999997</v>
      </c>
      <c r="J67" s="22">
        <f t="shared" si="6"/>
        <v>0</v>
      </c>
      <c r="L67">
        <f t="shared" si="2"/>
        <v>830354.22342234221</v>
      </c>
      <c r="M67">
        <f t="shared" si="3"/>
        <v>830271.18799999997</v>
      </c>
      <c r="T67" s="112">
        <v>0</v>
      </c>
      <c r="U67">
        <v>0</v>
      </c>
      <c r="V67" s="28" t="s">
        <v>499</v>
      </c>
      <c r="W67" s="25" t="s">
        <v>500</v>
      </c>
      <c r="X67" s="25">
        <v>-0.01</v>
      </c>
      <c r="Y67" s="25">
        <v>7.0000000000000007E-2</v>
      </c>
      <c r="Z67" s="25">
        <v>0.1</v>
      </c>
      <c r="AA67" s="25">
        <v>0.34</v>
      </c>
      <c r="AB67" s="25">
        <v>-0.12</v>
      </c>
      <c r="AC67" s="25">
        <v>0.05</v>
      </c>
      <c r="AD67" s="25">
        <v>0.19</v>
      </c>
      <c r="AE67" s="25">
        <v>0.11</v>
      </c>
      <c r="AF67" s="25">
        <v>-0.68</v>
      </c>
    </row>
    <row r="68" spans="6:32" ht="14.45">
      <c r="F68" t="s">
        <v>501</v>
      </c>
      <c r="G68">
        <f t="shared" si="0"/>
        <v>482879.36023916292</v>
      </c>
      <c r="H68">
        <v>484569.43800000002</v>
      </c>
      <c r="J68" s="22">
        <f t="shared" si="6"/>
        <v>0</v>
      </c>
      <c r="L68">
        <f t="shared" si="2"/>
        <v>482879.36023916292</v>
      </c>
      <c r="M68">
        <f t="shared" si="3"/>
        <v>484569.43800000002</v>
      </c>
      <c r="T68" s="112">
        <v>0</v>
      </c>
      <c r="U68">
        <v>0</v>
      </c>
      <c r="V68" s="28" t="s">
        <v>502</v>
      </c>
      <c r="W68" s="25" t="s">
        <v>503</v>
      </c>
      <c r="X68" s="25">
        <v>0.35</v>
      </c>
      <c r="Y68" s="25">
        <v>0.05</v>
      </c>
      <c r="Z68" s="25">
        <v>0.27</v>
      </c>
      <c r="AA68" s="25">
        <v>0.14000000000000001</v>
      </c>
      <c r="AB68" s="25">
        <v>-0.13</v>
      </c>
      <c r="AC68" s="25">
        <v>0.03</v>
      </c>
      <c r="AD68" s="25">
        <v>0.05</v>
      </c>
      <c r="AE68" s="25">
        <v>0.1</v>
      </c>
      <c r="AF68" s="25">
        <v>-0.27</v>
      </c>
    </row>
    <row r="69" spans="6:32" ht="14.45">
      <c r="F69" t="s">
        <v>504</v>
      </c>
      <c r="G69">
        <f t="shared" si="0"/>
        <v>928219.45246690733</v>
      </c>
      <c r="H69">
        <v>925620.43799999997</v>
      </c>
      <c r="J69" s="22">
        <f t="shared" si="6"/>
        <v>0</v>
      </c>
      <c r="L69">
        <f t="shared" si="2"/>
        <v>928219.45246690733</v>
      </c>
      <c r="M69">
        <f t="shared" si="3"/>
        <v>925620.43799999997</v>
      </c>
      <c r="T69" s="112">
        <v>0</v>
      </c>
      <c r="U69">
        <v>0</v>
      </c>
      <c r="V69" s="28" t="s">
        <v>505</v>
      </c>
      <c r="W69" s="25" t="s">
        <v>506</v>
      </c>
      <c r="X69" s="25">
        <v>-0.28000000000000003</v>
      </c>
      <c r="Y69" s="25">
        <v>-0.63</v>
      </c>
      <c r="Z69" s="25">
        <v>0.12</v>
      </c>
      <c r="AA69" s="25">
        <v>-1.43</v>
      </c>
      <c r="AB69" s="25">
        <v>-0.39</v>
      </c>
      <c r="AC69" s="25">
        <v>0.17</v>
      </c>
      <c r="AD69" s="25">
        <v>0.02</v>
      </c>
      <c r="AE69" s="25">
        <v>0.05</v>
      </c>
      <c r="AF69" s="25">
        <v>0.65</v>
      </c>
    </row>
    <row r="70" spans="6:32" ht="14.45">
      <c r="F70" t="s">
        <v>507</v>
      </c>
      <c r="G70">
        <f t="shared" si="0"/>
        <v>2901001.4716330054</v>
      </c>
      <c r="H70">
        <v>2858356.75</v>
      </c>
      <c r="J70" s="22">
        <f t="shared" si="6"/>
        <v>0</v>
      </c>
      <c r="L70">
        <f t="shared" si="2"/>
        <v>2901001.4716330054</v>
      </c>
      <c r="M70">
        <f t="shared" si="3"/>
        <v>2858356.75</v>
      </c>
      <c r="T70" s="112">
        <v>0</v>
      </c>
      <c r="U70">
        <v>0</v>
      </c>
      <c r="V70" s="28" t="s">
        <v>508</v>
      </c>
      <c r="W70" s="25" t="s">
        <v>509</v>
      </c>
      <c r="X70" s="25">
        <v>-1.47</v>
      </c>
      <c r="Y70" s="25">
        <v>-0.01</v>
      </c>
      <c r="Z70" s="25">
        <v>0.41</v>
      </c>
      <c r="AA70" s="25">
        <v>-0.05</v>
      </c>
      <c r="AB70" s="25">
        <v>-0.06</v>
      </c>
      <c r="AC70" s="25">
        <v>0.34</v>
      </c>
      <c r="AD70" s="25">
        <v>0.32</v>
      </c>
      <c r="AE70" s="25">
        <v>0.42</v>
      </c>
      <c r="AF70" s="25">
        <v>0.01</v>
      </c>
    </row>
    <row r="71" spans="6:32" ht="14.45">
      <c r="F71" t="s">
        <v>510</v>
      </c>
      <c r="G71">
        <f t="shared" si="0"/>
        <v>493409.78776404943</v>
      </c>
      <c r="H71">
        <v>495186.06300000002</v>
      </c>
      <c r="J71" s="22">
        <f t="shared" si="6"/>
        <v>0</v>
      </c>
      <c r="L71">
        <f t="shared" si="2"/>
        <v>493409.78776404943</v>
      </c>
      <c r="M71">
        <f t="shared" si="3"/>
        <v>495186.06300000002</v>
      </c>
      <c r="T71" s="112">
        <v>0</v>
      </c>
      <c r="U71">
        <v>0</v>
      </c>
      <c r="V71" s="28" t="s">
        <v>511</v>
      </c>
      <c r="W71" s="25" t="s">
        <v>512</v>
      </c>
      <c r="X71" s="25">
        <v>0.36</v>
      </c>
      <c r="Y71" s="25">
        <v>-0.33</v>
      </c>
      <c r="Z71" s="25">
        <v>7.0000000000000007E-2</v>
      </c>
      <c r="AA71" s="25">
        <v>-0.53</v>
      </c>
      <c r="AB71" s="25">
        <v>-0.22</v>
      </c>
      <c r="AC71" s="25">
        <v>0.01</v>
      </c>
      <c r="AD71" s="25">
        <v>0.05</v>
      </c>
      <c r="AE71" s="25">
        <v>7.0000000000000007E-2</v>
      </c>
      <c r="AF71" s="25">
        <v>0.14000000000000001</v>
      </c>
    </row>
    <row r="72" spans="6:32" ht="14.45">
      <c r="F72" t="s">
        <v>513</v>
      </c>
      <c r="G72">
        <f t="shared" si="0"/>
        <v>1205933.9852692347</v>
      </c>
      <c r="H72">
        <v>1211601.875</v>
      </c>
      <c r="J72" s="22">
        <f t="shared" si="6"/>
        <v>0</v>
      </c>
      <c r="L72">
        <f t="shared" si="2"/>
        <v>1205933.9852692347</v>
      </c>
      <c r="M72">
        <f t="shared" si="3"/>
        <v>1211601.875</v>
      </c>
      <c r="T72" s="112">
        <v>0</v>
      </c>
      <c r="U72">
        <v>0</v>
      </c>
      <c r="V72" s="28" t="s">
        <v>514</v>
      </c>
      <c r="W72" s="25" t="s">
        <v>515</v>
      </c>
      <c r="X72" s="25">
        <v>0.47</v>
      </c>
      <c r="Y72" s="25">
        <v>-0.53</v>
      </c>
      <c r="Z72" s="25">
        <v>0.05</v>
      </c>
      <c r="AA72" s="25">
        <v>-0.63</v>
      </c>
      <c r="AB72" s="25">
        <v>-0.15</v>
      </c>
      <c r="AC72" s="25">
        <v>0.08</v>
      </c>
      <c r="AD72" s="25">
        <v>0.03</v>
      </c>
      <c r="AE72" s="25">
        <v>0.08</v>
      </c>
      <c r="AF72" s="25">
        <v>0.44</v>
      </c>
    </row>
    <row r="73" spans="6:32" ht="14.45">
      <c r="F73" t="s">
        <v>516</v>
      </c>
      <c r="G73">
        <f t="shared" si="0"/>
        <v>841831.32590085617</v>
      </c>
      <c r="H73">
        <v>845703.75</v>
      </c>
      <c r="J73" s="22">
        <f t="shared" si="6"/>
        <v>0</v>
      </c>
      <c r="L73">
        <f t="shared" si="2"/>
        <v>841831.32590085617</v>
      </c>
      <c r="M73">
        <f t="shared" si="3"/>
        <v>845703.75000000012</v>
      </c>
      <c r="T73" s="112">
        <v>0</v>
      </c>
      <c r="U73">
        <v>0</v>
      </c>
      <c r="V73" s="28" t="s">
        <v>517</v>
      </c>
      <c r="W73" s="25" t="s">
        <v>518</v>
      </c>
      <c r="X73" s="25">
        <v>0.46</v>
      </c>
      <c r="Y73" s="25">
        <v>-0.06</v>
      </c>
      <c r="Z73" s="25">
        <v>0.05</v>
      </c>
      <c r="AA73" s="25">
        <v>-0.55000000000000004</v>
      </c>
      <c r="AB73" s="25">
        <v>-0.12</v>
      </c>
      <c r="AC73" s="25">
        <v>-0.06</v>
      </c>
      <c r="AD73" s="25">
        <v>-0.25</v>
      </c>
      <c r="AE73" s="25">
        <v>-0.01</v>
      </c>
      <c r="AF73" s="25">
        <v>-0.02</v>
      </c>
    </row>
    <row r="74" spans="6:32" ht="14.45">
      <c r="F74" t="s">
        <v>519</v>
      </c>
      <c r="G74">
        <f t="shared" si="0"/>
        <v>1500328.7640561252</v>
      </c>
      <c r="H74">
        <v>1507680.375</v>
      </c>
      <c r="J74" s="22">
        <f t="shared" si="6"/>
        <v>0</v>
      </c>
      <c r="L74">
        <f t="shared" si="2"/>
        <v>1500328.7640561252</v>
      </c>
      <c r="M74">
        <f t="shared" si="3"/>
        <v>1507680.375</v>
      </c>
      <c r="T74" s="112">
        <v>0</v>
      </c>
      <c r="U74">
        <v>0</v>
      </c>
      <c r="V74" s="28" t="s">
        <v>520</v>
      </c>
      <c r="W74" s="25" t="s">
        <v>521</v>
      </c>
      <c r="X74" s="25">
        <v>0.49</v>
      </c>
      <c r="Y74" s="25">
        <v>-0.52</v>
      </c>
      <c r="Z74" s="25">
        <v>0.03</v>
      </c>
      <c r="AA74" s="25">
        <v>-0.61</v>
      </c>
      <c r="AB74" s="25">
        <v>-0.2</v>
      </c>
      <c r="AC74" s="25">
        <v>0.04</v>
      </c>
      <c r="AD74" s="25">
        <v>-0.03</v>
      </c>
      <c r="AE74" s="25">
        <v>0.05</v>
      </c>
      <c r="AF74" s="25">
        <v>0.28999999999999998</v>
      </c>
    </row>
    <row r="75" spans="6:32" ht="14.45">
      <c r="F75" t="s">
        <v>522</v>
      </c>
      <c r="G75">
        <f t="shared" si="0"/>
        <v>1190086.7969447474</v>
      </c>
      <c r="H75">
        <v>1199726.5</v>
      </c>
      <c r="J75" s="22">
        <f t="shared" si="6"/>
        <v>0</v>
      </c>
      <c r="L75">
        <f t="shared" si="2"/>
        <v>1190086.7969447474</v>
      </c>
      <c r="M75">
        <f t="shared" si="3"/>
        <v>1199726.5</v>
      </c>
      <c r="T75" s="112">
        <v>0</v>
      </c>
      <c r="U75">
        <v>0</v>
      </c>
      <c r="V75" s="28" t="s">
        <v>523</v>
      </c>
      <c r="W75" s="25" t="s">
        <v>524</v>
      </c>
      <c r="X75" s="25">
        <v>0.81</v>
      </c>
      <c r="Y75" s="25">
        <v>-0.34</v>
      </c>
      <c r="Z75" s="25">
        <v>0.04</v>
      </c>
      <c r="AA75" s="25">
        <v>-0.55000000000000004</v>
      </c>
      <c r="AB75" s="25">
        <v>-0.36</v>
      </c>
      <c r="AC75" s="25">
        <v>0.05</v>
      </c>
      <c r="AD75" s="25">
        <v>0</v>
      </c>
      <c r="AE75" s="25">
        <v>0.04</v>
      </c>
      <c r="AF75" s="25">
        <v>0.23</v>
      </c>
    </row>
    <row r="76" spans="6:32">
      <c r="F76" t="s">
        <v>525</v>
      </c>
      <c r="G76" s="22">
        <f>G82-SUM(G11:G75)</f>
        <v>1837059.995442234</v>
      </c>
      <c r="H76" s="22">
        <f>H82-SUM(H11:H75)</f>
        <v>1784216.4931000024</v>
      </c>
      <c r="J76" s="22">
        <f t="shared" si="6"/>
        <v>0</v>
      </c>
      <c r="L76">
        <f t="shared" si="2"/>
        <v>1837059.995442234</v>
      </c>
      <c r="M76">
        <f t="shared" si="3"/>
        <v>1749983.3516582721</v>
      </c>
      <c r="U76">
        <v>0</v>
      </c>
      <c r="W76" s="25" t="s">
        <v>526</v>
      </c>
      <c r="X76" s="25">
        <v>-4.74</v>
      </c>
      <c r="Y76" s="25">
        <v>-2.64</v>
      </c>
      <c r="Z76" s="25">
        <v>1.67</v>
      </c>
      <c r="AA76" s="25">
        <v>4.6100000000000003</v>
      </c>
      <c r="AB76" s="25">
        <v>6.65</v>
      </c>
      <c r="AC76" s="25">
        <v>1.26</v>
      </c>
      <c r="AD76" s="25">
        <v>1.75</v>
      </c>
      <c r="AE76" s="25">
        <v>2.72</v>
      </c>
      <c r="AF76" s="25">
        <v>6.48</v>
      </c>
    </row>
    <row r="78" spans="6:32">
      <c r="G78" s="118"/>
      <c r="H78" s="118"/>
      <c r="I78" s="118"/>
      <c r="J78" s="118"/>
      <c r="K78" s="118"/>
      <c r="L78" s="118"/>
      <c r="M78" s="118"/>
      <c r="N78" s="118"/>
    </row>
    <row r="82" spans="6:14">
      <c r="F82" t="s">
        <v>313</v>
      </c>
      <c r="G82" s="117">
        <v>19479579</v>
      </c>
      <c r="H82" s="117">
        <f>G82*(1+'F5 Foreign GDP'!B2/100)</f>
        <v>19419192.305100001</v>
      </c>
      <c r="I82" s="117"/>
      <c r="J82" s="117"/>
      <c r="K82" s="117"/>
      <c r="L82" s="117"/>
      <c r="M82" s="117"/>
      <c r="N82" s="117"/>
    </row>
    <row r="83" spans="6:14">
      <c r="F83" t="s">
        <v>52</v>
      </c>
      <c r="G83">
        <f>SUM(G11:G75)</f>
        <v>17642519.004557766</v>
      </c>
      <c r="H83">
        <f>SUM(H11:H75)</f>
        <v>17634975.811999999</v>
      </c>
      <c r="J83" s="22">
        <f>$G$78*$R$15*G83/SUM($G$60:$G$75)</f>
        <v>0</v>
      </c>
      <c r="L83">
        <f>SUM(L11:L76)</f>
        <v>19479579</v>
      </c>
      <c r="M83">
        <f>SUM(M11:M76)</f>
        <v>19384959.163658272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87FA-9810-45F9-BEBE-25FF0BC0249B}">
  <sheetPr codeName="Sheet9"/>
  <dimension ref="A1:Z13"/>
  <sheetViews>
    <sheetView zoomScale="130" zoomScaleNormal="130" workbookViewId="0">
      <selection activeCell="B2" sqref="B2"/>
    </sheetView>
  </sheetViews>
  <sheetFormatPr defaultRowHeight="12.6"/>
  <sheetData>
    <row r="1" spans="1:26">
      <c r="A1" s="154"/>
      <c r="B1" s="155" t="s">
        <v>527</v>
      </c>
      <c r="C1" t="s">
        <v>528</v>
      </c>
      <c r="G1" s="25" t="s">
        <v>529</v>
      </c>
      <c r="H1" s="25" t="s">
        <v>530</v>
      </c>
      <c r="I1" s="25" t="s">
        <v>531</v>
      </c>
      <c r="J1" s="25" t="s">
        <v>532</v>
      </c>
      <c r="K1" s="25" t="s">
        <v>533</v>
      </c>
    </row>
    <row r="2" spans="1:26">
      <c r="A2" s="166" t="s">
        <v>31</v>
      </c>
      <c r="B2" s="167">
        <f t="shared" ref="B2:B12" si="0">H2</f>
        <v>-0.31</v>
      </c>
      <c r="C2" s="60">
        <f t="shared" ref="C2:C12" si="1">AZ4</f>
        <v>0</v>
      </c>
      <c r="G2" s="25" t="s">
        <v>31</v>
      </c>
      <c r="H2" s="25">
        <v>-0.31</v>
      </c>
      <c r="I2" s="25">
        <v>19479580</v>
      </c>
      <c r="J2" s="25">
        <v>19420096</v>
      </c>
      <c r="K2" s="25">
        <v>-59484</v>
      </c>
    </row>
    <row r="3" spans="1:26">
      <c r="A3" s="166" t="s">
        <v>32</v>
      </c>
      <c r="B3" s="167">
        <f t="shared" si="0"/>
        <v>-0.23</v>
      </c>
      <c r="C3" s="60">
        <f t="shared" si="1"/>
        <v>0</v>
      </c>
      <c r="G3" s="25" t="s">
        <v>32</v>
      </c>
      <c r="H3" s="25">
        <v>-0.23</v>
      </c>
      <c r="I3" s="25">
        <v>12651691</v>
      </c>
      <c r="J3" s="25">
        <v>12622894</v>
      </c>
      <c r="K3" s="25">
        <v>-28797</v>
      </c>
    </row>
    <row r="4" spans="1:26">
      <c r="A4" s="166" t="s">
        <v>33</v>
      </c>
      <c r="B4" s="167">
        <f t="shared" si="0"/>
        <v>0.01</v>
      </c>
      <c r="C4" s="60">
        <f t="shared" si="1"/>
        <v>0</v>
      </c>
      <c r="G4" s="25" t="s">
        <v>33</v>
      </c>
      <c r="H4" s="25">
        <v>0.01</v>
      </c>
      <c r="I4" s="25">
        <v>18959884</v>
      </c>
      <c r="J4" s="25">
        <v>18962332</v>
      </c>
      <c r="K4" s="25">
        <v>2448</v>
      </c>
    </row>
    <row r="5" spans="1:26">
      <c r="A5" s="166" t="s">
        <v>34</v>
      </c>
      <c r="B5" s="167">
        <f t="shared" si="0"/>
        <v>-0.23</v>
      </c>
      <c r="C5" s="60">
        <f t="shared" si="1"/>
        <v>0</v>
      </c>
      <c r="G5" s="25" t="s">
        <v>34</v>
      </c>
      <c r="H5" s="25">
        <v>-0.23</v>
      </c>
      <c r="I5" s="25">
        <v>1649265.88</v>
      </c>
      <c r="J5" s="25">
        <v>1645439.13</v>
      </c>
      <c r="K5" s="25">
        <v>-3826.75</v>
      </c>
      <c r="X5" s="60"/>
    </row>
    <row r="6" spans="1:26">
      <c r="A6" s="166" t="s">
        <v>35</v>
      </c>
      <c r="B6" s="167">
        <f t="shared" si="0"/>
        <v>0.02</v>
      </c>
      <c r="C6" s="60">
        <f t="shared" si="1"/>
        <v>0</v>
      </c>
      <c r="G6" s="25" t="s">
        <v>35</v>
      </c>
      <c r="H6" s="25">
        <v>0.02</v>
      </c>
      <c r="I6" s="25">
        <v>1158914.5</v>
      </c>
      <c r="J6" s="25">
        <v>1159195.8799999999</v>
      </c>
      <c r="K6" s="25">
        <v>281.38</v>
      </c>
    </row>
    <row r="7" spans="1:26">
      <c r="A7" s="166" t="s">
        <v>36</v>
      </c>
      <c r="B7" s="167">
        <f t="shared" si="0"/>
        <v>0.04</v>
      </c>
      <c r="C7" s="60">
        <f t="shared" si="1"/>
        <v>0</v>
      </c>
      <c r="G7" s="25" t="s">
        <v>36</v>
      </c>
      <c r="H7" s="25">
        <v>0.04</v>
      </c>
      <c r="I7" s="25">
        <v>5052316.5</v>
      </c>
      <c r="J7" s="25">
        <v>5054398.5</v>
      </c>
      <c r="K7" s="25">
        <v>2082</v>
      </c>
    </row>
    <row r="8" spans="1:26">
      <c r="A8" s="166" t="s">
        <v>37</v>
      </c>
      <c r="B8" s="167">
        <f t="shared" si="0"/>
        <v>0</v>
      </c>
      <c r="C8" s="60">
        <f t="shared" si="1"/>
        <v>0</v>
      </c>
      <c r="G8" s="25" t="s">
        <v>37</v>
      </c>
      <c r="H8" s="25">
        <v>0</v>
      </c>
      <c r="I8" s="25">
        <v>4930842</v>
      </c>
      <c r="J8" s="25">
        <v>4930818.5</v>
      </c>
      <c r="K8" s="25">
        <v>-23.5</v>
      </c>
    </row>
    <row r="9" spans="1:26">
      <c r="A9" s="166" t="s">
        <v>38</v>
      </c>
      <c r="B9" s="167">
        <f t="shared" si="0"/>
        <v>0.04</v>
      </c>
      <c r="C9" s="60">
        <f t="shared" si="1"/>
        <v>0</v>
      </c>
      <c r="G9" s="25" t="s">
        <v>38</v>
      </c>
      <c r="H9" s="25">
        <v>0.04</v>
      </c>
      <c r="I9" s="25">
        <v>14812614</v>
      </c>
      <c r="J9" s="25">
        <v>14818913</v>
      </c>
      <c r="K9" s="25">
        <v>6299</v>
      </c>
    </row>
    <row r="10" spans="1:26">
      <c r="A10" s="166" t="s">
        <v>39</v>
      </c>
      <c r="B10" s="167">
        <f t="shared" si="0"/>
        <v>0.1</v>
      </c>
      <c r="C10" s="60">
        <f t="shared" si="1"/>
        <v>0</v>
      </c>
      <c r="G10" s="25" t="s">
        <v>39</v>
      </c>
      <c r="H10" s="25">
        <v>0.1</v>
      </c>
      <c r="I10" s="25">
        <v>2698977</v>
      </c>
      <c r="J10" s="25">
        <v>2701598.75</v>
      </c>
      <c r="K10" s="25">
        <v>2621.75</v>
      </c>
    </row>
    <row r="11" spans="1:26" ht="37.5">
      <c r="A11" s="168" t="s">
        <v>534</v>
      </c>
      <c r="B11" s="167">
        <f t="shared" si="0"/>
        <v>-9.6320414579975644E-2</v>
      </c>
      <c r="C11" s="60">
        <f t="shared" si="1"/>
        <v>0</v>
      </c>
      <c r="G11" t="s">
        <v>535</v>
      </c>
      <c r="H11">
        <f>100*(J11/I11-1)</f>
        <v>-9.6320414579975644E-2</v>
      </c>
      <c r="I11">
        <f>SUM(I2:I10)</f>
        <v>81394084.879999995</v>
      </c>
      <c r="J11">
        <f>SUM(J2:J10)</f>
        <v>81315685.760000005</v>
      </c>
    </row>
    <row r="12" spans="1:26" ht="38.1" thickBot="1">
      <c r="A12" s="169" t="s">
        <v>536</v>
      </c>
      <c r="B12" s="170">
        <f t="shared" si="0"/>
        <v>-3.0550385627170495E-2</v>
      </c>
      <c r="C12" s="60">
        <f t="shared" si="1"/>
        <v>0</v>
      </c>
      <c r="G12" t="s">
        <v>537</v>
      </c>
      <c r="H12">
        <f>100*(J12/I12-1)</f>
        <v>-3.0550385627170495E-2</v>
      </c>
      <c r="I12">
        <f>I11-I2</f>
        <v>61914504.879999995</v>
      </c>
      <c r="J12">
        <f>J11-J2</f>
        <v>61895589.760000005</v>
      </c>
    </row>
    <row r="13" spans="1:26">
      <c r="Y13" s="60"/>
      <c r="Z13" s="60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678E-A62C-4167-8208-BF4B267BFC9D}">
  <sheetPr codeName="Sheet35"/>
  <dimension ref="A1:N27"/>
  <sheetViews>
    <sheetView workbookViewId="0">
      <selection activeCell="C12" sqref="C12"/>
    </sheetView>
  </sheetViews>
  <sheetFormatPr defaultRowHeight="12.6"/>
  <cols>
    <col min="1" max="1" width="17.28515625" customWidth="1"/>
  </cols>
  <sheetData>
    <row r="1" spans="1:14" ht="12.95">
      <c r="A1" s="11" t="s">
        <v>538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4">
      <c r="A2" s="4" t="s">
        <v>539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4">
      <c r="A3" s="4" t="s">
        <v>540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4" ht="12.95">
      <c r="A5" s="217"/>
      <c r="B5" s="6">
        <v>2026</v>
      </c>
      <c r="C5" s="6">
        <v>2027</v>
      </c>
      <c r="D5" s="6">
        <v>2028</v>
      </c>
      <c r="E5" s="6">
        <v>2029</v>
      </c>
      <c r="F5" s="6">
        <v>2030</v>
      </c>
      <c r="G5" s="6">
        <v>2031</v>
      </c>
      <c r="H5" s="6">
        <v>2032</v>
      </c>
      <c r="I5" s="6">
        <v>2033</v>
      </c>
      <c r="J5" s="6">
        <v>2034</v>
      </c>
      <c r="K5" s="6">
        <v>2035</v>
      </c>
      <c r="L5" s="6" t="s">
        <v>541</v>
      </c>
    </row>
    <row r="6" spans="1:14" ht="12.95">
      <c r="A6" s="4" t="s">
        <v>8</v>
      </c>
      <c r="B6" s="218">
        <f>'Fiscal Summary'!C28</f>
        <v>245.59788029243293</v>
      </c>
      <c r="C6" s="218">
        <f>'Fiscal Summary'!D28</f>
        <v>237.73109877437435</v>
      </c>
      <c r="D6" s="218">
        <f>'Fiscal Summary'!E28</f>
        <v>246.6918499168421</v>
      </c>
      <c r="E6" s="218">
        <f>'Fiscal Summary'!F28</f>
        <v>254.87931298705354</v>
      </c>
      <c r="F6" s="218">
        <f>'Fiscal Summary'!G28</f>
        <v>263.5575380933933</v>
      </c>
      <c r="G6" s="218">
        <f>'Fiscal Summary'!H28</f>
        <v>273.85027765576558</v>
      </c>
      <c r="H6" s="218">
        <f>'Fiscal Summary'!I28</f>
        <v>284.74424897887423</v>
      </c>
      <c r="I6" s="218">
        <f>'Fiscal Summary'!J28</f>
        <v>295.81027661350299</v>
      </c>
      <c r="J6" s="218">
        <f>'Fiscal Summary'!K28</f>
        <v>307.14612683504373</v>
      </c>
      <c r="K6" s="218">
        <f>'Fiscal Summary'!L28</f>
        <v>318.32262419428048</v>
      </c>
      <c r="L6" s="220">
        <f>SUM(B6:K6)</f>
        <v>2728.3312343415628</v>
      </c>
      <c r="M6" s="22" t="e">
        <f>#REF!/135.7</f>
        <v>#REF!</v>
      </c>
      <c r="N6" s="116">
        <f>SUM(B6:J6)</f>
        <v>2410.0086101472825</v>
      </c>
    </row>
    <row r="7" spans="1:14" ht="12.95">
      <c r="A7" s="4" t="s">
        <v>9</v>
      </c>
      <c r="B7" s="218">
        <f t="shared" ref="B7:K7" si="0">B6+B8</f>
        <v>204.47488029243294</v>
      </c>
      <c r="C7" s="218">
        <f t="shared" si="0"/>
        <v>185.64109877437434</v>
      </c>
      <c r="D7" s="218">
        <f t="shared" si="0"/>
        <v>202.55884991684209</v>
      </c>
      <c r="E7" s="218">
        <f t="shared" si="0"/>
        <v>219.78031298705355</v>
      </c>
      <c r="F7" s="218">
        <f t="shared" si="0"/>
        <v>231.8595380933933</v>
      </c>
      <c r="G7" s="218">
        <f t="shared" si="0"/>
        <v>241.48127765576558</v>
      </c>
      <c r="H7" s="218">
        <f t="shared" si="0"/>
        <v>250.45024897887424</v>
      </c>
      <c r="I7" s="218">
        <f t="shared" si="0"/>
        <v>259.42627661350298</v>
      </c>
      <c r="J7" s="218">
        <f t="shared" si="0"/>
        <v>268.60712683504374</v>
      </c>
      <c r="K7" s="218">
        <f t="shared" si="0"/>
        <v>277.4636241942805</v>
      </c>
      <c r="L7" s="220">
        <f>SUM(B7:K7)</f>
        <v>2341.743234341563</v>
      </c>
    </row>
    <row r="8" spans="1:14" ht="12.95">
      <c r="A8" s="222" t="s">
        <v>542</v>
      </c>
      <c r="B8" s="254">
        <v>-41.122999999999998</v>
      </c>
      <c r="C8" s="254">
        <v>-52.09</v>
      </c>
      <c r="D8" s="254">
        <v>-44.133000000000003</v>
      </c>
      <c r="E8" s="254">
        <v>-35.098999999999997</v>
      </c>
      <c r="F8" s="254">
        <v>-31.698</v>
      </c>
      <c r="G8" s="254">
        <v>-32.369</v>
      </c>
      <c r="H8" s="254">
        <v>-34.293999999999997</v>
      </c>
      <c r="I8" s="254">
        <v>-36.384</v>
      </c>
      <c r="J8" s="254">
        <v>-38.539000000000001</v>
      </c>
      <c r="K8" s="254">
        <v>-40.859000000000002</v>
      </c>
      <c r="L8" s="255">
        <f>SUM(B8:K8)</f>
        <v>-386.58799999999997</v>
      </c>
    </row>
    <row r="9" spans="1:14" ht="12.95">
      <c r="A9" s="4"/>
      <c r="B9" s="442"/>
      <c r="C9" s="218"/>
      <c r="D9" s="218"/>
      <c r="E9" s="218"/>
      <c r="F9" s="218"/>
      <c r="G9" s="218"/>
      <c r="H9" s="218"/>
      <c r="I9" s="218"/>
      <c r="J9" s="218"/>
      <c r="K9" s="218"/>
      <c r="L9" s="219"/>
    </row>
    <row r="10" spans="1:14" ht="12.95">
      <c r="A10" s="4" t="s">
        <v>543</v>
      </c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9"/>
    </row>
    <row r="11" spans="1:14" ht="12.95">
      <c r="A11" s="4" t="s">
        <v>544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9"/>
    </row>
    <row r="12" spans="1:14" ht="12.95">
      <c r="A12" s="4"/>
      <c r="B12" s="218"/>
      <c r="C12" s="218"/>
      <c r="D12" s="218"/>
      <c r="E12" s="218"/>
      <c r="F12" s="218"/>
      <c r="G12" s="218"/>
      <c r="H12" s="218"/>
      <c r="I12" s="218"/>
      <c r="J12" s="218"/>
      <c r="K12" s="218"/>
      <c r="L12" s="247"/>
    </row>
    <row r="13" spans="1:14" ht="12.95">
      <c r="A13" s="4"/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47"/>
    </row>
    <row r="14" spans="1:14" ht="12.95">
      <c r="A14" s="4"/>
      <c r="B14" s="218"/>
      <c r="C14" s="218"/>
      <c r="D14" s="218"/>
      <c r="E14" s="218"/>
      <c r="F14" s="218"/>
      <c r="G14" s="218"/>
      <c r="H14" s="218"/>
      <c r="I14" s="218"/>
      <c r="J14" s="218"/>
      <c r="K14" s="218"/>
      <c r="L14" s="219"/>
    </row>
    <row r="15" spans="1:14" ht="12.95">
      <c r="A15" s="4"/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9"/>
    </row>
    <row r="16" spans="1:14" ht="12.95">
      <c r="A16" s="4"/>
      <c r="B16" s="218"/>
      <c r="C16" s="218"/>
      <c r="D16" s="218"/>
      <c r="E16" s="218"/>
      <c r="F16" s="218"/>
      <c r="G16" s="218"/>
      <c r="H16" s="218"/>
      <c r="I16" s="218"/>
      <c r="J16" s="218"/>
      <c r="K16" s="218"/>
      <c r="L16" s="219"/>
    </row>
    <row r="17" spans="1:12" ht="12.95">
      <c r="A17" s="4"/>
      <c r="B17" s="218"/>
      <c r="C17" s="218"/>
      <c r="D17" s="218"/>
      <c r="E17" s="218"/>
      <c r="F17" s="218"/>
      <c r="G17" s="218"/>
      <c r="H17" s="218"/>
      <c r="I17" s="218"/>
      <c r="J17" s="218"/>
      <c r="K17" s="218"/>
      <c r="L17" s="219"/>
    </row>
    <row r="18" spans="1:12" ht="12.95">
      <c r="A18" s="4"/>
      <c r="B18" s="218"/>
      <c r="C18" s="218"/>
      <c r="D18" s="218" t="s">
        <v>545</v>
      </c>
      <c r="E18" s="218"/>
      <c r="F18" s="218"/>
      <c r="G18" s="218"/>
      <c r="H18" s="218"/>
      <c r="I18" s="218"/>
      <c r="J18" s="218"/>
      <c r="K18" s="218"/>
      <c r="L18" s="219"/>
    </row>
    <row r="21" spans="1:12">
      <c r="B21" s="116"/>
      <c r="C21" s="116"/>
      <c r="D21" s="116"/>
      <c r="E21" s="116"/>
      <c r="F21" s="116"/>
      <c r="G21" s="116"/>
      <c r="H21" s="116"/>
      <c r="I21" s="116"/>
      <c r="J21" s="116"/>
      <c r="K21" s="116"/>
    </row>
    <row r="24" spans="1:12">
      <c r="B24" s="116">
        <v>113.47247525918442</v>
      </c>
      <c r="C24" s="116">
        <v>113.44881776004136</v>
      </c>
      <c r="D24" s="116">
        <v>117.72827528246013</v>
      </c>
      <c r="E24" s="116">
        <v>121.63798845961465</v>
      </c>
      <c r="F24" s="116">
        <v>125.78490080940119</v>
      </c>
      <c r="G24" s="116">
        <v>130.6986994015964</v>
      </c>
      <c r="H24" s="116">
        <v>135.9025177871757</v>
      </c>
      <c r="I24" s="116">
        <v>141.1860607246351</v>
      </c>
      <c r="J24" s="116">
        <v>146.60116159322257</v>
      </c>
      <c r="K24" s="116">
        <v>151.93752515143393</v>
      </c>
      <c r="L24">
        <v>1298.3984222287654</v>
      </c>
    </row>
    <row r="25" spans="1:12">
      <c r="B25">
        <v>92.82947525918442</v>
      </c>
      <c r="C25">
        <v>90.621817760041367</v>
      </c>
      <c r="D25">
        <v>89.93327528246013</v>
      </c>
      <c r="E25">
        <v>95.356988459614655</v>
      </c>
      <c r="F25">
        <v>102.01090080940119</v>
      </c>
      <c r="G25">
        <v>109.60469940159641</v>
      </c>
      <c r="H25">
        <v>114.62451778717571</v>
      </c>
      <c r="I25">
        <v>118.6100607246351</v>
      </c>
      <c r="J25">
        <v>122.68816159322257</v>
      </c>
      <c r="K25">
        <v>126.56752515143393</v>
      </c>
      <c r="L25">
        <v>1062.8474222287655</v>
      </c>
    </row>
    <row r="26" spans="1:12">
      <c r="B26">
        <f t="shared" ref="B26:L26" si="1">1-B24/B6</f>
        <v>0.53797453331407841</v>
      </c>
      <c r="C26">
        <f t="shared" si="1"/>
        <v>0.52278512005821631</v>
      </c>
      <c r="D26">
        <f t="shared" si="1"/>
        <v>0.52277193055974314</v>
      </c>
      <c r="E26">
        <f t="shared" si="1"/>
        <v>0.52276241239792898</v>
      </c>
      <c r="F26">
        <f t="shared" si="1"/>
        <v>0.52274216203663082</v>
      </c>
      <c r="G26">
        <f t="shared" si="1"/>
        <v>0.52273665551697235</v>
      </c>
      <c r="H26">
        <f t="shared" si="1"/>
        <v>0.52272076337085704</v>
      </c>
      <c r="I26">
        <f t="shared" si="1"/>
        <v>0.52271414522523618</v>
      </c>
      <c r="J26">
        <f t="shared" si="1"/>
        <v>0.52269897359976691</v>
      </c>
      <c r="K26">
        <f t="shared" si="1"/>
        <v>0.52269328786790048</v>
      </c>
      <c r="L26">
        <f t="shared" si="1"/>
        <v>0.52410528242106491</v>
      </c>
    </row>
    <row r="27" spans="1:12">
      <c r="B27">
        <f t="shared" ref="B27:L27" si="2">1-B25/B7</f>
        <v>0.54601036994655328</v>
      </c>
      <c r="C27">
        <f t="shared" si="2"/>
        <v>0.51184399166812788</v>
      </c>
      <c r="D27">
        <f t="shared" si="2"/>
        <v>0.55601409013044323</v>
      </c>
      <c r="E27">
        <f t="shared" si="2"/>
        <v>0.56612588651090068</v>
      </c>
      <c r="F27">
        <f t="shared" si="2"/>
        <v>0.56003146711906637</v>
      </c>
      <c r="G27">
        <f t="shared" si="2"/>
        <v>0.5461151255053438</v>
      </c>
      <c r="H27">
        <f t="shared" si="2"/>
        <v>0.54232619750022926</v>
      </c>
      <c r="I27">
        <f t="shared" si="2"/>
        <v>0.54279858512041912</v>
      </c>
      <c r="J27">
        <f t="shared" si="2"/>
        <v>0.5432430887488422</v>
      </c>
      <c r="K27">
        <f t="shared" si="2"/>
        <v>0.54384101512776639</v>
      </c>
      <c r="L27">
        <f t="shared" si="2"/>
        <v>0.54612982045078473</v>
      </c>
    </row>
  </sheetData>
  <pageMargins left="0.7" right="0.7" top="0.75" bottom="0.75" header="0.3" footer="0.3"/>
  <ignoredErrors>
    <ignoredError sqref="L8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9032-7364-4C52-90D7-2836DCE2233B}">
  <sheetPr codeName="Sheet10"/>
  <dimension ref="A1:KD82"/>
  <sheetViews>
    <sheetView tabSelected="1" zoomScale="80" zoomScaleNormal="80" workbookViewId="0">
      <selection activeCell="M35" sqref="M35"/>
    </sheetView>
  </sheetViews>
  <sheetFormatPr defaultColWidth="9.140625" defaultRowHeight="14.45"/>
  <cols>
    <col min="1" max="1" width="35.140625" style="28" bestFit="1" customWidth="1"/>
    <col min="2" max="2" width="17.85546875" style="28" bestFit="1" customWidth="1"/>
    <col min="3" max="3" width="9.85546875" style="28" bestFit="1" customWidth="1"/>
    <col min="4" max="13" width="9.140625" style="28"/>
    <col min="14" max="14" width="13.42578125" style="28" customWidth="1"/>
    <col min="15" max="15" width="9.140625" style="28"/>
    <col min="16" max="16" width="46.7109375" style="28" customWidth="1"/>
    <col min="17" max="17" width="9.140625" style="28"/>
    <col min="18" max="18" width="33.85546875" style="28" bestFit="1" customWidth="1"/>
    <col min="19" max="25" width="9.140625" style="28"/>
    <col min="26" max="26" width="12" style="28" bestFit="1" customWidth="1"/>
    <col min="27" max="30" width="12" style="28" customWidth="1"/>
    <col min="31" max="31" width="31" style="28" customWidth="1"/>
    <col min="32" max="16384" width="9.140625" style="28"/>
  </cols>
  <sheetData>
    <row r="1" spans="1:290">
      <c r="A1" s="28" t="s">
        <v>546</v>
      </c>
      <c r="B1" s="28">
        <f>ricco_price_effects_and_etr!E24*100</f>
        <v>1.2349939084544252</v>
      </c>
      <c r="T1" s="402" t="s">
        <v>312</v>
      </c>
      <c r="U1" s="402" t="s">
        <v>527</v>
      </c>
      <c r="Y1" s="28" t="s">
        <v>547</v>
      </c>
      <c r="Z1" s="28" t="s">
        <v>548</v>
      </c>
      <c r="AB1" s="402" t="s">
        <v>312</v>
      </c>
      <c r="AC1" s="402"/>
      <c r="AT1" s="28" t="s">
        <v>549</v>
      </c>
      <c r="BJ1" s="48" t="s">
        <v>550</v>
      </c>
      <c r="BK1" s="48" t="s">
        <v>551</v>
      </c>
      <c r="BL1" s="403" t="str">
        <f>"CD"&amp;AE24&amp;"NUM@SURVEYS*CD"&amp;AE24&amp;"X@SURVEYS/(CESX@SURVEYS*CESNUM@SURVEYS)"</f>
        <v>CD1NUM@SURVEYS*CD1X@SURVEYS/(CESX@SURVEYS*CESNUM@SURVEYS)</v>
      </c>
      <c r="BM1" s="403" t="str">
        <f t="shared" ref="BM1:BU1" si="0">"CD"&amp;AF24&amp;"NUM@SURVEYS*CD"&amp;AF24&amp;"X@SURVEYS/(CESX@SURVEYS*CESNUM@SURVEYS)"</f>
        <v>CD2NUM@SURVEYS*CD2X@SURVEYS/(CESX@SURVEYS*CESNUM@SURVEYS)</v>
      </c>
      <c r="BN1" s="403" t="str">
        <f t="shared" si="0"/>
        <v>CD3NUM@SURVEYS*CD3X@SURVEYS/(CESX@SURVEYS*CESNUM@SURVEYS)</v>
      </c>
      <c r="BO1" s="403" t="str">
        <f t="shared" si="0"/>
        <v>CD4NUM@SURVEYS*CD4X@SURVEYS/(CESX@SURVEYS*CESNUM@SURVEYS)</v>
      </c>
      <c r="BP1" s="403" t="str">
        <f t="shared" si="0"/>
        <v>CD5NUM@SURVEYS*CD5X@SURVEYS/(CESX@SURVEYS*CESNUM@SURVEYS)</v>
      </c>
      <c r="BQ1" s="403" t="str">
        <f t="shared" si="0"/>
        <v>CD6NUM@SURVEYS*CD6X@SURVEYS/(CESX@SURVEYS*CESNUM@SURVEYS)</v>
      </c>
      <c r="BR1" s="403" t="str">
        <f t="shared" si="0"/>
        <v>CD7NUM@SURVEYS*CD7X@SURVEYS/(CESX@SURVEYS*CESNUM@SURVEYS)</v>
      </c>
      <c r="BS1" s="403" t="str">
        <f t="shared" si="0"/>
        <v>CD8NUM@SURVEYS*CD8X@SURVEYS/(CESX@SURVEYS*CESNUM@SURVEYS)</v>
      </c>
      <c r="BT1" s="403" t="str">
        <f t="shared" si="0"/>
        <v>CD9NUM@SURVEYS*CD9X@SURVEYS/(CESX@SURVEYS*CESNUM@SURVEYS)</v>
      </c>
      <c r="BU1" s="403" t="str">
        <f t="shared" si="0"/>
        <v>CD10NUM@SURVEYS*CD10X@SURVEYS/(CESX@SURVEYS*CESNUM@SURVEYS)</v>
      </c>
      <c r="BV1" s="28" t="s">
        <v>552</v>
      </c>
      <c r="BW1" s="28" t="s">
        <v>553</v>
      </c>
      <c r="BX1" s="28" t="s">
        <v>554</v>
      </c>
      <c r="BY1" s="28" t="s">
        <v>555</v>
      </c>
      <c r="BZ1" s="28" t="s">
        <v>556</v>
      </c>
      <c r="CA1" s="28" t="s">
        <v>557</v>
      </c>
      <c r="CB1" s="49" t="s">
        <v>558</v>
      </c>
      <c r="CC1" s="28" t="s">
        <v>559</v>
      </c>
      <c r="CD1" s="28" t="s">
        <v>560</v>
      </c>
      <c r="CE1" s="49" t="s">
        <v>561</v>
      </c>
      <c r="CF1" s="28" t="s">
        <v>562</v>
      </c>
      <c r="CG1" s="28" t="s">
        <v>563</v>
      </c>
      <c r="CH1" s="28" t="s">
        <v>564</v>
      </c>
      <c r="CI1" s="28" t="s">
        <v>565</v>
      </c>
      <c r="CJ1" s="28" t="s">
        <v>566</v>
      </c>
      <c r="CK1" s="28" t="s">
        <v>567</v>
      </c>
      <c r="CL1" s="402" t="s">
        <v>568</v>
      </c>
      <c r="CM1" s="402" t="s">
        <v>569</v>
      </c>
      <c r="CN1" s="402" t="s">
        <v>570</v>
      </c>
      <c r="CO1" s="28" t="s">
        <v>571</v>
      </c>
      <c r="CP1" s="28" t="s">
        <v>572</v>
      </c>
      <c r="CQ1" s="28" t="s">
        <v>573</v>
      </c>
      <c r="CR1" s="28" t="s">
        <v>574</v>
      </c>
      <c r="CS1" s="28" t="s">
        <v>575</v>
      </c>
      <c r="CT1" s="28" t="s">
        <v>576</v>
      </c>
      <c r="CU1" s="49" t="s">
        <v>577</v>
      </c>
      <c r="CV1" s="28" t="s">
        <v>578</v>
      </c>
      <c r="CW1" s="28" t="s">
        <v>579</v>
      </c>
      <c r="CX1" s="49" t="s">
        <v>580</v>
      </c>
      <c r="CY1" s="28" t="s">
        <v>581</v>
      </c>
      <c r="CZ1" s="28" t="s">
        <v>582</v>
      </c>
      <c r="DA1" s="28" t="s">
        <v>583</v>
      </c>
      <c r="DB1" s="28" t="s">
        <v>584</v>
      </c>
      <c r="DC1" s="28" t="s">
        <v>585</v>
      </c>
      <c r="DD1" s="28" t="s">
        <v>586</v>
      </c>
      <c r="DE1" s="402" t="s">
        <v>587</v>
      </c>
      <c r="DF1" s="28" t="s">
        <v>588</v>
      </c>
      <c r="DG1" s="402" t="s">
        <v>589</v>
      </c>
      <c r="DH1" s="28" t="s">
        <v>590</v>
      </c>
      <c r="DI1" s="28" t="s">
        <v>591</v>
      </c>
      <c r="DJ1" s="28" t="s">
        <v>592</v>
      </c>
      <c r="DK1" s="28" t="s">
        <v>593</v>
      </c>
      <c r="DL1" s="28" t="s">
        <v>594</v>
      </c>
      <c r="DM1" s="28" t="s">
        <v>595</v>
      </c>
      <c r="DN1" s="49" t="s">
        <v>596</v>
      </c>
      <c r="DO1" s="28" t="s">
        <v>597</v>
      </c>
      <c r="DP1" s="28" t="s">
        <v>598</v>
      </c>
      <c r="DQ1" s="49" t="s">
        <v>599</v>
      </c>
      <c r="DR1" s="28" t="s">
        <v>600</v>
      </c>
      <c r="DS1" s="28" t="s">
        <v>601</v>
      </c>
      <c r="DT1" s="28" t="s">
        <v>602</v>
      </c>
      <c r="DU1" s="28" t="s">
        <v>603</v>
      </c>
      <c r="DV1" s="28" t="s">
        <v>604</v>
      </c>
      <c r="DW1" s="28" t="s">
        <v>605</v>
      </c>
      <c r="DX1" s="402" t="s">
        <v>606</v>
      </c>
      <c r="DY1" s="28" t="s">
        <v>607</v>
      </c>
      <c r="DZ1" s="402" t="s">
        <v>608</v>
      </c>
      <c r="EA1" s="28" t="s">
        <v>609</v>
      </c>
      <c r="EB1" s="28" t="s">
        <v>610</v>
      </c>
      <c r="EC1" s="28" t="s">
        <v>611</v>
      </c>
      <c r="ED1" s="28" t="s">
        <v>612</v>
      </c>
      <c r="EE1" s="28" t="s">
        <v>613</v>
      </c>
      <c r="EF1" s="28" t="s">
        <v>614</v>
      </c>
      <c r="EG1" s="49" t="s">
        <v>615</v>
      </c>
      <c r="EH1" s="28" t="s">
        <v>616</v>
      </c>
      <c r="EI1" s="28" t="s">
        <v>617</v>
      </c>
      <c r="EJ1" s="49" t="s">
        <v>618</v>
      </c>
      <c r="EK1" s="28" t="s">
        <v>619</v>
      </c>
      <c r="EL1" s="28" t="s">
        <v>620</v>
      </c>
      <c r="EM1" s="28" t="s">
        <v>621</v>
      </c>
      <c r="EN1" s="28" t="s">
        <v>622</v>
      </c>
      <c r="EO1" s="28" t="s">
        <v>623</v>
      </c>
      <c r="EP1" s="28" t="s">
        <v>624</v>
      </c>
      <c r="EQ1" s="28" t="s">
        <v>625</v>
      </c>
      <c r="ER1" s="402" t="s">
        <v>626</v>
      </c>
      <c r="ES1" s="402" t="s">
        <v>627</v>
      </c>
      <c r="ET1" s="28" t="s">
        <v>628</v>
      </c>
      <c r="EU1" s="28" t="s">
        <v>629</v>
      </c>
      <c r="EV1" s="28" t="s">
        <v>630</v>
      </c>
      <c r="EW1" s="28" t="s">
        <v>631</v>
      </c>
      <c r="EX1" s="28" t="s">
        <v>632</v>
      </c>
      <c r="EY1" s="28" t="s">
        <v>633</v>
      </c>
      <c r="EZ1" s="49" t="s">
        <v>634</v>
      </c>
      <c r="FA1" s="28" t="s">
        <v>635</v>
      </c>
      <c r="FB1" s="28" t="s">
        <v>636</v>
      </c>
      <c r="FC1" s="49" t="s">
        <v>637</v>
      </c>
      <c r="FD1" s="28" t="s">
        <v>638</v>
      </c>
      <c r="FE1" s="28" t="s">
        <v>639</v>
      </c>
      <c r="FF1" s="28" t="s">
        <v>640</v>
      </c>
      <c r="FG1" s="28" t="s">
        <v>641</v>
      </c>
      <c r="FH1" s="28" t="s">
        <v>642</v>
      </c>
      <c r="FI1" s="28" t="s">
        <v>643</v>
      </c>
      <c r="FJ1" s="28" t="s">
        <v>644</v>
      </c>
      <c r="FK1" s="28" t="s">
        <v>645</v>
      </c>
      <c r="FL1" s="402" t="s">
        <v>646</v>
      </c>
      <c r="FM1" s="28" t="s">
        <v>647</v>
      </c>
      <c r="FN1" s="28" t="s">
        <v>648</v>
      </c>
      <c r="FO1" s="28" t="s">
        <v>649</v>
      </c>
      <c r="FP1" s="28" t="s">
        <v>650</v>
      </c>
      <c r="FQ1" s="28" t="s">
        <v>651</v>
      </c>
      <c r="FR1" s="28" t="s">
        <v>652</v>
      </c>
      <c r="FS1" s="49" t="s">
        <v>653</v>
      </c>
      <c r="FT1" s="28" t="s">
        <v>654</v>
      </c>
      <c r="FU1" s="28" t="s">
        <v>655</v>
      </c>
      <c r="FV1" s="49" t="s">
        <v>656</v>
      </c>
      <c r="FW1" s="28" t="s">
        <v>657</v>
      </c>
      <c r="FX1" s="28" t="s">
        <v>658</v>
      </c>
      <c r="FY1" s="28" t="s">
        <v>659</v>
      </c>
      <c r="FZ1" s="28" t="s">
        <v>660</v>
      </c>
      <c r="GA1" s="28" t="s">
        <v>661</v>
      </c>
      <c r="GB1" s="28" t="s">
        <v>662</v>
      </c>
      <c r="GC1" s="28" t="s">
        <v>663</v>
      </c>
      <c r="GD1" s="28" t="s">
        <v>664</v>
      </c>
      <c r="GE1" s="402" t="s">
        <v>665</v>
      </c>
      <c r="GF1" s="28" t="s">
        <v>666</v>
      </c>
      <c r="GG1" s="28" t="s">
        <v>667</v>
      </c>
      <c r="GH1" s="28" t="s">
        <v>668</v>
      </c>
      <c r="GI1" s="28" t="s">
        <v>669</v>
      </c>
      <c r="GJ1" s="28" t="s">
        <v>670</v>
      </c>
      <c r="GK1" s="28" t="s">
        <v>671</v>
      </c>
      <c r="GL1" s="49" t="s">
        <v>672</v>
      </c>
      <c r="GM1" s="28" t="s">
        <v>673</v>
      </c>
      <c r="GN1" s="28" t="s">
        <v>674</v>
      </c>
      <c r="GO1" s="49" t="s">
        <v>675</v>
      </c>
      <c r="GP1" s="28" t="s">
        <v>676</v>
      </c>
      <c r="GQ1" s="28" t="s">
        <v>677</v>
      </c>
      <c r="GR1" s="28" t="s">
        <v>678</v>
      </c>
      <c r="GS1" s="28" t="s">
        <v>679</v>
      </c>
      <c r="GT1" s="28" t="s">
        <v>680</v>
      </c>
      <c r="GU1" s="28" t="s">
        <v>681</v>
      </c>
      <c r="GV1" s="28" t="s">
        <v>682</v>
      </c>
      <c r="GW1" s="28" t="s">
        <v>683</v>
      </c>
      <c r="GX1" s="402" t="s">
        <v>684</v>
      </c>
      <c r="GY1" s="28" t="s">
        <v>685</v>
      </c>
      <c r="GZ1" s="28" t="s">
        <v>686</v>
      </c>
      <c r="HA1" s="28" t="s">
        <v>687</v>
      </c>
      <c r="HB1" s="28" t="s">
        <v>688</v>
      </c>
      <c r="HC1" s="28" t="s">
        <v>689</v>
      </c>
      <c r="HD1" s="28" t="s">
        <v>690</v>
      </c>
      <c r="HE1" s="49" t="s">
        <v>691</v>
      </c>
      <c r="HF1" s="28" t="s">
        <v>692</v>
      </c>
      <c r="HG1" s="28" t="s">
        <v>693</v>
      </c>
      <c r="HH1" s="49" t="s">
        <v>694</v>
      </c>
      <c r="HI1" s="28" t="s">
        <v>695</v>
      </c>
      <c r="HJ1" s="28" t="s">
        <v>696</v>
      </c>
      <c r="HK1" s="28" t="s">
        <v>697</v>
      </c>
      <c r="HL1" s="28" t="s">
        <v>698</v>
      </c>
      <c r="HM1" s="28" t="s">
        <v>699</v>
      </c>
      <c r="HN1" s="28" t="s">
        <v>700</v>
      </c>
      <c r="HO1" s="28" t="s">
        <v>701</v>
      </c>
      <c r="HP1" s="28" t="s">
        <v>702</v>
      </c>
      <c r="HQ1" s="402" t="s">
        <v>703</v>
      </c>
      <c r="HR1" s="28" t="s">
        <v>704</v>
      </c>
      <c r="HS1" s="28" t="s">
        <v>705</v>
      </c>
      <c r="HT1" s="28" t="s">
        <v>706</v>
      </c>
      <c r="HU1" s="28" t="s">
        <v>707</v>
      </c>
      <c r="HV1" s="28" t="s">
        <v>708</v>
      </c>
      <c r="HW1" s="28" t="s">
        <v>709</v>
      </c>
      <c r="HX1" s="49" t="s">
        <v>710</v>
      </c>
      <c r="HY1" s="28" t="s">
        <v>711</v>
      </c>
      <c r="HZ1" s="28" t="s">
        <v>712</v>
      </c>
      <c r="IA1" s="49" t="s">
        <v>713</v>
      </c>
      <c r="IB1" s="28" t="s">
        <v>714</v>
      </c>
      <c r="IC1" s="28" t="s">
        <v>715</v>
      </c>
      <c r="ID1" s="28" t="s">
        <v>716</v>
      </c>
      <c r="IE1" s="28" t="s">
        <v>717</v>
      </c>
      <c r="IF1" s="28" t="s">
        <v>718</v>
      </c>
      <c r="IG1" s="28" t="s">
        <v>719</v>
      </c>
      <c r="IH1" s="28" t="s">
        <v>720</v>
      </c>
      <c r="II1" s="28" t="s">
        <v>721</v>
      </c>
      <c r="IJ1" s="402" t="s">
        <v>722</v>
      </c>
      <c r="IK1" s="28" t="s">
        <v>723</v>
      </c>
      <c r="IL1" s="28" t="s">
        <v>724</v>
      </c>
      <c r="IM1" s="28" t="s">
        <v>725</v>
      </c>
      <c r="IN1" s="28" t="s">
        <v>726</v>
      </c>
      <c r="IO1" s="28" t="s">
        <v>727</v>
      </c>
      <c r="IP1" s="28" t="s">
        <v>728</v>
      </c>
      <c r="IQ1" s="49" t="s">
        <v>729</v>
      </c>
      <c r="IR1" s="28" t="s">
        <v>730</v>
      </c>
      <c r="IS1" s="28" t="s">
        <v>731</v>
      </c>
      <c r="IT1" s="49" t="s">
        <v>732</v>
      </c>
      <c r="IU1" s="28" t="s">
        <v>733</v>
      </c>
      <c r="IV1" s="28" t="s">
        <v>734</v>
      </c>
      <c r="IW1" s="28" t="s">
        <v>735</v>
      </c>
      <c r="IX1" s="28" t="s">
        <v>736</v>
      </c>
      <c r="IY1" s="28" t="s">
        <v>737</v>
      </c>
      <c r="IZ1" s="28" t="s">
        <v>738</v>
      </c>
      <c r="JA1" s="28" t="s">
        <v>739</v>
      </c>
      <c r="JB1" s="28" t="s">
        <v>740</v>
      </c>
      <c r="JC1" s="402" t="s">
        <v>741</v>
      </c>
      <c r="JD1" s="48" t="s">
        <v>742</v>
      </c>
      <c r="JE1" s="28" t="str">
        <f t="shared" ref="JE1:JM1" si="1">"CD"&amp;AF24&amp;"IND@SURVEYS"</f>
        <v>CD2IND@SURVEYS</v>
      </c>
      <c r="JF1" s="28" t="str">
        <f t="shared" si="1"/>
        <v>CD3IND@SURVEYS</v>
      </c>
      <c r="JG1" s="28" t="str">
        <f t="shared" si="1"/>
        <v>CD4IND@SURVEYS</v>
      </c>
      <c r="JH1" s="28" t="str">
        <f t="shared" si="1"/>
        <v>CD5IND@SURVEYS</v>
      </c>
      <c r="JI1" s="28" t="str">
        <f t="shared" si="1"/>
        <v>CD6IND@SURVEYS</v>
      </c>
      <c r="JJ1" s="28" t="str">
        <f t="shared" si="1"/>
        <v>CD7IND@SURVEYS</v>
      </c>
      <c r="JK1" s="28" t="str">
        <f t="shared" si="1"/>
        <v>CD8IND@SURVEYS</v>
      </c>
      <c r="JL1" s="28" t="str">
        <f t="shared" si="1"/>
        <v>CD9IND@SURVEYS</v>
      </c>
      <c r="JM1" s="28" t="str">
        <f t="shared" si="1"/>
        <v>CD10IND@SURVEYS</v>
      </c>
      <c r="JP1" s="49"/>
      <c r="JS1" s="49"/>
    </row>
    <row r="2" spans="1:290">
      <c r="A2" s="404" t="s">
        <v>743</v>
      </c>
      <c r="B2" s="28">
        <f>L26</f>
        <v>146730</v>
      </c>
      <c r="P2" s="28" t="s">
        <v>744</v>
      </c>
      <c r="Q2" s="28" t="s">
        <v>333</v>
      </c>
      <c r="R2" s="28" t="s">
        <v>332</v>
      </c>
      <c r="S2" s="28" t="s">
        <v>333</v>
      </c>
      <c r="T2" s="28">
        <f>' LR Products'!J11</f>
        <v>1.55</v>
      </c>
      <c r="U2" s="28">
        <v>3.6</v>
      </c>
      <c r="Y2" s="28">
        <v>34.087000000000003</v>
      </c>
      <c r="Z2" s="28">
        <f>Y2/$Y$67</f>
        <v>2.5603904481516453E-6</v>
      </c>
      <c r="AB2" s="28">
        <f t="shared" ref="AB2:AB65" si="2">T2*$B$1/$T$68</f>
        <v>0.89290950516127432</v>
      </c>
      <c r="AU2" s="28">
        <v>1</v>
      </c>
      <c r="AV2" s="28">
        <v>2</v>
      </c>
      <c r="AW2" s="28">
        <v>3</v>
      </c>
      <c r="AX2" s="28">
        <v>4</v>
      </c>
      <c r="AY2" s="28">
        <v>5</v>
      </c>
      <c r="AZ2" s="28">
        <v>6</v>
      </c>
      <c r="BA2" s="28">
        <v>7</v>
      </c>
      <c r="BB2" s="28">
        <v>8</v>
      </c>
      <c r="BC2" s="28">
        <v>9</v>
      </c>
      <c r="BD2" s="28">
        <v>10</v>
      </c>
      <c r="BJ2" s="28" t="s">
        <v>745</v>
      </c>
      <c r="BL2" s="28" t="s">
        <v>746</v>
      </c>
      <c r="BM2" s="28" t="s">
        <v>747</v>
      </c>
      <c r="BN2" s="28" t="s">
        <v>748</v>
      </c>
      <c r="BO2" s="28" t="s">
        <v>749</v>
      </c>
      <c r="BP2" s="28" t="s">
        <v>750</v>
      </c>
      <c r="BQ2" s="28" t="s">
        <v>751</v>
      </c>
      <c r="BR2" s="28" t="s">
        <v>752</v>
      </c>
      <c r="BS2" s="28" t="s">
        <v>753</v>
      </c>
      <c r="BT2" s="28" t="s">
        <v>754</v>
      </c>
      <c r="BU2" s="28" t="s">
        <v>755</v>
      </c>
      <c r="BV2" s="28" t="s">
        <v>756</v>
      </c>
      <c r="BW2" s="28" t="s">
        <v>757</v>
      </c>
      <c r="BX2" s="28" t="s">
        <v>758</v>
      </c>
      <c r="BY2" s="28" t="s">
        <v>759</v>
      </c>
      <c r="BZ2" s="28" t="s">
        <v>760</v>
      </c>
      <c r="CA2" s="28" t="s">
        <v>761</v>
      </c>
      <c r="CB2" s="28" t="s">
        <v>762</v>
      </c>
      <c r="CC2" s="28" t="s">
        <v>763</v>
      </c>
      <c r="CD2" s="28" t="s">
        <v>764</v>
      </c>
      <c r="CE2" s="28" t="s">
        <v>765</v>
      </c>
      <c r="CF2" s="28" t="s">
        <v>766</v>
      </c>
      <c r="CG2" s="28" t="s">
        <v>767</v>
      </c>
      <c r="CH2" s="28" t="s">
        <v>768</v>
      </c>
      <c r="CI2" s="28" t="s">
        <v>769</v>
      </c>
      <c r="CJ2" s="28" t="s">
        <v>770</v>
      </c>
      <c r="CK2" s="28" t="s">
        <v>771</v>
      </c>
      <c r="CL2" s="28" t="s">
        <v>772</v>
      </c>
      <c r="CM2" s="28" t="s">
        <v>773</v>
      </c>
      <c r="CN2" s="28" t="s">
        <v>774</v>
      </c>
      <c r="CO2" s="28" t="s">
        <v>775</v>
      </c>
      <c r="CP2" s="28" t="s">
        <v>776</v>
      </c>
      <c r="CQ2" s="28" t="s">
        <v>777</v>
      </c>
      <c r="CR2" s="28" t="s">
        <v>778</v>
      </c>
      <c r="CS2" s="28" t="s">
        <v>779</v>
      </c>
      <c r="CT2" s="28" t="s">
        <v>780</v>
      </c>
      <c r="CU2" s="28" t="s">
        <v>781</v>
      </c>
      <c r="CV2" s="28" t="s">
        <v>782</v>
      </c>
      <c r="CW2" s="28" t="s">
        <v>783</v>
      </c>
      <c r="CX2" s="28" t="s">
        <v>784</v>
      </c>
      <c r="CY2" s="28" t="s">
        <v>785</v>
      </c>
      <c r="CZ2" s="28" t="s">
        <v>786</v>
      </c>
      <c r="DA2" s="28" t="s">
        <v>787</v>
      </c>
      <c r="DB2" s="28" t="s">
        <v>788</v>
      </c>
      <c r="DC2" s="28" t="s">
        <v>789</v>
      </c>
      <c r="DD2" s="28" t="s">
        <v>790</v>
      </c>
      <c r="DE2" s="28" t="s">
        <v>791</v>
      </c>
      <c r="DF2" s="28" t="s">
        <v>792</v>
      </c>
      <c r="DG2" s="28" t="s">
        <v>793</v>
      </c>
      <c r="DH2" s="28" t="s">
        <v>794</v>
      </c>
      <c r="DI2" s="28" t="s">
        <v>795</v>
      </c>
      <c r="DJ2" s="28" t="s">
        <v>796</v>
      </c>
      <c r="DK2" s="28" t="s">
        <v>797</v>
      </c>
      <c r="DL2" s="28" t="s">
        <v>798</v>
      </c>
      <c r="DM2" s="28" t="s">
        <v>799</v>
      </c>
      <c r="DN2" s="28" t="s">
        <v>800</v>
      </c>
      <c r="DO2" s="28" t="s">
        <v>801</v>
      </c>
      <c r="DP2" s="28" t="s">
        <v>802</v>
      </c>
      <c r="DQ2" s="28" t="s">
        <v>803</v>
      </c>
      <c r="DR2" s="28" t="s">
        <v>804</v>
      </c>
      <c r="DS2" s="28" t="s">
        <v>805</v>
      </c>
      <c r="DT2" s="28" t="s">
        <v>806</v>
      </c>
      <c r="DU2" s="28" t="s">
        <v>807</v>
      </c>
      <c r="DV2" s="28" t="s">
        <v>808</v>
      </c>
      <c r="DW2" s="28" t="s">
        <v>809</v>
      </c>
      <c r="DX2" s="28" t="s">
        <v>810</v>
      </c>
      <c r="DY2" s="28" t="s">
        <v>811</v>
      </c>
      <c r="DZ2" s="28" t="s">
        <v>812</v>
      </c>
      <c r="EA2" s="28" t="s">
        <v>813</v>
      </c>
      <c r="EB2" s="28" t="s">
        <v>814</v>
      </c>
      <c r="EC2" s="28" t="s">
        <v>815</v>
      </c>
      <c r="ED2" s="28" t="s">
        <v>816</v>
      </c>
      <c r="EE2" s="28" t="s">
        <v>817</v>
      </c>
      <c r="EF2" s="28" t="s">
        <v>818</v>
      </c>
      <c r="EG2" s="28" t="s">
        <v>819</v>
      </c>
      <c r="EH2" s="28" t="s">
        <v>820</v>
      </c>
      <c r="EI2" s="28" t="s">
        <v>821</v>
      </c>
      <c r="EJ2" s="28" t="s">
        <v>822</v>
      </c>
      <c r="EK2" s="28" t="s">
        <v>823</v>
      </c>
      <c r="EL2" s="28" t="s">
        <v>824</v>
      </c>
      <c r="EM2" s="28" t="s">
        <v>825</v>
      </c>
      <c r="EN2" s="28" t="s">
        <v>826</v>
      </c>
      <c r="EO2" s="28" t="s">
        <v>827</v>
      </c>
      <c r="EP2" s="28" t="s">
        <v>828</v>
      </c>
      <c r="EQ2" s="28" t="s">
        <v>829</v>
      </c>
      <c r="ER2" s="28" t="s">
        <v>830</v>
      </c>
      <c r="ES2" s="28" t="s">
        <v>831</v>
      </c>
      <c r="ET2" s="28" t="s">
        <v>832</v>
      </c>
      <c r="EU2" s="28" t="s">
        <v>833</v>
      </c>
      <c r="EV2" s="28" t="s">
        <v>834</v>
      </c>
      <c r="EW2" s="28" t="s">
        <v>835</v>
      </c>
      <c r="EX2" s="28" t="s">
        <v>836</v>
      </c>
      <c r="EY2" s="28" t="s">
        <v>837</v>
      </c>
      <c r="EZ2" s="28" t="s">
        <v>838</v>
      </c>
      <c r="FA2" s="28" t="s">
        <v>839</v>
      </c>
      <c r="FB2" s="28" t="s">
        <v>840</v>
      </c>
      <c r="FC2" s="28" t="s">
        <v>841</v>
      </c>
      <c r="FD2" s="28" t="s">
        <v>842</v>
      </c>
      <c r="FE2" s="28" t="s">
        <v>843</v>
      </c>
      <c r="FF2" s="28" t="s">
        <v>844</v>
      </c>
      <c r="FG2" s="28" t="s">
        <v>845</v>
      </c>
      <c r="FH2" s="28" t="s">
        <v>846</v>
      </c>
      <c r="FI2" s="28" t="s">
        <v>847</v>
      </c>
      <c r="FJ2" s="28" t="s">
        <v>848</v>
      </c>
      <c r="FK2" s="28" t="s">
        <v>849</v>
      </c>
      <c r="FL2" s="28" t="s">
        <v>850</v>
      </c>
      <c r="FM2" s="28" t="s">
        <v>851</v>
      </c>
      <c r="FN2" s="28" t="s">
        <v>852</v>
      </c>
      <c r="FO2" s="28" t="s">
        <v>853</v>
      </c>
      <c r="FP2" s="28" t="s">
        <v>854</v>
      </c>
      <c r="FQ2" s="28" t="s">
        <v>855</v>
      </c>
      <c r="FR2" s="28" t="s">
        <v>856</v>
      </c>
      <c r="FS2" s="28" t="s">
        <v>857</v>
      </c>
      <c r="FT2" s="28" t="s">
        <v>858</v>
      </c>
      <c r="FU2" s="28" t="s">
        <v>859</v>
      </c>
      <c r="FV2" s="28" t="s">
        <v>860</v>
      </c>
      <c r="FW2" s="28" t="s">
        <v>861</v>
      </c>
      <c r="FX2" s="28" t="s">
        <v>862</v>
      </c>
      <c r="FY2" s="28" t="s">
        <v>863</v>
      </c>
      <c r="FZ2" s="28" t="s">
        <v>864</v>
      </c>
      <c r="GA2" s="28" t="s">
        <v>865</v>
      </c>
      <c r="GB2" s="28" t="s">
        <v>866</v>
      </c>
      <c r="GC2" s="28" t="s">
        <v>867</v>
      </c>
      <c r="GD2" s="28" t="s">
        <v>868</v>
      </c>
      <c r="GE2" s="28" t="s">
        <v>869</v>
      </c>
      <c r="GF2" s="28" t="s">
        <v>870</v>
      </c>
      <c r="GG2" s="28" t="s">
        <v>871</v>
      </c>
      <c r="GH2" s="28" t="s">
        <v>872</v>
      </c>
      <c r="GI2" s="28" t="s">
        <v>873</v>
      </c>
      <c r="GJ2" s="28" t="s">
        <v>874</v>
      </c>
      <c r="GK2" s="28" t="s">
        <v>875</v>
      </c>
      <c r="GL2" s="28" t="s">
        <v>876</v>
      </c>
      <c r="GM2" s="28" t="s">
        <v>877</v>
      </c>
      <c r="GN2" s="28" t="s">
        <v>878</v>
      </c>
      <c r="GO2" s="28" t="s">
        <v>879</v>
      </c>
      <c r="GP2" s="28" t="s">
        <v>880</v>
      </c>
      <c r="GQ2" s="28" t="s">
        <v>881</v>
      </c>
      <c r="GR2" s="28" t="s">
        <v>882</v>
      </c>
      <c r="GS2" s="28" t="s">
        <v>883</v>
      </c>
      <c r="GT2" s="28" t="s">
        <v>884</v>
      </c>
      <c r="GU2" s="28" t="s">
        <v>885</v>
      </c>
      <c r="GV2" s="28" t="s">
        <v>886</v>
      </c>
      <c r="GW2" s="28" t="s">
        <v>887</v>
      </c>
      <c r="GX2" s="28" t="s">
        <v>888</v>
      </c>
      <c r="GY2" s="28" t="s">
        <v>889</v>
      </c>
      <c r="GZ2" s="28" t="s">
        <v>890</v>
      </c>
      <c r="HA2" s="28" t="s">
        <v>891</v>
      </c>
      <c r="HB2" s="28" t="s">
        <v>892</v>
      </c>
      <c r="HC2" s="28" t="s">
        <v>893</v>
      </c>
      <c r="HD2" s="28" t="s">
        <v>894</v>
      </c>
      <c r="HE2" s="28" t="s">
        <v>895</v>
      </c>
      <c r="HF2" s="28" t="s">
        <v>896</v>
      </c>
      <c r="HG2" s="28" t="s">
        <v>897</v>
      </c>
      <c r="HH2" s="28" t="s">
        <v>898</v>
      </c>
      <c r="HI2" s="28" t="s">
        <v>899</v>
      </c>
      <c r="HJ2" s="28" t="s">
        <v>900</v>
      </c>
      <c r="HK2" s="28" t="s">
        <v>901</v>
      </c>
      <c r="HL2" s="28" t="s">
        <v>902</v>
      </c>
      <c r="HM2" s="28" t="s">
        <v>903</v>
      </c>
      <c r="HN2" s="28" t="s">
        <v>904</v>
      </c>
      <c r="HO2" s="28" t="s">
        <v>905</v>
      </c>
      <c r="HP2" s="28" t="s">
        <v>906</v>
      </c>
      <c r="HQ2" s="28" t="s">
        <v>907</v>
      </c>
      <c r="HR2" s="28" t="s">
        <v>908</v>
      </c>
      <c r="HS2" s="28" t="s">
        <v>909</v>
      </c>
      <c r="HT2" s="28" t="s">
        <v>910</v>
      </c>
      <c r="HU2" s="28" t="s">
        <v>911</v>
      </c>
      <c r="HV2" s="28" t="s">
        <v>912</v>
      </c>
      <c r="HW2" s="28" t="s">
        <v>913</v>
      </c>
      <c r="HX2" s="28" t="s">
        <v>914</v>
      </c>
      <c r="HY2" s="28" t="s">
        <v>915</v>
      </c>
      <c r="HZ2" s="28" t="s">
        <v>916</v>
      </c>
      <c r="IA2" s="28" t="s">
        <v>917</v>
      </c>
      <c r="IB2" s="28" t="s">
        <v>918</v>
      </c>
      <c r="IC2" s="28" t="s">
        <v>919</v>
      </c>
      <c r="ID2" s="28" t="s">
        <v>920</v>
      </c>
      <c r="IE2" s="28" t="s">
        <v>921</v>
      </c>
      <c r="IF2" s="28" t="s">
        <v>922</v>
      </c>
      <c r="IG2" s="28" t="s">
        <v>923</v>
      </c>
      <c r="IH2" s="28" t="s">
        <v>924</v>
      </c>
      <c r="II2" s="28" t="s">
        <v>925</v>
      </c>
      <c r="IJ2" s="28" t="s">
        <v>926</v>
      </c>
      <c r="IK2" s="28" t="s">
        <v>927</v>
      </c>
      <c r="IL2" s="28" t="s">
        <v>928</v>
      </c>
      <c r="IM2" s="28" t="s">
        <v>929</v>
      </c>
      <c r="IN2" s="28" t="s">
        <v>930</v>
      </c>
      <c r="IO2" s="28" t="s">
        <v>931</v>
      </c>
      <c r="IP2" s="28" t="s">
        <v>932</v>
      </c>
      <c r="IQ2" s="28" t="s">
        <v>933</v>
      </c>
      <c r="IR2" s="28" t="s">
        <v>934</v>
      </c>
      <c r="IS2" s="28" t="s">
        <v>935</v>
      </c>
      <c r="IT2" s="28" t="s">
        <v>936</v>
      </c>
      <c r="IU2" s="28" t="s">
        <v>937</v>
      </c>
      <c r="IV2" s="28" t="s">
        <v>938</v>
      </c>
      <c r="IW2" s="28" t="s">
        <v>939</v>
      </c>
      <c r="IX2" s="28" t="s">
        <v>940</v>
      </c>
      <c r="IY2" s="28" t="s">
        <v>941</v>
      </c>
      <c r="IZ2" s="28" t="s">
        <v>942</v>
      </c>
      <c r="JA2" s="28" t="s">
        <v>943</v>
      </c>
      <c r="JB2" s="28" t="s">
        <v>944</v>
      </c>
      <c r="JC2" s="28" t="s">
        <v>945</v>
      </c>
      <c r="JD2" s="28" t="s">
        <v>946</v>
      </c>
      <c r="JE2" s="28" t="s">
        <v>947</v>
      </c>
      <c r="JF2" s="28" t="s">
        <v>948</v>
      </c>
      <c r="JG2" s="28" t="s">
        <v>949</v>
      </c>
      <c r="JH2" s="28" t="s">
        <v>950</v>
      </c>
      <c r="JI2" s="28" t="s">
        <v>951</v>
      </c>
      <c r="JJ2" s="28" t="s">
        <v>952</v>
      </c>
      <c r="JK2" s="28" t="s">
        <v>953</v>
      </c>
      <c r="JL2" s="28" t="s">
        <v>954</v>
      </c>
      <c r="JM2" s="28" t="s">
        <v>955</v>
      </c>
    </row>
    <row r="3" spans="1:290">
      <c r="A3" s="404" t="s">
        <v>956</v>
      </c>
      <c r="B3" s="28">
        <v>21369.582058224099</v>
      </c>
      <c r="P3" s="28" t="s">
        <v>957</v>
      </c>
      <c r="Q3" s="28" t="s">
        <v>336</v>
      </c>
      <c r="R3" s="28" t="s">
        <v>335</v>
      </c>
      <c r="S3" s="28" t="s">
        <v>336</v>
      </c>
      <c r="T3" s="28">
        <f>' LR Products'!J12</f>
        <v>1.1200000000000001</v>
      </c>
      <c r="U3" s="28">
        <v>2.91</v>
      </c>
      <c r="Y3" s="28">
        <v>2071.3809999999999</v>
      </c>
      <c r="Z3" s="28">
        <f t="shared" ref="Z3:Z66" si="3">Y3/$Y$67</f>
        <v>1.5558846853295399E-4</v>
      </c>
      <c r="AB3" s="28">
        <f t="shared" si="2"/>
        <v>0.64519912631008214</v>
      </c>
      <c r="AE3" s="28" t="s">
        <v>957</v>
      </c>
      <c r="AF3" s="64" cm="1">
        <f t="array" ref="AF3">SUMPRODUCT($AB$2:$AB$66,$Z$2:$Z$66,IF($P$2:$P$66=AE3,1,0))/SUMPRODUCT($Z$2:$Z$66,IF($P$2:$P$66=AE3,1,0))</f>
        <v>0.7879513573046496</v>
      </c>
      <c r="AG3" s="64" cm="1">
        <f t="array" ref="AG3">SUMPRODUCT($AC$2:$AC$66,$Z$2:$Z$66,IF($P$2:$P$66=AE3,1,0))/SUMPRODUCT($Z$2:$Z$66,IF($P$2:$P$66=AE3,1,0))</f>
        <v>0</v>
      </c>
      <c r="AS3" s="28" t="s">
        <v>958</v>
      </c>
      <c r="AT3" s="28" t="s">
        <v>959</v>
      </c>
      <c r="AU3" s="28">
        <f t="array" aca="1" ref="AU3:AU21" ca="1">IFERROR(TRANSPOSE(OFFSET($BV$7:$CN$7,0,(AU$2-1)*19)),0)</f>
        <v>1.6959247648902822</v>
      </c>
      <c r="AV3" s="28">
        <f t="array" aca="1" ref="AV3:AV21" ca="1">IFERROR(TRANSPOSE(OFFSET($BV$7:$CN$7,0,(AV$2-1)*19)),0)</f>
        <v>1.1797090051120724</v>
      </c>
      <c r="AW3" s="28">
        <f t="array" aca="1" ref="AW3:AW21" ca="1">IFERROR(TRANSPOSE(OFFSET($BV$7:$CN$7,0,(AW$2-1)*19)),0)</f>
        <v>1.3008592229825751</v>
      </c>
      <c r="AX3" s="28">
        <f t="array" aca="1" ref="AX3:AX21" ca="1">IFERROR(TRANSPOSE(OFFSET($BV$7:$CN$7,0,(AX$2-1)*19)),0)</f>
        <v>1.2943928817979597</v>
      </c>
      <c r="AY3" s="28">
        <f t="array" aca="1" ref="AY3:AY21" ca="1">IFERROR(TRANSPOSE(OFFSET($BV$7:$CN$7,0,(AY$2-1)*19)),0)</f>
        <v>1.2358646949728371</v>
      </c>
      <c r="AZ3" s="28">
        <f t="array" aca="1" ref="AZ3:AZ21" ca="1">IFERROR(TRANSPOSE(OFFSET($BV$7:$CN$7,0,(AZ$2-1)*19)),0)</f>
        <v>1.1763026409707351</v>
      </c>
      <c r="BA3" s="28">
        <f t="array" aca="1" ref="BA3:BA21" ca="1">IFERROR(TRANSPOSE(OFFSET($BV$7:$CN$7,0,(BA$2-1)*19)),0)</f>
        <v>1.1033124306533855</v>
      </c>
      <c r="BB3" s="28">
        <f t="array" aca="1" ref="BB3:BB21" ca="1">IFERROR(TRANSPOSE(OFFSET($BV$7:$CN$7,0,(BB$2-1)*19)),0)</f>
        <v>1.0083049181013743</v>
      </c>
      <c r="BC3" s="28">
        <f t="array" aca="1" ref="BC3:BC21" ca="1">IFERROR(TRANSPOSE(OFFSET($BV$7:$CN$7,0,(BC$2-1)*19)),0)</f>
        <v>1.0284737181797607</v>
      </c>
      <c r="BD3" s="28">
        <f t="array" aca="1" ref="BD3:BD21" ca="1">IFERROR(TRANSPOSE(OFFSET($BV$7:$CN$7,0,(BD$2-1)*19)),0)</f>
        <v>0.7822613660252935</v>
      </c>
      <c r="BJ3" s="28" t="s">
        <v>960</v>
      </c>
      <c r="BL3" s="28" t="s">
        <v>961</v>
      </c>
      <c r="BM3" s="28" t="s">
        <v>962</v>
      </c>
      <c r="BN3" s="28" t="s">
        <v>963</v>
      </c>
      <c r="BO3" s="28" t="s">
        <v>964</v>
      </c>
      <c r="BP3" s="28" t="s">
        <v>965</v>
      </c>
      <c r="BQ3" s="28" t="s">
        <v>966</v>
      </c>
      <c r="BR3" s="28" t="s">
        <v>967</v>
      </c>
      <c r="BS3" s="28" t="s">
        <v>968</v>
      </c>
      <c r="BT3" s="28" t="s">
        <v>969</v>
      </c>
      <c r="BU3" s="28" t="s">
        <v>970</v>
      </c>
      <c r="BV3" s="28" t="s">
        <v>971</v>
      </c>
      <c r="BW3" s="28" t="s">
        <v>972</v>
      </c>
      <c r="BX3" s="28" t="s">
        <v>973</v>
      </c>
      <c r="BY3" s="28" t="s">
        <v>974</v>
      </c>
      <c r="BZ3" s="28" t="s">
        <v>975</v>
      </c>
      <c r="CA3" s="28" t="s">
        <v>976</v>
      </c>
      <c r="CB3" s="28" t="s">
        <v>977</v>
      </c>
      <c r="CC3" s="28" t="s">
        <v>978</v>
      </c>
      <c r="CD3" s="28" t="s">
        <v>979</v>
      </c>
      <c r="CE3" s="28" t="s">
        <v>980</v>
      </c>
      <c r="CF3" s="28" t="s">
        <v>981</v>
      </c>
      <c r="CG3" s="28" t="s">
        <v>982</v>
      </c>
      <c r="CH3" s="28" t="s">
        <v>983</v>
      </c>
      <c r="CI3" s="28" t="s">
        <v>984</v>
      </c>
      <c r="CJ3" s="28" t="s">
        <v>985</v>
      </c>
      <c r="CK3" s="28" t="s">
        <v>986</v>
      </c>
      <c r="CL3" s="28" t="s">
        <v>987</v>
      </c>
      <c r="CM3" s="28" t="s">
        <v>988</v>
      </c>
      <c r="CN3" s="28" t="s">
        <v>989</v>
      </c>
      <c r="CO3" s="28" t="s">
        <v>990</v>
      </c>
      <c r="CP3" s="28" t="s">
        <v>991</v>
      </c>
      <c r="CQ3" s="28" t="s">
        <v>992</v>
      </c>
      <c r="CR3" s="28" t="s">
        <v>993</v>
      </c>
      <c r="CS3" s="28" t="s">
        <v>994</v>
      </c>
      <c r="CT3" s="28" t="s">
        <v>995</v>
      </c>
      <c r="CU3" s="28" t="s">
        <v>996</v>
      </c>
      <c r="CV3" s="28" t="s">
        <v>997</v>
      </c>
      <c r="CW3" s="28" t="s">
        <v>998</v>
      </c>
      <c r="CX3" s="28" t="s">
        <v>999</v>
      </c>
      <c r="CY3" s="28" t="s">
        <v>1000</v>
      </c>
      <c r="CZ3" s="28" t="s">
        <v>1001</v>
      </c>
      <c r="DA3" s="28" t="s">
        <v>1002</v>
      </c>
      <c r="DB3" s="28" t="s">
        <v>1003</v>
      </c>
      <c r="DC3" s="28" t="s">
        <v>1004</v>
      </c>
      <c r="DD3" s="28" t="s">
        <v>1005</v>
      </c>
      <c r="DE3" s="28" t="s">
        <v>1006</v>
      </c>
      <c r="DF3" s="28" t="s">
        <v>1007</v>
      </c>
      <c r="DG3" s="28" t="s">
        <v>1008</v>
      </c>
      <c r="DH3" s="28" t="s">
        <v>1009</v>
      </c>
      <c r="DI3" s="28" t="s">
        <v>1010</v>
      </c>
      <c r="DJ3" s="28" t="s">
        <v>1011</v>
      </c>
      <c r="DK3" s="28" t="s">
        <v>1012</v>
      </c>
      <c r="DL3" s="28" t="s">
        <v>1013</v>
      </c>
      <c r="DM3" s="28" t="s">
        <v>1014</v>
      </c>
      <c r="DN3" s="28" t="s">
        <v>1015</v>
      </c>
      <c r="DO3" s="28" t="s">
        <v>1016</v>
      </c>
      <c r="DP3" s="28" t="s">
        <v>1017</v>
      </c>
      <c r="DQ3" s="28" t="s">
        <v>1018</v>
      </c>
      <c r="DR3" s="28" t="s">
        <v>1019</v>
      </c>
      <c r="DS3" s="28" t="s">
        <v>1020</v>
      </c>
      <c r="DT3" s="28" t="s">
        <v>1021</v>
      </c>
      <c r="DU3" s="28" t="s">
        <v>1022</v>
      </c>
      <c r="DV3" s="28" t="s">
        <v>1023</v>
      </c>
      <c r="DW3" s="28" t="s">
        <v>1024</v>
      </c>
      <c r="DX3" s="28" t="s">
        <v>1025</v>
      </c>
      <c r="DY3" s="28" t="s">
        <v>1026</v>
      </c>
      <c r="DZ3" s="28" t="s">
        <v>1027</v>
      </c>
      <c r="EA3" s="28" t="s">
        <v>1028</v>
      </c>
      <c r="EB3" s="28" t="s">
        <v>1029</v>
      </c>
      <c r="EC3" s="28" t="s">
        <v>1030</v>
      </c>
      <c r="ED3" s="28" t="s">
        <v>1031</v>
      </c>
      <c r="EE3" s="28" t="s">
        <v>1032</v>
      </c>
      <c r="EF3" s="28" t="s">
        <v>1033</v>
      </c>
      <c r="EG3" s="28" t="s">
        <v>1034</v>
      </c>
      <c r="EH3" s="28" t="s">
        <v>1035</v>
      </c>
      <c r="EI3" s="28" t="s">
        <v>1036</v>
      </c>
      <c r="EJ3" s="28" t="s">
        <v>1037</v>
      </c>
      <c r="EK3" s="28" t="s">
        <v>1038</v>
      </c>
      <c r="EL3" s="28" t="s">
        <v>1039</v>
      </c>
      <c r="EM3" s="28" t="s">
        <v>1040</v>
      </c>
      <c r="EN3" s="28" t="s">
        <v>1041</v>
      </c>
      <c r="EO3" s="28" t="s">
        <v>1042</v>
      </c>
      <c r="EP3" s="28" t="s">
        <v>1043</v>
      </c>
      <c r="EQ3" s="28" t="s">
        <v>1044</v>
      </c>
      <c r="ER3" s="28" t="s">
        <v>1045</v>
      </c>
      <c r="ES3" s="28" t="s">
        <v>1046</v>
      </c>
      <c r="ET3" s="28" t="s">
        <v>1047</v>
      </c>
      <c r="EU3" s="28" t="s">
        <v>1048</v>
      </c>
      <c r="EV3" s="28" t="s">
        <v>1049</v>
      </c>
      <c r="EW3" s="28" t="s">
        <v>1050</v>
      </c>
      <c r="EX3" s="28" t="s">
        <v>1051</v>
      </c>
      <c r="EY3" s="28" t="s">
        <v>1052</v>
      </c>
      <c r="EZ3" s="28" t="s">
        <v>1053</v>
      </c>
      <c r="FA3" s="28" t="s">
        <v>1054</v>
      </c>
      <c r="FB3" s="28" t="s">
        <v>1055</v>
      </c>
      <c r="FC3" s="28" t="s">
        <v>1056</v>
      </c>
      <c r="FD3" s="28" t="s">
        <v>1057</v>
      </c>
      <c r="FE3" s="28" t="s">
        <v>1058</v>
      </c>
      <c r="FF3" s="28" t="s">
        <v>1059</v>
      </c>
      <c r="FG3" s="28" t="s">
        <v>1060</v>
      </c>
      <c r="FH3" s="28" t="s">
        <v>1061</v>
      </c>
      <c r="FI3" s="28" t="s">
        <v>1062</v>
      </c>
      <c r="FJ3" s="28" t="s">
        <v>1063</v>
      </c>
      <c r="FK3" s="28" t="s">
        <v>1064</v>
      </c>
      <c r="FL3" s="28" t="s">
        <v>1065</v>
      </c>
      <c r="FM3" s="28" t="s">
        <v>1066</v>
      </c>
      <c r="FN3" s="28" t="s">
        <v>1067</v>
      </c>
      <c r="FO3" s="28" t="s">
        <v>1068</v>
      </c>
      <c r="FP3" s="28" t="s">
        <v>1069</v>
      </c>
      <c r="FQ3" s="28" t="s">
        <v>1070</v>
      </c>
      <c r="FR3" s="28" t="s">
        <v>1071</v>
      </c>
      <c r="FS3" s="28" t="s">
        <v>1072</v>
      </c>
      <c r="FT3" s="28" t="s">
        <v>1073</v>
      </c>
      <c r="FU3" s="28" t="s">
        <v>1074</v>
      </c>
      <c r="FV3" s="28" t="s">
        <v>1075</v>
      </c>
      <c r="FW3" s="28" t="s">
        <v>1076</v>
      </c>
      <c r="FX3" s="28" t="s">
        <v>1077</v>
      </c>
      <c r="FY3" s="28" t="s">
        <v>1078</v>
      </c>
      <c r="FZ3" s="28" t="s">
        <v>1079</v>
      </c>
      <c r="GA3" s="28" t="s">
        <v>1080</v>
      </c>
      <c r="GB3" s="28" t="s">
        <v>1081</v>
      </c>
      <c r="GC3" s="28" t="s">
        <v>1082</v>
      </c>
      <c r="GD3" s="28" t="s">
        <v>1083</v>
      </c>
      <c r="GE3" s="28" t="s">
        <v>1084</v>
      </c>
      <c r="GF3" s="28" t="s">
        <v>1085</v>
      </c>
      <c r="GG3" s="28" t="s">
        <v>1086</v>
      </c>
      <c r="GH3" s="28" t="s">
        <v>1087</v>
      </c>
      <c r="GI3" s="28" t="s">
        <v>1088</v>
      </c>
      <c r="GJ3" s="28" t="s">
        <v>1089</v>
      </c>
      <c r="GK3" s="28" t="s">
        <v>1090</v>
      </c>
      <c r="GL3" s="28" t="s">
        <v>1091</v>
      </c>
      <c r="GM3" s="28" t="s">
        <v>1092</v>
      </c>
      <c r="GN3" s="28" t="s">
        <v>1093</v>
      </c>
      <c r="GO3" s="28" t="s">
        <v>1094</v>
      </c>
      <c r="GP3" s="28" t="s">
        <v>1095</v>
      </c>
      <c r="GQ3" s="28" t="s">
        <v>1096</v>
      </c>
      <c r="GR3" s="28" t="s">
        <v>1097</v>
      </c>
      <c r="GS3" s="28" t="s">
        <v>1098</v>
      </c>
      <c r="GT3" s="28" t="s">
        <v>1099</v>
      </c>
      <c r="GU3" s="28" t="s">
        <v>1100</v>
      </c>
      <c r="GV3" s="28" t="s">
        <v>1101</v>
      </c>
      <c r="GW3" s="28" t="s">
        <v>1102</v>
      </c>
      <c r="GX3" s="28" t="s">
        <v>1103</v>
      </c>
      <c r="GY3" s="28" t="s">
        <v>1104</v>
      </c>
      <c r="GZ3" s="28" t="s">
        <v>1105</v>
      </c>
      <c r="HA3" s="28" t="s">
        <v>1106</v>
      </c>
      <c r="HB3" s="28" t="s">
        <v>1107</v>
      </c>
      <c r="HC3" s="28" t="s">
        <v>1108</v>
      </c>
      <c r="HD3" s="28" t="s">
        <v>1109</v>
      </c>
      <c r="HE3" s="28" t="s">
        <v>1110</v>
      </c>
      <c r="HF3" s="28" t="s">
        <v>1111</v>
      </c>
      <c r="HG3" s="28" t="s">
        <v>1112</v>
      </c>
      <c r="HH3" s="28" t="s">
        <v>1113</v>
      </c>
      <c r="HI3" s="28" t="s">
        <v>1114</v>
      </c>
      <c r="HJ3" s="28" t="s">
        <v>1115</v>
      </c>
      <c r="HK3" s="28" t="s">
        <v>1116</v>
      </c>
      <c r="HL3" s="28" t="s">
        <v>1117</v>
      </c>
      <c r="HM3" s="28" t="s">
        <v>1118</v>
      </c>
      <c r="HN3" s="28" t="s">
        <v>1119</v>
      </c>
      <c r="HO3" s="28" t="s">
        <v>1120</v>
      </c>
      <c r="HP3" s="28" t="s">
        <v>1121</v>
      </c>
      <c r="HQ3" s="28" t="s">
        <v>1122</v>
      </c>
      <c r="HR3" s="28" t="s">
        <v>1123</v>
      </c>
      <c r="HS3" s="28" t="s">
        <v>1124</v>
      </c>
      <c r="HT3" s="28" t="s">
        <v>1125</v>
      </c>
      <c r="HU3" s="28" t="s">
        <v>1126</v>
      </c>
      <c r="HV3" s="28" t="s">
        <v>1127</v>
      </c>
      <c r="HW3" s="28" t="s">
        <v>1128</v>
      </c>
      <c r="HX3" s="28" t="s">
        <v>1129</v>
      </c>
      <c r="HY3" s="28" t="s">
        <v>1130</v>
      </c>
      <c r="HZ3" s="28" t="s">
        <v>1131</v>
      </c>
      <c r="IA3" s="28" t="s">
        <v>1132</v>
      </c>
      <c r="IB3" s="28" t="s">
        <v>1133</v>
      </c>
      <c r="IC3" s="28" t="s">
        <v>1134</v>
      </c>
      <c r="ID3" s="28" t="s">
        <v>1135</v>
      </c>
      <c r="IE3" s="28" t="s">
        <v>1136</v>
      </c>
      <c r="IF3" s="28" t="s">
        <v>1137</v>
      </c>
      <c r="IG3" s="28" t="s">
        <v>1138</v>
      </c>
      <c r="IH3" s="28" t="s">
        <v>1139</v>
      </c>
      <c r="II3" s="28" t="s">
        <v>1140</v>
      </c>
      <c r="IJ3" s="28" t="s">
        <v>1141</v>
      </c>
      <c r="IK3" s="28" t="s">
        <v>1142</v>
      </c>
      <c r="IL3" s="28" t="s">
        <v>1143</v>
      </c>
      <c r="IM3" s="28" t="s">
        <v>1144</v>
      </c>
      <c r="IN3" s="28" t="s">
        <v>1145</v>
      </c>
      <c r="IO3" s="28" t="s">
        <v>1146</v>
      </c>
      <c r="IP3" s="28" t="s">
        <v>1147</v>
      </c>
      <c r="IQ3" s="28" t="s">
        <v>1148</v>
      </c>
      <c r="IR3" s="28" t="s">
        <v>1149</v>
      </c>
      <c r="IS3" s="28" t="s">
        <v>1150</v>
      </c>
      <c r="IT3" s="28" t="s">
        <v>1151</v>
      </c>
      <c r="IU3" s="28" t="s">
        <v>1152</v>
      </c>
      <c r="IV3" s="28" t="s">
        <v>1153</v>
      </c>
      <c r="IW3" s="28" t="s">
        <v>1154</v>
      </c>
      <c r="IX3" s="28" t="s">
        <v>1155</v>
      </c>
      <c r="IY3" s="28" t="s">
        <v>1156</v>
      </c>
      <c r="IZ3" s="28" t="s">
        <v>1157</v>
      </c>
      <c r="JA3" s="28" t="s">
        <v>1158</v>
      </c>
      <c r="JB3" s="28" t="s">
        <v>1159</v>
      </c>
      <c r="JC3" s="28" t="s">
        <v>1160</v>
      </c>
      <c r="JD3" s="28" t="s">
        <v>1161</v>
      </c>
      <c r="JE3" s="28" t="s">
        <v>1162</v>
      </c>
      <c r="JF3" s="28" t="s">
        <v>1162</v>
      </c>
      <c r="JG3" s="28" t="s">
        <v>1162</v>
      </c>
      <c r="JH3" s="28" t="s">
        <v>1162</v>
      </c>
      <c r="JI3" s="28" t="s">
        <v>1162</v>
      </c>
      <c r="JJ3" s="28" t="s">
        <v>1162</v>
      </c>
      <c r="JK3" s="28" t="s">
        <v>1162</v>
      </c>
      <c r="JL3" s="28" t="s">
        <v>1162</v>
      </c>
      <c r="JM3" s="28" t="s">
        <v>1162</v>
      </c>
    </row>
    <row r="4" spans="1:290">
      <c r="A4" s="404" t="s">
        <v>1163</v>
      </c>
      <c r="B4" s="200">
        <v>135.79300000000001</v>
      </c>
      <c r="P4" s="28" t="s">
        <v>957</v>
      </c>
      <c r="Q4" s="28" t="s">
        <v>339</v>
      </c>
      <c r="R4" s="28" t="s">
        <v>338</v>
      </c>
      <c r="S4" s="28" t="s">
        <v>339</v>
      </c>
      <c r="T4" s="28">
        <f>' LR Products'!J13</f>
        <v>1.61</v>
      </c>
      <c r="U4" s="28">
        <v>3.79</v>
      </c>
      <c r="Y4" s="28">
        <v>2119.3319999999999</v>
      </c>
      <c r="Z4" s="28">
        <f t="shared" si="3"/>
        <v>1.5919023115152761E-4</v>
      </c>
      <c r="AB4" s="28">
        <f t="shared" si="2"/>
        <v>0.92747374407074312</v>
      </c>
      <c r="AE4" s="50" t="s">
        <v>1164</v>
      </c>
      <c r="AF4" s="28" cm="1">
        <f t="array" ref="AF4">SUMPRODUCT($AB$2:$AB$66,$Z$2:$Z$66,IF($P$2:$P$66=AE4,1,0))/SUMPRODUCT($Z$2:$Z$66,IF($P$2:$P$66=AE4,1,0))</f>
        <v>0.80201731822927402</v>
      </c>
      <c r="AG4" s="64" cm="1">
        <f t="array" ref="AG4">SUMPRODUCT($AC$2:$AC$66,$Z$2:$Z$66,IF($P$2:$P$66=AE4,1,0))/SUMPRODUCT($Z$2:$Z$66,IF($P$2:$P$66=AE4,1,0))</f>
        <v>0</v>
      </c>
      <c r="AS4" s="28" t="s">
        <v>1165</v>
      </c>
      <c r="AT4" s="28" t="s">
        <v>1166</v>
      </c>
      <c r="AU4" s="28">
        <f ca="1"/>
        <v>2.5862068965517242</v>
      </c>
      <c r="AV4" s="28">
        <f ca="1"/>
        <v>2.0953878995562047</v>
      </c>
      <c r="AW4" s="28">
        <f ca="1"/>
        <v>1.9327051312883972</v>
      </c>
      <c r="AX4" s="28">
        <f ca="1"/>
        <v>1.9559714658280278</v>
      </c>
      <c r="AY4" s="28">
        <f ca="1"/>
        <v>1.8365638694217861</v>
      </c>
      <c r="AZ4" s="28">
        <f ca="1"/>
        <v>1.6145610278372591</v>
      </c>
      <c r="BA4" s="28">
        <f ca="1"/>
        <v>1.6156982035330931</v>
      </c>
      <c r="BB4" s="28">
        <f ca="1"/>
        <v>1.3722988096981361</v>
      </c>
      <c r="BC4" s="28">
        <f ca="1"/>
        <v>1.3419612247806008</v>
      </c>
      <c r="BD4" s="28">
        <f ca="1"/>
        <v>0.94159041370229812</v>
      </c>
      <c r="BJ4" s="28" t="s">
        <v>1167</v>
      </c>
      <c r="BL4" s="28" t="s">
        <v>1168</v>
      </c>
      <c r="BM4" s="28" t="s">
        <v>1169</v>
      </c>
      <c r="BN4" s="28" t="s">
        <v>1170</v>
      </c>
      <c r="BO4" s="28" t="s">
        <v>1171</v>
      </c>
      <c r="BP4" s="28" t="s">
        <v>1172</v>
      </c>
      <c r="BQ4" s="28" t="s">
        <v>1173</v>
      </c>
      <c r="BR4" s="28" t="s">
        <v>1174</v>
      </c>
      <c r="BS4" s="28" t="s">
        <v>1175</v>
      </c>
      <c r="BT4" s="28" t="s">
        <v>1176</v>
      </c>
      <c r="BU4" s="28" t="s">
        <v>1177</v>
      </c>
      <c r="BV4" s="28" t="s">
        <v>1178</v>
      </c>
      <c r="BW4" s="28" t="s">
        <v>1179</v>
      </c>
      <c r="BX4" s="28" t="s">
        <v>1180</v>
      </c>
      <c r="BY4" s="28" t="s">
        <v>1181</v>
      </c>
      <c r="BZ4" s="28" t="s">
        <v>1182</v>
      </c>
      <c r="CA4" s="28" t="s">
        <v>1183</v>
      </c>
      <c r="CB4" s="28" t="s">
        <v>1184</v>
      </c>
      <c r="CC4" s="28" t="s">
        <v>1185</v>
      </c>
      <c r="CD4" s="28" t="s">
        <v>1186</v>
      </c>
      <c r="CE4" s="28" t="s">
        <v>1187</v>
      </c>
      <c r="CF4" s="28" t="s">
        <v>1188</v>
      </c>
      <c r="CG4" s="28" t="s">
        <v>1189</v>
      </c>
      <c r="CH4" s="28" t="s">
        <v>1190</v>
      </c>
      <c r="CI4" s="28" t="s">
        <v>1191</v>
      </c>
      <c r="CJ4" s="28" t="s">
        <v>1192</v>
      </c>
      <c r="CK4" s="28" t="s">
        <v>1193</v>
      </c>
      <c r="CL4" s="28" t="s">
        <v>1194</v>
      </c>
      <c r="CM4" s="28" t="s">
        <v>1195</v>
      </c>
      <c r="CN4" s="28" t="s">
        <v>1196</v>
      </c>
      <c r="CO4" s="28" t="s">
        <v>1197</v>
      </c>
      <c r="CP4" s="28" t="s">
        <v>1198</v>
      </c>
      <c r="CQ4" s="28" t="s">
        <v>1199</v>
      </c>
      <c r="CR4" s="28" t="s">
        <v>1200</v>
      </c>
      <c r="CS4" s="28" t="s">
        <v>1201</v>
      </c>
      <c r="CT4" s="28" t="s">
        <v>1202</v>
      </c>
      <c r="CU4" s="28" t="s">
        <v>1203</v>
      </c>
      <c r="CV4" s="28" t="s">
        <v>1204</v>
      </c>
      <c r="CW4" s="28" t="s">
        <v>1205</v>
      </c>
      <c r="CX4" s="28" t="s">
        <v>1206</v>
      </c>
      <c r="CY4" s="28" t="s">
        <v>1207</v>
      </c>
      <c r="CZ4" s="28" t="s">
        <v>1208</v>
      </c>
      <c r="DA4" s="28" t="s">
        <v>1209</v>
      </c>
      <c r="DB4" s="28" t="s">
        <v>1210</v>
      </c>
      <c r="DC4" s="28" t="s">
        <v>1211</v>
      </c>
      <c r="DD4" s="28" t="s">
        <v>1212</v>
      </c>
      <c r="DE4" s="28" t="s">
        <v>1213</v>
      </c>
      <c r="DF4" s="28" t="s">
        <v>1214</v>
      </c>
      <c r="DG4" s="28" t="s">
        <v>1215</v>
      </c>
      <c r="DH4" s="28" t="s">
        <v>1216</v>
      </c>
      <c r="DI4" s="28" t="s">
        <v>1217</v>
      </c>
      <c r="DJ4" s="28" t="s">
        <v>1218</v>
      </c>
      <c r="DK4" s="28" t="s">
        <v>1219</v>
      </c>
      <c r="DL4" s="28" t="s">
        <v>1220</v>
      </c>
      <c r="DM4" s="28" t="s">
        <v>1221</v>
      </c>
      <c r="DN4" s="28" t="s">
        <v>1222</v>
      </c>
      <c r="DO4" s="28" t="s">
        <v>1223</v>
      </c>
      <c r="DP4" s="28" t="s">
        <v>1224</v>
      </c>
      <c r="DQ4" s="28" t="s">
        <v>1225</v>
      </c>
      <c r="DR4" s="28" t="s">
        <v>1226</v>
      </c>
      <c r="DS4" s="28" t="s">
        <v>1227</v>
      </c>
      <c r="DT4" s="28" t="s">
        <v>1228</v>
      </c>
      <c r="DU4" s="28" t="s">
        <v>1229</v>
      </c>
      <c r="DV4" s="28" t="s">
        <v>1230</v>
      </c>
      <c r="DW4" s="28" t="s">
        <v>1231</v>
      </c>
      <c r="DX4" s="28" t="s">
        <v>1232</v>
      </c>
      <c r="DY4" s="28" t="s">
        <v>1233</v>
      </c>
      <c r="DZ4" s="28" t="s">
        <v>1234</v>
      </c>
      <c r="EA4" s="28" t="s">
        <v>1235</v>
      </c>
      <c r="EB4" s="28" t="s">
        <v>1236</v>
      </c>
      <c r="EC4" s="28" t="s">
        <v>1237</v>
      </c>
      <c r="ED4" s="28" t="s">
        <v>1238</v>
      </c>
      <c r="EE4" s="28" t="s">
        <v>1239</v>
      </c>
      <c r="EF4" s="28" t="s">
        <v>1240</v>
      </c>
      <c r="EG4" s="28" t="s">
        <v>1241</v>
      </c>
      <c r="EH4" s="28" t="s">
        <v>1242</v>
      </c>
      <c r="EI4" s="28" t="s">
        <v>1243</v>
      </c>
      <c r="EJ4" s="28" t="s">
        <v>1244</v>
      </c>
      <c r="EK4" s="28" t="s">
        <v>1245</v>
      </c>
      <c r="EL4" s="28" t="s">
        <v>1246</v>
      </c>
      <c r="EM4" s="28" t="s">
        <v>1247</v>
      </c>
      <c r="EN4" s="28" t="s">
        <v>1248</v>
      </c>
      <c r="EO4" s="28" t="s">
        <v>1249</v>
      </c>
      <c r="EP4" s="28" t="s">
        <v>1250</v>
      </c>
      <c r="EQ4" s="28" t="s">
        <v>1251</v>
      </c>
      <c r="ER4" s="28" t="s">
        <v>1252</v>
      </c>
      <c r="ES4" s="28" t="s">
        <v>1253</v>
      </c>
      <c r="ET4" s="28" t="s">
        <v>1254</v>
      </c>
      <c r="EU4" s="28" t="s">
        <v>1255</v>
      </c>
      <c r="EV4" s="28" t="s">
        <v>1256</v>
      </c>
      <c r="EW4" s="28" t="s">
        <v>1257</v>
      </c>
      <c r="EX4" s="28" t="s">
        <v>1258</v>
      </c>
      <c r="EY4" s="28" t="s">
        <v>1259</v>
      </c>
      <c r="EZ4" s="28" t="s">
        <v>1260</v>
      </c>
      <c r="FA4" s="28" t="s">
        <v>1261</v>
      </c>
      <c r="FB4" s="28" t="s">
        <v>1262</v>
      </c>
      <c r="FC4" s="28" t="s">
        <v>1263</v>
      </c>
      <c r="FD4" s="28" t="s">
        <v>1264</v>
      </c>
      <c r="FE4" s="28" t="s">
        <v>1265</v>
      </c>
      <c r="FF4" s="28" t="s">
        <v>1266</v>
      </c>
      <c r="FG4" s="28" t="s">
        <v>1267</v>
      </c>
      <c r="FH4" s="28" t="s">
        <v>1268</v>
      </c>
      <c r="FI4" s="28" t="s">
        <v>1269</v>
      </c>
      <c r="FJ4" s="28" t="s">
        <v>1270</v>
      </c>
      <c r="FK4" s="28" t="s">
        <v>1271</v>
      </c>
      <c r="FL4" s="28" t="s">
        <v>1272</v>
      </c>
      <c r="FM4" s="28" t="s">
        <v>1273</v>
      </c>
      <c r="FN4" s="28" t="s">
        <v>1274</v>
      </c>
      <c r="FO4" s="28" t="s">
        <v>1275</v>
      </c>
      <c r="FP4" s="28" t="s">
        <v>1276</v>
      </c>
      <c r="FQ4" s="28" t="s">
        <v>1277</v>
      </c>
      <c r="FR4" s="28" t="s">
        <v>1278</v>
      </c>
      <c r="FS4" s="28" t="s">
        <v>1279</v>
      </c>
      <c r="FT4" s="28" t="s">
        <v>1280</v>
      </c>
      <c r="FU4" s="28" t="s">
        <v>1281</v>
      </c>
      <c r="FV4" s="28" t="s">
        <v>1282</v>
      </c>
      <c r="FW4" s="28" t="s">
        <v>1283</v>
      </c>
      <c r="FX4" s="28" t="s">
        <v>1284</v>
      </c>
      <c r="FY4" s="28" t="s">
        <v>1285</v>
      </c>
      <c r="FZ4" s="28" t="s">
        <v>1286</v>
      </c>
      <c r="GA4" s="28" t="s">
        <v>1287</v>
      </c>
      <c r="GB4" s="28" t="s">
        <v>1288</v>
      </c>
      <c r="GC4" s="28" t="s">
        <v>1289</v>
      </c>
      <c r="GD4" s="28" t="s">
        <v>1290</v>
      </c>
      <c r="GE4" s="28" t="s">
        <v>1291</v>
      </c>
      <c r="GF4" s="28" t="s">
        <v>1292</v>
      </c>
      <c r="GG4" s="28" t="s">
        <v>1293</v>
      </c>
      <c r="GH4" s="28" t="s">
        <v>1294</v>
      </c>
      <c r="GI4" s="28" t="s">
        <v>1295</v>
      </c>
      <c r="GJ4" s="28" t="s">
        <v>1296</v>
      </c>
      <c r="GK4" s="28" t="s">
        <v>1297</v>
      </c>
      <c r="GL4" s="28" t="s">
        <v>1298</v>
      </c>
      <c r="GM4" s="28" t="s">
        <v>1299</v>
      </c>
      <c r="GN4" s="28" t="s">
        <v>1300</v>
      </c>
      <c r="GO4" s="28" t="s">
        <v>1301</v>
      </c>
      <c r="GP4" s="28" t="s">
        <v>1302</v>
      </c>
      <c r="GQ4" s="28" t="s">
        <v>1303</v>
      </c>
      <c r="GR4" s="28" t="s">
        <v>1304</v>
      </c>
      <c r="GS4" s="28" t="s">
        <v>1305</v>
      </c>
      <c r="GT4" s="28" t="s">
        <v>1306</v>
      </c>
      <c r="GU4" s="28" t="s">
        <v>1307</v>
      </c>
      <c r="GV4" s="28" t="s">
        <v>1308</v>
      </c>
      <c r="GW4" s="28" t="s">
        <v>1309</v>
      </c>
      <c r="GX4" s="28" t="s">
        <v>1310</v>
      </c>
      <c r="GY4" s="28" t="s">
        <v>1311</v>
      </c>
      <c r="GZ4" s="28" t="s">
        <v>1312</v>
      </c>
      <c r="HA4" s="28" t="s">
        <v>1313</v>
      </c>
      <c r="HB4" s="28" t="s">
        <v>1314</v>
      </c>
      <c r="HC4" s="28" t="s">
        <v>1315</v>
      </c>
      <c r="HD4" s="28" t="s">
        <v>1316</v>
      </c>
      <c r="HE4" s="28" t="s">
        <v>1317</v>
      </c>
      <c r="HF4" s="28" t="s">
        <v>1318</v>
      </c>
      <c r="HG4" s="28" t="s">
        <v>1319</v>
      </c>
      <c r="HH4" s="28" t="s">
        <v>1320</v>
      </c>
      <c r="HI4" s="28" t="s">
        <v>1321</v>
      </c>
      <c r="HJ4" s="28" t="s">
        <v>1322</v>
      </c>
      <c r="HK4" s="28" t="s">
        <v>1323</v>
      </c>
      <c r="HL4" s="28" t="s">
        <v>1324</v>
      </c>
      <c r="HM4" s="28" t="s">
        <v>1325</v>
      </c>
      <c r="HN4" s="28" t="s">
        <v>1326</v>
      </c>
      <c r="HO4" s="28" t="s">
        <v>1327</v>
      </c>
      <c r="HP4" s="28" t="s">
        <v>1328</v>
      </c>
      <c r="HQ4" s="28" t="s">
        <v>1329</v>
      </c>
      <c r="HR4" s="28" t="s">
        <v>1330</v>
      </c>
      <c r="HS4" s="28" t="s">
        <v>1331</v>
      </c>
      <c r="HT4" s="28" t="s">
        <v>1332</v>
      </c>
      <c r="HU4" s="28" t="s">
        <v>1333</v>
      </c>
      <c r="HV4" s="28" t="s">
        <v>1334</v>
      </c>
      <c r="HW4" s="28" t="s">
        <v>1335</v>
      </c>
      <c r="HX4" s="28" t="s">
        <v>1336</v>
      </c>
      <c r="HY4" s="28" t="s">
        <v>1337</v>
      </c>
      <c r="HZ4" s="28" t="s">
        <v>1338</v>
      </c>
      <c r="IA4" s="28" t="s">
        <v>1339</v>
      </c>
      <c r="IB4" s="28" t="s">
        <v>1340</v>
      </c>
      <c r="IC4" s="28" t="s">
        <v>1341</v>
      </c>
      <c r="ID4" s="28" t="s">
        <v>1342</v>
      </c>
      <c r="IE4" s="28" t="s">
        <v>1343</v>
      </c>
      <c r="IF4" s="28" t="s">
        <v>1344</v>
      </c>
      <c r="IG4" s="28" t="s">
        <v>1345</v>
      </c>
      <c r="IH4" s="28" t="s">
        <v>1346</v>
      </c>
      <c r="II4" s="28" t="s">
        <v>1347</v>
      </c>
      <c r="IJ4" s="28" t="s">
        <v>1348</v>
      </c>
      <c r="IK4" s="28" t="s">
        <v>1349</v>
      </c>
      <c r="IL4" s="28" t="s">
        <v>1350</v>
      </c>
      <c r="IM4" s="28" t="s">
        <v>1351</v>
      </c>
      <c r="IN4" s="28" t="s">
        <v>1352</v>
      </c>
      <c r="IO4" s="28" t="s">
        <v>1353</v>
      </c>
      <c r="IP4" s="28" t="s">
        <v>1354</v>
      </c>
      <c r="IQ4" s="28" t="s">
        <v>1355</v>
      </c>
      <c r="IR4" s="28" t="s">
        <v>1356</v>
      </c>
      <c r="IS4" s="28" t="s">
        <v>1357</v>
      </c>
      <c r="IT4" s="28" t="s">
        <v>1358</v>
      </c>
      <c r="IU4" s="28" t="s">
        <v>1359</v>
      </c>
      <c r="IV4" s="28" t="s">
        <v>1360</v>
      </c>
      <c r="IW4" s="28" t="s">
        <v>1361</v>
      </c>
      <c r="IX4" s="28" t="s">
        <v>1362</v>
      </c>
      <c r="IY4" s="28" t="s">
        <v>1363</v>
      </c>
      <c r="IZ4" s="28" t="s">
        <v>1364</v>
      </c>
      <c r="JA4" s="28" t="s">
        <v>1365</v>
      </c>
      <c r="JB4" s="28" t="s">
        <v>1366</v>
      </c>
      <c r="JC4" s="28" t="s">
        <v>1367</v>
      </c>
      <c r="JD4" s="28" t="s">
        <v>1368</v>
      </c>
      <c r="JE4" s="28" t="s">
        <v>1369</v>
      </c>
      <c r="JF4" s="28" t="s">
        <v>1369</v>
      </c>
      <c r="JG4" s="28" t="s">
        <v>1369</v>
      </c>
      <c r="JH4" s="28" t="s">
        <v>1369</v>
      </c>
      <c r="JI4" s="28" t="s">
        <v>1369</v>
      </c>
      <c r="JJ4" s="28" t="s">
        <v>1369</v>
      </c>
      <c r="JK4" s="28" t="s">
        <v>1369</v>
      </c>
      <c r="JL4" s="28" t="s">
        <v>1369</v>
      </c>
      <c r="JM4" s="28" t="s">
        <v>1369</v>
      </c>
    </row>
    <row r="5" spans="1:290">
      <c r="P5" s="28" t="s">
        <v>1370</v>
      </c>
      <c r="Q5" s="52" t="s">
        <v>342</v>
      </c>
      <c r="R5" s="52" t="s">
        <v>341</v>
      </c>
      <c r="S5" s="28" t="s">
        <v>342</v>
      </c>
      <c r="T5" s="28">
        <f>' LR Products'!J14</f>
        <v>1.54</v>
      </c>
      <c r="U5" s="28">
        <v>6.23</v>
      </c>
      <c r="W5" s="52"/>
      <c r="X5" s="52"/>
      <c r="Y5" s="28">
        <v>50266.171999999999</v>
      </c>
      <c r="Z5" s="28">
        <f t="shared" si="3"/>
        <v>3.7756630578797685E-3</v>
      </c>
      <c r="AB5" s="28">
        <f t="shared" si="2"/>
        <v>0.88714879867636287</v>
      </c>
      <c r="AE5" s="28" t="s">
        <v>1371</v>
      </c>
      <c r="AF5" s="28" cm="1">
        <f t="array" ref="AF5">SUMPRODUCT($AB$2:$AB$66,$Z$2:$Z$66,IF($P$2:$P$66=AE5,1,0))/SUMPRODUCT($Z$2:$Z$66,IF($P$2:$P$66=AE5,1,0))</f>
        <v>1.1766197738448769</v>
      </c>
      <c r="AG5" s="64" cm="1">
        <f t="array" ref="AG5">SUMPRODUCT($AC$2:$AC$66,$Z$2:$Z$66,IF($P$2:$P$66=AE5,1,0))/SUMPRODUCT($Z$2:$Z$66,IF($P$2:$P$66=AE5,1,0))</f>
        <v>0</v>
      </c>
      <c r="AS5" s="28" t="s">
        <v>1372</v>
      </c>
      <c r="AT5" s="28" t="s">
        <v>1371</v>
      </c>
      <c r="AU5" s="28">
        <f ca="1"/>
        <v>1.2225705329153604</v>
      </c>
      <c r="AV5" s="28">
        <f ca="1"/>
        <v>0.95500252794786811</v>
      </c>
      <c r="AW5" s="28">
        <f ca="1"/>
        <v>1.0122652441024071</v>
      </c>
      <c r="AX5" s="28">
        <f ca="1"/>
        <v>0.96839763749328833</v>
      </c>
      <c r="AY5" s="28">
        <f ca="1"/>
        <v>0.8797124521984605</v>
      </c>
      <c r="AZ5" s="28">
        <f ca="1"/>
        <v>0.86081370449678796</v>
      </c>
      <c r="BA5" s="28">
        <f ca="1"/>
        <v>0.8676897759714759</v>
      </c>
      <c r="BB5" s="28">
        <f ca="1"/>
        <v>0.73844737777963732</v>
      </c>
      <c r="BC5" s="28">
        <f ca="1"/>
        <v>0.69151655867832329</v>
      </c>
      <c r="BD5" s="28">
        <f ca="1"/>
        <v>0.52667101871009858</v>
      </c>
      <c r="BJ5" s="28" t="s">
        <v>1373</v>
      </c>
      <c r="BL5" s="28" t="s">
        <v>1374</v>
      </c>
      <c r="BM5" s="28" t="s">
        <v>1375</v>
      </c>
      <c r="BN5" s="28" t="s">
        <v>1376</v>
      </c>
      <c r="BO5" s="28" t="s">
        <v>1377</v>
      </c>
      <c r="BP5" s="28" t="s">
        <v>1378</v>
      </c>
      <c r="BQ5" s="28" t="s">
        <v>1379</v>
      </c>
      <c r="BR5" s="28" t="s">
        <v>1380</v>
      </c>
      <c r="BS5" s="28" t="s">
        <v>1381</v>
      </c>
      <c r="BT5" s="28" t="s">
        <v>1382</v>
      </c>
      <c r="BU5" s="28" t="s">
        <v>1383</v>
      </c>
      <c r="BV5" s="28" t="s">
        <v>1384</v>
      </c>
      <c r="BW5" s="28" t="s">
        <v>1385</v>
      </c>
      <c r="BX5" s="28" t="s">
        <v>1386</v>
      </c>
      <c r="BY5" s="28" t="s">
        <v>1387</v>
      </c>
      <c r="BZ5" s="28" t="s">
        <v>1388</v>
      </c>
      <c r="CA5" s="28" t="s">
        <v>1389</v>
      </c>
      <c r="CB5" s="28" t="s">
        <v>1390</v>
      </c>
      <c r="CC5" s="28" t="s">
        <v>1391</v>
      </c>
      <c r="CD5" s="28" t="s">
        <v>1392</v>
      </c>
      <c r="CE5" s="28" t="s">
        <v>1393</v>
      </c>
      <c r="CF5" s="28" t="s">
        <v>1394</v>
      </c>
      <c r="CG5" s="28" t="s">
        <v>1395</v>
      </c>
      <c r="CH5" s="28" t="s">
        <v>1396</v>
      </c>
      <c r="CI5" s="28" t="s">
        <v>1397</v>
      </c>
      <c r="CJ5" s="28" t="s">
        <v>1398</v>
      </c>
      <c r="CK5" s="28" t="s">
        <v>1399</v>
      </c>
      <c r="CL5" s="28" t="s">
        <v>1400</v>
      </c>
      <c r="CM5" s="28" t="s">
        <v>1401</v>
      </c>
      <c r="CN5" s="28" t="s">
        <v>1402</v>
      </c>
      <c r="CO5" s="28" t="s">
        <v>1403</v>
      </c>
      <c r="CP5" s="28" t="s">
        <v>1404</v>
      </c>
      <c r="CQ5" s="28" t="s">
        <v>1405</v>
      </c>
      <c r="CR5" s="28" t="s">
        <v>1406</v>
      </c>
      <c r="CS5" s="28" t="s">
        <v>1407</v>
      </c>
      <c r="CT5" s="28" t="s">
        <v>1408</v>
      </c>
      <c r="CU5" s="28" t="s">
        <v>1409</v>
      </c>
      <c r="CV5" s="28" t="s">
        <v>1410</v>
      </c>
      <c r="CW5" s="28" t="s">
        <v>1411</v>
      </c>
      <c r="CX5" s="28" t="s">
        <v>1412</v>
      </c>
      <c r="CY5" s="28" t="s">
        <v>1413</v>
      </c>
      <c r="CZ5" s="28" t="s">
        <v>1414</v>
      </c>
      <c r="DA5" s="28" t="s">
        <v>1415</v>
      </c>
      <c r="DB5" s="28" t="s">
        <v>1416</v>
      </c>
      <c r="DC5" s="28" t="s">
        <v>1417</v>
      </c>
      <c r="DD5" s="28" t="s">
        <v>1418</v>
      </c>
      <c r="DE5" s="28" t="s">
        <v>1419</v>
      </c>
      <c r="DF5" s="28" t="s">
        <v>1420</v>
      </c>
      <c r="DG5" s="28" t="s">
        <v>1421</v>
      </c>
      <c r="DH5" s="28" t="s">
        <v>1422</v>
      </c>
      <c r="DI5" s="28" t="s">
        <v>1423</v>
      </c>
      <c r="DJ5" s="28" t="s">
        <v>1424</v>
      </c>
      <c r="DK5" s="28" t="s">
        <v>1425</v>
      </c>
      <c r="DL5" s="28" t="s">
        <v>1426</v>
      </c>
      <c r="DM5" s="28" t="s">
        <v>1427</v>
      </c>
      <c r="DN5" s="28" t="s">
        <v>1428</v>
      </c>
      <c r="DO5" s="28" t="s">
        <v>1429</v>
      </c>
      <c r="DP5" s="28" t="s">
        <v>1430</v>
      </c>
      <c r="DQ5" s="28" t="s">
        <v>1431</v>
      </c>
      <c r="DR5" s="28" t="s">
        <v>1432</v>
      </c>
      <c r="DS5" s="28" t="s">
        <v>1433</v>
      </c>
      <c r="DT5" s="28" t="s">
        <v>1434</v>
      </c>
      <c r="DU5" s="28" t="s">
        <v>1435</v>
      </c>
      <c r="DV5" s="28" t="s">
        <v>1436</v>
      </c>
      <c r="DW5" s="28" t="s">
        <v>1437</v>
      </c>
      <c r="DX5" s="28" t="s">
        <v>1438</v>
      </c>
      <c r="DY5" s="28" t="s">
        <v>1439</v>
      </c>
      <c r="DZ5" s="28" t="s">
        <v>1440</v>
      </c>
      <c r="EA5" s="28" t="s">
        <v>1441</v>
      </c>
      <c r="EB5" s="28" t="s">
        <v>1442</v>
      </c>
      <c r="EC5" s="28" t="s">
        <v>1443</v>
      </c>
      <c r="ED5" s="28" t="s">
        <v>1444</v>
      </c>
      <c r="EE5" s="28" t="s">
        <v>1445</v>
      </c>
      <c r="EF5" s="28" t="s">
        <v>1446</v>
      </c>
      <c r="EG5" s="28" t="s">
        <v>1447</v>
      </c>
      <c r="EH5" s="28" t="s">
        <v>1448</v>
      </c>
      <c r="EI5" s="28" t="s">
        <v>1449</v>
      </c>
      <c r="EJ5" s="28" t="s">
        <v>1450</v>
      </c>
      <c r="EK5" s="28" t="s">
        <v>1451</v>
      </c>
      <c r="EL5" s="28" t="s">
        <v>1452</v>
      </c>
      <c r="EM5" s="28" t="s">
        <v>1453</v>
      </c>
      <c r="EN5" s="28" t="s">
        <v>1454</v>
      </c>
      <c r="EO5" s="28" t="s">
        <v>1455</v>
      </c>
      <c r="EP5" s="28" t="s">
        <v>1456</v>
      </c>
      <c r="EQ5" s="28" t="s">
        <v>1457</v>
      </c>
      <c r="ER5" s="28" t="s">
        <v>1458</v>
      </c>
      <c r="ES5" s="28" t="s">
        <v>1459</v>
      </c>
      <c r="ET5" s="28" t="s">
        <v>1460</v>
      </c>
      <c r="EU5" s="28" t="s">
        <v>1461</v>
      </c>
      <c r="EV5" s="28" t="s">
        <v>1462</v>
      </c>
      <c r="EW5" s="28" t="s">
        <v>1463</v>
      </c>
      <c r="EX5" s="28" t="s">
        <v>1464</v>
      </c>
      <c r="EY5" s="28" t="s">
        <v>1465</v>
      </c>
      <c r="EZ5" s="28" t="s">
        <v>1466</v>
      </c>
      <c r="FA5" s="28" t="s">
        <v>1467</v>
      </c>
      <c r="FB5" s="28" t="s">
        <v>1468</v>
      </c>
      <c r="FC5" s="28" t="s">
        <v>1469</v>
      </c>
      <c r="FD5" s="28" t="s">
        <v>1470</v>
      </c>
      <c r="FE5" s="28" t="s">
        <v>1471</v>
      </c>
      <c r="FF5" s="28" t="s">
        <v>1472</v>
      </c>
      <c r="FG5" s="28" t="s">
        <v>1473</v>
      </c>
      <c r="FH5" s="28" t="s">
        <v>1474</v>
      </c>
      <c r="FI5" s="28" t="s">
        <v>1475</v>
      </c>
      <c r="FJ5" s="28" t="s">
        <v>1476</v>
      </c>
      <c r="FK5" s="28" t="s">
        <v>1477</v>
      </c>
      <c r="FL5" s="28" t="s">
        <v>1478</v>
      </c>
      <c r="FM5" s="28" t="s">
        <v>1479</v>
      </c>
      <c r="FN5" s="28" t="s">
        <v>1480</v>
      </c>
      <c r="FO5" s="28" t="s">
        <v>1481</v>
      </c>
      <c r="FP5" s="28" t="s">
        <v>1482</v>
      </c>
      <c r="FQ5" s="28" t="s">
        <v>1483</v>
      </c>
      <c r="FR5" s="28" t="s">
        <v>1484</v>
      </c>
      <c r="FS5" s="28" t="s">
        <v>1485</v>
      </c>
      <c r="FT5" s="28" t="s">
        <v>1486</v>
      </c>
      <c r="FU5" s="28" t="s">
        <v>1487</v>
      </c>
      <c r="FV5" s="28" t="s">
        <v>1488</v>
      </c>
      <c r="FW5" s="28" t="s">
        <v>1489</v>
      </c>
      <c r="FX5" s="28" t="s">
        <v>1490</v>
      </c>
      <c r="FY5" s="28" t="s">
        <v>1491</v>
      </c>
      <c r="FZ5" s="28" t="s">
        <v>1492</v>
      </c>
      <c r="GA5" s="28" t="s">
        <v>1493</v>
      </c>
      <c r="GB5" s="28" t="s">
        <v>1494</v>
      </c>
      <c r="GC5" s="28" t="s">
        <v>1495</v>
      </c>
      <c r="GD5" s="28" t="s">
        <v>1496</v>
      </c>
      <c r="GE5" s="28" t="s">
        <v>1497</v>
      </c>
      <c r="GF5" s="28" t="s">
        <v>1498</v>
      </c>
      <c r="GG5" s="28" t="s">
        <v>1499</v>
      </c>
      <c r="GH5" s="28" t="s">
        <v>1500</v>
      </c>
      <c r="GI5" s="28" t="s">
        <v>1501</v>
      </c>
      <c r="GJ5" s="28" t="s">
        <v>1502</v>
      </c>
      <c r="GK5" s="28" t="s">
        <v>1503</v>
      </c>
      <c r="GL5" s="28" t="s">
        <v>1504</v>
      </c>
      <c r="GM5" s="28" t="s">
        <v>1505</v>
      </c>
      <c r="GN5" s="28" t="s">
        <v>1506</v>
      </c>
      <c r="GO5" s="28" t="s">
        <v>1507</v>
      </c>
      <c r="GP5" s="28" t="s">
        <v>1508</v>
      </c>
      <c r="GQ5" s="28" t="s">
        <v>1509</v>
      </c>
      <c r="GR5" s="28" t="s">
        <v>1510</v>
      </c>
      <c r="GS5" s="28" t="s">
        <v>1511</v>
      </c>
      <c r="GT5" s="28" t="s">
        <v>1512</v>
      </c>
      <c r="GU5" s="28" t="s">
        <v>1513</v>
      </c>
      <c r="GV5" s="28" t="s">
        <v>1514</v>
      </c>
      <c r="GW5" s="28" t="s">
        <v>1515</v>
      </c>
      <c r="GX5" s="28" t="s">
        <v>1516</v>
      </c>
      <c r="GY5" s="28" t="s">
        <v>1517</v>
      </c>
      <c r="GZ5" s="28" t="s">
        <v>1518</v>
      </c>
      <c r="HA5" s="28" t="s">
        <v>1519</v>
      </c>
      <c r="HB5" s="28" t="s">
        <v>1520</v>
      </c>
      <c r="HC5" s="28" t="s">
        <v>1521</v>
      </c>
      <c r="HD5" s="28" t="s">
        <v>1522</v>
      </c>
      <c r="HE5" s="28" t="s">
        <v>1523</v>
      </c>
      <c r="HF5" s="28" t="s">
        <v>1524</v>
      </c>
      <c r="HG5" s="28" t="s">
        <v>1525</v>
      </c>
      <c r="HH5" s="28" t="s">
        <v>1526</v>
      </c>
      <c r="HI5" s="28" t="s">
        <v>1527</v>
      </c>
      <c r="HJ5" s="28" t="s">
        <v>1528</v>
      </c>
      <c r="HK5" s="28" t="s">
        <v>1529</v>
      </c>
      <c r="HL5" s="28" t="s">
        <v>1530</v>
      </c>
      <c r="HM5" s="28" t="s">
        <v>1531</v>
      </c>
      <c r="HN5" s="28" t="s">
        <v>1532</v>
      </c>
      <c r="HO5" s="28" t="s">
        <v>1533</v>
      </c>
      <c r="HP5" s="28" t="s">
        <v>1534</v>
      </c>
      <c r="HQ5" s="28" t="s">
        <v>1535</v>
      </c>
      <c r="HR5" s="28" t="s">
        <v>1536</v>
      </c>
      <c r="HS5" s="28" t="s">
        <v>1537</v>
      </c>
      <c r="HT5" s="28" t="s">
        <v>1538</v>
      </c>
      <c r="HU5" s="28" t="s">
        <v>1539</v>
      </c>
      <c r="HV5" s="28" t="s">
        <v>1540</v>
      </c>
      <c r="HW5" s="28" t="s">
        <v>1541</v>
      </c>
      <c r="HX5" s="28" t="s">
        <v>1542</v>
      </c>
      <c r="HY5" s="28" t="s">
        <v>1543</v>
      </c>
      <c r="HZ5" s="28" t="s">
        <v>1544</v>
      </c>
      <c r="IA5" s="28" t="s">
        <v>1545</v>
      </c>
      <c r="IB5" s="28" t="s">
        <v>1546</v>
      </c>
      <c r="IC5" s="28" t="s">
        <v>1547</v>
      </c>
      <c r="ID5" s="28" t="s">
        <v>1548</v>
      </c>
      <c r="IE5" s="28" t="s">
        <v>1549</v>
      </c>
      <c r="IF5" s="28" t="s">
        <v>1550</v>
      </c>
      <c r="IG5" s="28" t="s">
        <v>1551</v>
      </c>
      <c r="IH5" s="28" t="s">
        <v>1552</v>
      </c>
      <c r="II5" s="28" t="s">
        <v>1553</v>
      </c>
      <c r="IJ5" s="28" t="s">
        <v>1554</v>
      </c>
      <c r="IK5" s="28" t="s">
        <v>1555</v>
      </c>
      <c r="IL5" s="28" t="s">
        <v>1556</v>
      </c>
      <c r="IM5" s="28" t="s">
        <v>1557</v>
      </c>
      <c r="IN5" s="28" t="s">
        <v>1558</v>
      </c>
      <c r="IO5" s="28" t="s">
        <v>1559</v>
      </c>
      <c r="IP5" s="28" t="s">
        <v>1560</v>
      </c>
      <c r="IQ5" s="28" t="s">
        <v>1561</v>
      </c>
      <c r="IR5" s="28" t="s">
        <v>1562</v>
      </c>
      <c r="IS5" s="28" t="s">
        <v>1563</v>
      </c>
      <c r="IT5" s="28" t="s">
        <v>1564</v>
      </c>
      <c r="IU5" s="28" t="s">
        <v>1565</v>
      </c>
      <c r="IV5" s="28" t="s">
        <v>1566</v>
      </c>
      <c r="IW5" s="28" t="s">
        <v>1567</v>
      </c>
      <c r="IX5" s="28" t="s">
        <v>1568</v>
      </c>
      <c r="IY5" s="28" t="s">
        <v>1569</v>
      </c>
      <c r="IZ5" s="28" t="s">
        <v>1570</v>
      </c>
      <c r="JA5" s="28" t="s">
        <v>1571</v>
      </c>
      <c r="JB5" s="28" t="s">
        <v>1572</v>
      </c>
      <c r="JC5" s="28" t="s">
        <v>1573</v>
      </c>
      <c r="JD5" s="28" t="s">
        <v>1574</v>
      </c>
      <c r="JE5" s="28" t="s">
        <v>1575</v>
      </c>
      <c r="JF5" s="28" t="s">
        <v>1575</v>
      </c>
      <c r="JG5" s="28" t="s">
        <v>1575</v>
      </c>
      <c r="JH5" s="28" t="s">
        <v>1575</v>
      </c>
      <c r="JI5" s="28" t="s">
        <v>1575</v>
      </c>
      <c r="JJ5" s="28" t="s">
        <v>1575</v>
      </c>
      <c r="JK5" s="28" t="s">
        <v>1575</v>
      </c>
      <c r="JL5" s="28" t="s">
        <v>1575</v>
      </c>
      <c r="JM5" s="28" t="s">
        <v>1575</v>
      </c>
    </row>
    <row r="6" spans="1:290">
      <c r="A6" s="28" t="s">
        <v>1576</v>
      </c>
      <c r="B6" s="28">
        <v>1</v>
      </c>
      <c r="C6" s="28">
        <v>2</v>
      </c>
      <c r="D6" s="28">
        <v>3</v>
      </c>
      <c r="E6" s="28">
        <v>4</v>
      </c>
      <c r="F6" s="28">
        <v>5</v>
      </c>
      <c r="G6" s="28">
        <v>6</v>
      </c>
      <c r="H6" s="28">
        <v>7</v>
      </c>
      <c r="I6" s="28">
        <v>8</v>
      </c>
      <c r="J6" s="28">
        <v>9</v>
      </c>
      <c r="K6" s="28">
        <v>10</v>
      </c>
      <c r="L6" s="402" t="s">
        <v>1577</v>
      </c>
      <c r="P6" s="28" t="s">
        <v>744</v>
      </c>
      <c r="Q6" s="28" t="s">
        <v>345</v>
      </c>
      <c r="R6" s="28" t="s">
        <v>344</v>
      </c>
      <c r="S6" s="28" t="s">
        <v>345</v>
      </c>
      <c r="T6" s="28">
        <f>' LR Products'!J15</f>
        <v>0.28000000000000003</v>
      </c>
      <c r="U6" s="28">
        <v>2.82</v>
      </c>
      <c r="Y6" s="28">
        <v>229.81</v>
      </c>
      <c r="Z6" s="28">
        <f t="shared" si="3"/>
        <v>1.7261810335017149E-5</v>
      </c>
      <c r="AB6" s="28">
        <f t="shared" si="2"/>
        <v>0.16129978157752053</v>
      </c>
      <c r="AE6" s="28" t="s">
        <v>1578</v>
      </c>
      <c r="AF6" s="28" cm="1">
        <f t="array" ref="AF6">SUMPRODUCT($AB$2:$AB$66,$Z$2:$Z$66,IF($P$2:$P$66=AE6,1,0))/SUMPRODUCT($Z$2:$Z$66,IF($P$2:$P$66=AE6,1,0))</f>
        <v>0.88714879867636287</v>
      </c>
      <c r="AG6" s="64" cm="1">
        <f t="array" ref="AG6">SUMPRODUCT($AC$2:$AC$66,$Z$2:$Z$66,IF($P$2:$P$66=AE6,1,0))/SUMPRODUCT($Z$2:$Z$66,IF($P$2:$P$66=AE6,1,0))</f>
        <v>0</v>
      </c>
      <c r="AS6" s="28" t="s">
        <v>1579</v>
      </c>
      <c r="AT6" s="28" t="s">
        <v>1578</v>
      </c>
      <c r="AU6" s="28">
        <f ca="1"/>
        <v>2.1222570532915359</v>
      </c>
      <c r="AV6" s="28">
        <f ca="1"/>
        <v>1.4999157350710635</v>
      </c>
      <c r="AW6" s="28">
        <f ca="1"/>
        <v>1.5391678873608956</v>
      </c>
      <c r="AX6" s="28">
        <f ca="1"/>
        <v>1.4842371711283271</v>
      </c>
      <c r="AY6" s="28">
        <f ca="1"/>
        <v>1.5214429910223375</v>
      </c>
      <c r="AZ6" s="28">
        <f ca="1"/>
        <v>1.3447537473233404</v>
      </c>
      <c r="BA6" s="28">
        <f ca="1"/>
        <v>1.3202348746462544</v>
      </c>
      <c r="BB6" s="28">
        <f ca="1"/>
        <v>1.2781624584231115</v>
      </c>
      <c r="BC6" s="28">
        <f ca="1"/>
        <v>1.1634242223581972</v>
      </c>
      <c r="BD6" s="28">
        <f ca="1"/>
        <v>0.91614202414277657</v>
      </c>
      <c r="BJ6" s="28" t="s">
        <v>1580</v>
      </c>
      <c r="BL6" s="28" t="s">
        <v>1581</v>
      </c>
      <c r="BM6" s="28" t="s">
        <v>1582</v>
      </c>
      <c r="BN6" s="28" t="s">
        <v>1583</v>
      </c>
      <c r="BO6" s="28" t="s">
        <v>1584</v>
      </c>
      <c r="BP6" s="28" t="s">
        <v>1585</v>
      </c>
      <c r="BQ6" s="28" t="s">
        <v>1586</v>
      </c>
      <c r="BR6" s="28" t="s">
        <v>1587</v>
      </c>
      <c r="BS6" s="28" t="s">
        <v>1588</v>
      </c>
      <c r="BT6" s="28" t="s">
        <v>1589</v>
      </c>
      <c r="BU6" s="28" t="s">
        <v>1590</v>
      </c>
      <c r="BV6" s="28" t="s">
        <v>1591</v>
      </c>
      <c r="BW6" s="28" t="s">
        <v>1592</v>
      </c>
      <c r="BX6" s="28" t="s">
        <v>1593</v>
      </c>
      <c r="BY6" s="28" t="s">
        <v>1594</v>
      </c>
      <c r="BZ6" s="28" t="s">
        <v>1595</v>
      </c>
      <c r="CA6" s="28" t="s">
        <v>1596</v>
      </c>
      <c r="CB6" s="28" t="s">
        <v>1597</v>
      </c>
      <c r="CC6" s="28" t="s">
        <v>1598</v>
      </c>
      <c r="CD6" s="28" t="s">
        <v>1599</v>
      </c>
      <c r="CE6" s="28" t="s">
        <v>1600</v>
      </c>
      <c r="CF6" s="28" t="s">
        <v>1601</v>
      </c>
      <c r="CG6" s="28" t="s">
        <v>1602</v>
      </c>
      <c r="CH6" s="28" t="s">
        <v>1603</v>
      </c>
      <c r="CI6" s="28" t="s">
        <v>1604</v>
      </c>
      <c r="CJ6" s="28" t="s">
        <v>1605</v>
      </c>
      <c r="CK6" s="28" t="s">
        <v>1606</v>
      </c>
      <c r="CL6" s="28" t="s">
        <v>1607</v>
      </c>
      <c r="CM6" s="28" t="s">
        <v>1608</v>
      </c>
      <c r="CN6" s="28" t="s">
        <v>1609</v>
      </c>
      <c r="CO6" s="28" t="s">
        <v>1610</v>
      </c>
      <c r="CP6" s="28" t="s">
        <v>1611</v>
      </c>
      <c r="CQ6" s="28" t="s">
        <v>1612</v>
      </c>
      <c r="CR6" s="28" t="s">
        <v>1613</v>
      </c>
      <c r="CS6" s="28" t="s">
        <v>1614</v>
      </c>
      <c r="CT6" s="28" t="s">
        <v>1615</v>
      </c>
      <c r="CU6" s="28" t="s">
        <v>1616</v>
      </c>
      <c r="CV6" s="28" t="s">
        <v>1617</v>
      </c>
      <c r="CW6" s="28" t="s">
        <v>1618</v>
      </c>
      <c r="CX6" s="28" t="s">
        <v>1619</v>
      </c>
      <c r="CY6" s="28" t="s">
        <v>1620</v>
      </c>
      <c r="CZ6" s="28" t="s">
        <v>1621</v>
      </c>
      <c r="DA6" s="28" t="s">
        <v>1622</v>
      </c>
      <c r="DB6" s="28" t="s">
        <v>1623</v>
      </c>
      <c r="DC6" s="28" t="s">
        <v>1624</v>
      </c>
      <c r="DD6" s="28" t="s">
        <v>1625</v>
      </c>
      <c r="DE6" s="28" t="s">
        <v>1626</v>
      </c>
      <c r="DF6" s="28" t="s">
        <v>1627</v>
      </c>
      <c r="DG6" s="28" t="s">
        <v>1628</v>
      </c>
      <c r="DH6" s="28" t="s">
        <v>1629</v>
      </c>
      <c r="DI6" s="28" t="s">
        <v>1630</v>
      </c>
      <c r="DJ6" s="28" t="s">
        <v>1631</v>
      </c>
      <c r="DK6" s="28" t="s">
        <v>1632</v>
      </c>
      <c r="DL6" s="28" t="s">
        <v>1633</v>
      </c>
      <c r="DM6" s="28" t="s">
        <v>1634</v>
      </c>
      <c r="DN6" s="28" t="s">
        <v>1635</v>
      </c>
      <c r="DO6" s="28" t="s">
        <v>1636</v>
      </c>
      <c r="DP6" s="28" t="s">
        <v>1637</v>
      </c>
      <c r="DQ6" s="28" t="s">
        <v>1638</v>
      </c>
      <c r="DR6" s="28" t="s">
        <v>1639</v>
      </c>
      <c r="DS6" s="28" t="s">
        <v>1640</v>
      </c>
      <c r="DT6" s="28" t="s">
        <v>1641</v>
      </c>
      <c r="DU6" s="28" t="s">
        <v>1642</v>
      </c>
      <c r="DV6" s="28" t="s">
        <v>1643</v>
      </c>
      <c r="DW6" s="28" t="s">
        <v>1644</v>
      </c>
      <c r="DX6" s="28" t="s">
        <v>1645</v>
      </c>
      <c r="DY6" s="28" t="s">
        <v>1646</v>
      </c>
      <c r="DZ6" s="28" t="s">
        <v>1647</v>
      </c>
      <c r="EA6" s="28" t="s">
        <v>1648</v>
      </c>
      <c r="EB6" s="28" t="s">
        <v>1649</v>
      </c>
      <c r="EC6" s="28" t="s">
        <v>1650</v>
      </c>
      <c r="ED6" s="28" t="s">
        <v>1651</v>
      </c>
      <c r="EE6" s="28" t="s">
        <v>1652</v>
      </c>
      <c r="EF6" s="28" t="s">
        <v>1653</v>
      </c>
      <c r="EG6" s="28" t="s">
        <v>1654</v>
      </c>
      <c r="EH6" s="28" t="s">
        <v>1655</v>
      </c>
      <c r="EI6" s="28" t="s">
        <v>1656</v>
      </c>
      <c r="EJ6" s="28" t="s">
        <v>1657</v>
      </c>
      <c r="EK6" s="28" t="s">
        <v>1658</v>
      </c>
      <c r="EL6" s="28" t="s">
        <v>1659</v>
      </c>
      <c r="EM6" s="28" t="s">
        <v>1660</v>
      </c>
      <c r="EN6" s="28" t="s">
        <v>1661</v>
      </c>
      <c r="EO6" s="28" t="s">
        <v>1662</v>
      </c>
      <c r="EP6" s="28" t="s">
        <v>1663</v>
      </c>
      <c r="EQ6" s="28" t="s">
        <v>1664</v>
      </c>
      <c r="ER6" s="28" t="s">
        <v>1665</v>
      </c>
      <c r="ES6" s="28" t="s">
        <v>1666</v>
      </c>
      <c r="ET6" s="28" t="s">
        <v>1667</v>
      </c>
      <c r="EU6" s="28" t="s">
        <v>1668</v>
      </c>
      <c r="EV6" s="28" t="s">
        <v>1669</v>
      </c>
      <c r="EW6" s="28" t="s">
        <v>1670</v>
      </c>
      <c r="EX6" s="28" t="s">
        <v>1671</v>
      </c>
      <c r="EY6" s="28" t="s">
        <v>1672</v>
      </c>
      <c r="EZ6" s="28" t="s">
        <v>1673</v>
      </c>
      <c r="FA6" s="28" t="s">
        <v>1674</v>
      </c>
      <c r="FB6" s="28" t="s">
        <v>1675</v>
      </c>
      <c r="FC6" s="28" t="s">
        <v>1676</v>
      </c>
      <c r="FD6" s="28" t="s">
        <v>1677</v>
      </c>
      <c r="FE6" s="28" t="s">
        <v>1678</v>
      </c>
      <c r="FF6" s="28" t="s">
        <v>1679</v>
      </c>
      <c r="FG6" s="28" t="s">
        <v>1680</v>
      </c>
      <c r="FH6" s="28" t="s">
        <v>1681</v>
      </c>
      <c r="FI6" s="28" t="s">
        <v>1682</v>
      </c>
      <c r="FJ6" s="28" t="s">
        <v>1683</v>
      </c>
      <c r="FK6" s="28" t="s">
        <v>1684</v>
      </c>
      <c r="FL6" s="28" t="s">
        <v>1685</v>
      </c>
      <c r="FM6" s="28" t="s">
        <v>1686</v>
      </c>
      <c r="FN6" s="28" t="s">
        <v>1687</v>
      </c>
      <c r="FO6" s="28" t="s">
        <v>1688</v>
      </c>
      <c r="FP6" s="28" t="s">
        <v>1689</v>
      </c>
      <c r="FQ6" s="28" t="s">
        <v>1690</v>
      </c>
      <c r="FR6" s="28" t="s">
        <v>1691</v>
      </c>
      <c r="FS6" s="28" t="s">
        <v>1692</v>
      </c>
      <c r="FT6" s="28" t="s">
        <v>1693</v>
      </c>
      <c r="FU6" s="28" t="s">
        <v>1694</v>
      </c>
      <c r="FV6" s="28" t="s">
        <v>1695</v>
      </c>
      <c r="FW6" s="28" t="s">
        <v>1696</v>
      </c>
      <c r="FX6" s="28" t="s">
        <v>1697</v>
      </c>
      <c r="FY6" s="28" t="s">
        <v>1698</v>
      </c>
      <c r="FZ6" s="28" t="s">
        <v>1699</v>
      </c>
      <c r="GA6" s="28" t="s">
        <v>1700</v>
      </c>
      <c r="GB6" s="28" t="s">
        <v>1701</v>
      </c>
      <c r="GC6" s="28" t="s">
        <v>1702</v>
      </c>
      <c r="GD6" s="28" t="s">
        <v>1703</v>
      </c>
      <c r="GE6" s="28" t="s">
        <v>1704</v>
      </c>
      <c r="GF6" s="28" t="s">
        <v>1705</v>
      </c>
      <c r="GG6" s="28" t="s">
        <v>1706</v>
      </c>
      <c r="GH6" s="28" t="s">
        <v>1707</v>
      </c>
      <c r="GI6" s="28" t="s">
        <v>1708</v>
      </c>
      <c r="GJ6" s="28" t="s">
        <v>1709</v>
      </c>
      <c r="GK6" s="28" t="s">
        <v>1710</v>
      </c>
      <c r="GL6" s="28" t="s">
        <v>1711</v>
      </c>
      <c r="GM6" s="28" t="s">
        <v>1712</v>
      </c>
      <c r="GN6" s="28" t="s">
        <v>1713</v>
      </c>
      <c r="GO6" s="28" t="s">
        <v>1714</v>
      </c>
      <c r="GP6" s="28" t="s">
        <v>1715</v>
      </c>
      <c r="GQ6" s="28" t="s">
        <v>1716</v>
      </c>
      <c r="GR6" s="28" t="s">
        <v>1717</v>
      </c>
      <c r="GS6" s="28" t="s">
        <v>1718</v>
      </c>
      <c r="GT6" s="28" t="s">
        <v>1719</v>
      </c>
      <c r="GU6" s="28" t="s">
        <v>1720</v>
      </c>
      <c r="GV6" s="28" t="s">
        <v>1721</v>
      </c>
      <c r="GW6" s="28" t="s">
        <v>1722</v>
      </c>
      <c r="GX6" s="28" t="s">
        <v>1723</v>
      </c>
      <c r="GY6" s="28" t="s">
        <v>1724</v>
      </c>
      <c r="GZ6" s="28" t="s">
        <v>1725</v>
      </c>
      <c r="HA6" s="28" t="s">
        <v>1726</v>
      </c>
      <c r="HB6" s="28" t="s">
        <v>1727</v>
      </c>
      <c r="HC6" s="28" t="s">
        <v>1728</v>
      </c>
      <c r="HD6" s="28" t="s">
        <v>1729</v>
      </c>
      <c r="HE6" s="28" t="s">
        <v>1730</v>
      </c>
      <c r="HF6" s="28" t="s">
        <v>1731</v>
      </c>
      <c r="HG6" s="28" t="s">
        <v>1732</v>
      </c>
      <c r="HH6" s="28" t="s">
        <v>1733</v>
      </c>
      <c r="HI6" s="28" t="s">
        <v>1734</v>
      </c>
      <c r="HJ6" s="28" t="s">
        <v>1735</v>
      </c>
      <c r="HK6" s="28" t="s">
        <v>1736</v>
      </c>
      <c r="HL6" s="28" t="s">
        <v>1737</v>
      </c>
      <c r="HM6" s="28" t="s">
        <v>1738</v>
      </c>
      <c r="HN6" s="28" t="s">
        <v>1739</v>
      </c>
      <c r="HO6" s="28" t="s">
        <v>1740</v>
      </c>
      <c r="HP6" s="28" t="s">
        <v>1741</v>
      </c>
      <c r="HQ6" s="28" t="s">
        <v>1742</v>
      </c>
      <c r="HR6" s="28" t="s">
        <v>1743</v>
      </c>
      <c r="HS6" s="28" t="s">
        <v>1744</v>
      </c>
      <c r="HT6" s="28" t="s">
        <v>1745</v>
      </c>
      <c r="HU6" s="28" t="s">
        <v>1746</v>
      </c>
      <c r="HV6" s="28" t="s">
        <v>1747</v>
      </c>
      <c r="HW6" s="28" t="s">
        <v>1748</v>
      </c>
      <c r="HX6" s="28" t="s">
        <v>1749</v>
      </c>
      <c r="HY6" s="28" t="s">
        <v>1750</v>
      </c>
      <c r="HZ6" s="28" t="s">
        <v>1751</v>
      </c>
      <c r="IA6" s="28" t="s">
        <v>1752</v>
      </c>
      <c r="IB6" s="28" t="s">
        <v>1753</v>
      </c>
      <c r="IC6" s="28" t="s">
        <v>1754</v>
      </c>
      <c r="ID6" s="28" t="s">
        <v>1755</v>
      </c>
      <c r="IE6" s="28" t="s">
        <v>1756</v>
      </c>
      <c r="IF6" s="28" t="s">
        <v>1757</v>
      </c>
      <c r="IG6" s="28" t="s">
        <v>1758</v>
      </c>
      <c r="IH6" s="28" t="s">
        <v>1759</v>
      </c>
      <c r="II6" s="28" t="s">
        <v>1760</v>
      </c>
      <c r="IJ6" s="28" t="s">
        <v>1761</v>
      </c>
      <c r="IK6" s="28" t="s">
        <v>1762</v>
      </c>
      <c r="IL6" s="28" t="s">
        <v>1763</v>
      </c>
      <c r="IM6" s="28" t="s">
        <v>1764</v>
      </c>
      <c r="IN6" s="28" t="s">
        <v>1765</v>
      </c>
      <c r="IO6" s="28" t="s">
        <v>1766</v>
      </c>
      <c r="IP6" s="28" t="s">
        <v>1767</v>
      </c>
      <c r="IQ6" s="28" t="s">
        <v>1768</v>
      </c>
      <c r="IR6" s="28" t="s">
        <v>1769</v>
      </c>
      <c r="IS6" s="28" t="s">
        <v>1770</v>
      </c>
      <c r="IT6" s="28" t="s">
        <v>1771</v>
      </c>
      <c r="IU6" s="28" t="s">
        <v>1772</v>
      </c>
      <c r="IV6" s="28" t="s">
        <v>1773</v>
      </c>
      <c r="IW6" s="28" t="s">
        <v>1774</v>
      </c>
      <c r="IX6" s="28" t="s">
        <v>1775</v>
      </c>
      <c r="IY6" s="28" t="s">
        <v>1776</v>
      </c>
      <c r="IZ6" s="28" t="s">
        <v>1777</v>
      </c>
      <c r="JA6" s="28" t="s">
        <v>1778</v>
      </c>
      <c r="JB6" s="28" t="s">
        <v>1779</v>
      </c>
      <c r="JC6" s="28" t="s">
        <v>1780</v>
      </c>
      <c r="JD6" s="28" t="s">
        <v>1781</v>
      </c>
      <c r="JE6" s="28" t="s">
        <v>1782</v>
      </c>
      <c r="JF6" s="28" t="s">
        <v>1782</v>
      </c>
      <c r="JG6" s="28" t="s">
        <v>1782</v>
      </c>
      <c r="JH6" s="28" t="s">
        <v>1782</v>
      </c>
      <c r="JI6" s="28" t="s">
        <v>1782</v>
      </c>
      <c r="JJ6" s="28" t="s">
        <v>1782</v>
      </c>
      <c r="JK6" s="28" t="s">
        <v>1782</v>
      </c>
      <c r="JL6" s="28" t="s">
        <v>1782</v>
      </c>
      <c r="JM6" s="28" t="s">
        <v>1782</v>
      </c>
    </row>
    <row r="7" spans="1:290">
      <c r="A7" s="402" t="s">
        <v>1783</v>
      </c>
      <c r="B7" s="51">
        <f t="shared" ref="B7:K7" ca="1" si="4">-SUMPRODUCT($AF$3:$AF$21,AU3:AU21)/100</f>
        <v>-1.5484229359703248</v>
      </c>
      <c r="C7" s="51">
        <f t="shared" ca="1" si="4"/>
        <v>-1.4442616430312634</v>
      </c>
      <c r="D7" s="51">
        <f t="shared" ca="1" si="4"/>
        <v>-1.5284133811202403</v>
      </c>
      <c r="E7" s="51">
        <f t="shared" ca="1" si="4"/>
        <v>-1.4856005989427121</v>
      </c>
      <c r="F7" s="51">
        <f t="shared" ca="1" si="4"/>
        <v>-1.5310996831321424</v>
      </c>
      <c r="G7" s="51">
        <f t="shared" ca="1" si="4"/>
        <v>-1.5650286875212052</v>
      </c>
      <c r="H7" s="51">
        <f t="shared" ca="1" si="4"/>
        <v>-1.5960849098650505</v>
      </c>
      <c r="I7" s="51">
        <f t="shared" ca="1" si="4"/>
        <v>-1.564192631545352</v>
      </c>
      <c r="J7" s="51">
        <f t="shared" ca="1" si="4"/>
        <v>-1.5546790846843452</v>
      </c>
      <c r="K7" s="51">
        <f t="shared" ca="1" si="4"/>
        <v>-1.4857521916199423</v>
      </c>
      <c r="P7" s="28" t="s">
        <v>744</v>
      </c>
      <c r="Q7" s="28" t="s">
        <v>348</v>
      </c>
      <c r="R7" s="28" t="s">
        <v>347</v>
      </c>
      <c r="S7" s="28" t="s">
        <v>348</v>
      </c>
      <c r="T7" s="28">
        <f>' LR Products'!J16</f>
        <v>0.05</v>
      </c>
      <c r="U7" s="28">
        <v>2.69</v>
      </c>
      <c r="Y7" s="28">
        <v>388.62799999999999</v>
      </c>
      <c r="Z7" s="28">
        <f t="shared" si="3"/>
        <v>2.919117021399001E-5</v>
      </c>
      <c r="AB7" s="28">
        <f t="shared" si="2"/>
        <v>2.880353242455724E-2</v>
      </c>
      <c r="AE7" s="28" t="s">
        <v>744</v>
      </c>
      <c r="AF7" s="28" cm="1">
        <f t="array" ref="AF7">SUMPRODUCT($AB$2:$AB$66,$Z$2:$Z$66,IF($P$2:$P$66=AE7,1,0))/SUMPRODUCT($Z$2:$Z$66,IF($P$2:$P$66=AE7,1,0))</f>
        <v>1.4716266483645737</v>
      </c>
      <c r="AG7" s="64" cm="1">
        <f t="array" ref="AG7">SUMPRODUCT($AC$2:$AC$66,$Z$2:$Z$66,IF($P$2:$P$66=AE7,1,0))/SUMPRODUCT($Z$2:$Z$66,IF($P$2:$P$66=AE7,1,0))</f>
        <v>0</v>
      </c>
      <c r="AS7" s="28" t="s">
        <v>1784</v>
      </c>
      <c r="AT7" s="28" t="s">
        <v>1785</v>
      </c>
      <c r="AU7" s="28">
        <f ca="1"/>
        <v>4.9184952978056424</v>
      </c>
      <c r="AV7" s="28">
        <f ca="1"/>
        <v>3.8452895904724453</v>
      </c>
      <c r="AW7" s="28">
        <f ca="1"/>
        <v>3.8741555346640721</v>
      </c>
      <c r="AX7" s="28">
        <f ca="1"/>
        <v>3.7777095957658973</v>
      </c>
      <c r="AY7" s="28">
        <f ca="1"/>
        <v>3.6813340117185578</v>
      </c>
      <c r="AZ7" s="28">
        <f ca="1"/>
        <v>3.4732334047109208</v>
      </c>
      <c r="BA7" s="28">
        <f ca="1"/>
        <v>3.2675501477316646</v>
      </c>
      <c r="BB7" s="28">
        <f ca="1"/>
        <v>3.2110955379369495</v>
      </c>
      <c r="BC7" s="28">
        <f ca="1"/>
        <v>2.977293110818672</v>
      </c>
      <c r="BD7" s="28">
        <f ca="1"/>
        <v>2.2571615087575654</v>
      </c>
      <c r="BJ7" s="28" t="s">
        <v>550</v>
      </c>
      <c r="BK7" s="53">
        <v>45291</v>
      </c>
      <c r="BL7" s="54">
        <v>4.0571043884719972E-2</v>
      </c>
      <c r="BM7" s="54">
        <v>4.6203737003417789E-2</v>
      </c>
      <c r="BN7" s="54">
        <v>5.977285256542228E-2</v>
      </c>
      <c r="BO7" s="54">
        <v>6.7175389488945372E-2</v>
      </c>
      <c r="BP7" s="54">
        <v>7.9248516742003769E-2</v>
      </c>
      <c r="BQ7" s="54">
        <v>9.0956986160510608E-2</v>
      </c>
      <c r="BR7" s="54">
        <v>0.10356695811366293</v>
      </c>
      <c r="BS7" s="54">
        <v>0.12390133023651377</v>
      </c>
      <c r="BT7" s="54">
        <v>0.15411829569047486</v>
      </c>
      <c r="BU7" s="54">
        <v>0.23451546542583393</v>
      </c>
      <c r="BV7" s="54">
        <v>1.6959247648902822</v>
      </c>
      <c r="BW7" s="54">
        <v>2.5862068965517242</v>
      </c>
      <c r="BX7" s="54">
        <v>1.2225705329153604</v>
      </c>
      <c r="BY7" s="54">
        <v>2.1222570532915359</v>
      </c>
      <c r="BZ7" s="54">
        <v>4.9184952978056424</v>
      </c>
      <c r="CA7" s="54">
        <v>5.0564263322884013</v>
      </c>
      <c r="CB7" s="54">
        <v>1.9717868338557993</v>
      </c>
      <c r="CC7" s="54">
        <v>25.727272727272727</v>
      </c>
      <c r="CD7" s="54">
        <v>8.2068965517241388</v>
      </c>
      <c r="CE7" s="54">
        <v>3.5141065830721003</v>
      </c>
      <c r="CF7" s="54">
        <v>1.5172413793103448</v>
      </c>
      <c r="CG7" s="54">
        <v>2.8025078369905958</v>
      </c>
      <c r="CH7" s="54">
        <v>3.2163009404388716</v>
      </c>
      <c r="CI7" s="54">
        <v>14.774294670846395</v>
      </c>
      <c r="CJ7" s="54">
        <v>8.6551724137931032</v>
      </c>
      <c r="CK7" s="54">
        <v>4.5987460815047019</v>
      </c>
      <c r="CL7" s="54">
        <v>2.6192854151229099</v>
      </c>
      <c r="CM7" s="54">
        <v>1.1849529780564263</v>
      </c>
      <c r="CN7" s="54">
        <v>1.4231974921630095</v>
      </c>
      <c r="CO7" s="54">
        <v>1.1797090051120724</v>
      </c>
      <c r="CP7" s="54">
        <v>2.0953878995562047</v>
      </c>
      <c r="CQ7" s="54">
        <v>0.95500252794786811</v>
      </c>
      <c r="CR7" s="54">
        <v>1.4999157350710635</v>
      </c>
      <c r="CS7" s="54">
        <v>3.8452895904724453</v>
      </c>
      <c r="CT7" s="54">
        <v>4.2975113757654064</v>
      </c>
      <c r="CU7" s="54">
        <v>1.5785630020785348</v>
      </c>
      <c r="CV7" s="54">
        <v>26.09403966069322</v>
      </c>
      <c r="CW7" s="54">
        <v>9.1539801134767718</v>
      </c>
      <c r="CX7" s="54">
        <v>3.7132745351384755</v>
      </c>
      <c r="CY7" s="54">
        <v>1.3454300320206729</v>
      </c>
      <c r="CZ7" s="54">
        <v>2.9942138082130216</v>
      </c>
      <c r="DA7" s="54">
        <v>2.3846974889051178</v>
      </c>
      <c r="DB7" s="54">
        <v>14.372788045615415</v>
      </c>
      <c r="DC7" s="54">
        <v>12.086399640469637</v>
      </c>
      <c r="DD7" s="54">
        <v>3.9941576315937306</v>
      </c>
      <c r="DE7" s="54">
        <v>1.1496088136675715</v>
      </c>
      <c r="DF7" s="54">
        <v>1.3426212010561205</v>
      </c>
      <c r="DG7" s="54">
        <v>2.7133307117577665</v>
      </c>
      <c r="DH7" s="54">
        <v>1.3008592229825751</v>
      </c>
      <c r="DI7" s="54">
        <v>1.9327051312883972</v>
      </c>
      <c r="DJ7" s="54">
        <v>1.0122652441024071</v>
      </c>
      <c r="DK7" s="54">
        <v>1.5391678873608956</v>
      </c>
      <c r="DL7" s="54">
        <v>3.8741555346640721</v>
      </c>
      <c r="DM7" s="54">
        <v>4.9039113229410347</v>
      </c>
      <c r="DN7" s="54">
        <v>1.4845099368154091</v>
      </c>
      <c r="DO7" s="54">
        <v>23.723736854762894</v>
      </c>
      <c r="DP7" s="54">
        <v>8.323312709066661</v>
      </c>
      <c r="DQ7" s="54">
        <v>3.8479197184022387</v>
      </c>
      <c r="DR7" s="54">
        <v>1.469205710662673</v>
      </c>
      <c r="DS7" s="54">
        <v>3.1439253153763747</v>
      </c>
      <c r="DT7" s="54">
        <v>2.6060910820087888</v>
      </c>
      <c r="DU7" s="54">
        <v>16.224666039922166</v>
      </c>
      <c r="DV7" s="54">
        <v>9.7575373313802221</v>
      </c>
      <c r="DW7" s="54">
        <v>4.9935503618356325</v>
      </c>
      <c r="DX7" s="54">
        <v>1.0157054006890689</v>
      </c>
      <c r="DY7" s="54">
        <v>1.6200616541682153</v>
      </c>
      <c r="DZ7" s="54">
        <v>4.3660770895734498</v>
      </c>
      <c r="EA7" s="54">
        <v>1.2943928817979597</v>
      </c>
      <c r="EB7" s="54">
        <v>1.9559714658280278</v>
      </c>
      <c r="EC7" s="54">
        <v>0.96839763749328833</v>
      </c>
      <c r="ED7" s="54">
        <v>1.4842371711283271</v>
      </c>
      <c r="EE7" s="54">
        <v>3.7777095957658973</v>
      </c>
      <c r="EF7" s="54">
        <v>4.9838919996931805</v>
      </c>
      <c r="EG7" s="54">
        <v>1.3404157398174426</v>
      </c>
      <c r="EH7" s="54">
        <v>22.140829945539618</v>
      </c>
      <c r="EI7" s="54">
        <v>7.9964715808851734</v>
      </c>
      <c r="EJ7" s="54">
        <v>3.7968857866073482</v>
      </c>
      <c r="EK7" s="54">
        <v>1.3576743115747487</v>
      </c>
      <c r="EL7" s="54">
        <v>3.1890005369333436</v>
      </c>
      <c r="EM7" s="54">
        <v>2.4986576666410985</v>
      </c>
      <c r="EN7" s="54">
        <v>15.732146966326608</v>
      </c>
      <c r="EO7" s="54">
        <v>10.029147810079007</v>
      </c>
      <c r="EP7" s="54">
        <v>4.1880800797729538</v>
      </c>
      <c r="EQ7" s="54">
        <v>1.2502876428626217</v>
      </c>
      <c r="ER7" s="54">
        <v>1.4650638617580767</v>
      </c>
      <c r="ES7" s="54">
        <v>6.1919920227046097</v>
      </c>
      <c r="ET7" s="54">
        <v>1.2358646949728371</v>
      </c>
      <c r="EU7" s="54">
        <v>1.8365638694217861</v>
      </c>
      <c r="EV7" s="54">
        <v>0.8797124521984605</v>
      </c>
      <c r="EW7" s="54">
        <v>1.5214429910223375</v>
      </c>
      <c r="EX7" s="54">
        <v>3.6813340117185578</v>
      </c>
      <c r="EY7" s="54">
        <v>4.7990283772916014</v>
      </c>
      <c r="EZ7" s="54">
        <v>1.4475865351474668</v>
      </c>
      <c r="FA7" s="54">
        <v>21.641582825912128</v>
      </c>
      <c r="FB7" s="54">
        <v>7.1985425659374025</v>
      </c>
      <c r="FC7" s="54">
        <v>3.5418273728438017</v>
      </c>
      <c r="FD7" s="54">
        <v>1.0996405652480756</v>
      </c>
      <c r="FE7" s="54">
        <v>2.8689129970949794</v>
      </c>
      <c r="FF7" s="54">
        <v>2.1812273301711826</v>
      </c>
      <c r="FG7" s="54">
        <v>18.7989299020171</v>
      </c>
      <c r="FH7" s="54">
        <v>9.0564427448341505</v>
      </c>
      <c r="FI7" s="54">
        <v>3.9455759982930951</v>
      </c>
      <c r="FJ7" s="54">
        <v>1.4607165717474437</v>
      </c>
      <c r="FK7" s="54">
        <v>1.8447701422967717</v>
      </c>
      <c r="FL7" s="54">
        <v>7.835349341036288</v>
      </c>
      <c r="FM7" s="54">
        <v>1.1763026409707351</v>
      </c>
      <c r="FN7" s="54">
        <v>1.6145610278372591</v>
      </c>
      <c r="FO7" s="54">
        <v>0.86081370449678796</v>
      </c>
      <c r="FP7" s="54">
        <v>1.3447537473233404</v>
      </c>
      <c r="FQ7" s="54">
        <v>3.4732334047109208</v>
      </c>
      <c r="FR7" s="54">
        <v>5.0578158458244111</v>
      </c>
      <c r="FS7" s="54">
        <v>1.2833690221270522</v>
      </c>
      <c r="FT7" s="54">
        <v>20.70092790863669</v>
      </c>
      <c r="FU7" s="54">
        <v>6.6466809421841546</v>
      </c>
      <c r="FV7" s="54">
        <v>3.8044254104211279</v>
      </c>
      <c r="FW7" s="54">
        <v>1.1291934332619558</v>
      </c>
      <c r="FX7" s="54">
        <v>3.336188436830835</v>
      </c>
      <c r="FY7" s="54">
        <v>2.7865810135617415</v>
      </c>
      <c r="FZ7" s="54">
        <v>17.651677373304782</v>
      </c>
      <c r="GA7" s="54">
        <v>8.5481798715203432</v>
      </c>
      <c r="GB7" s="54">
        <v>4.3297644539614559</v>
      </c>
      <c r="GC7" s="54">
        <v>1.8087080656673804</v>
      </c>
      <c r="GD7" s="54">
        <v>1.5060670949321913</v>
      </c>
      <c r="GE7" s="54">
        <v>10.152748037116346</v>
      </c>
      <c r="GF7" s="54">
        <v>1.1033124306533855</v>
      </c>
      <c r="GG7" s="54">
        <v>1.6156982035330931</v>
      </c>
      <c r="GH7" s="54">
        <v>0.8676897759714759</v>
      </c>
      <c r="GI7" s="54">
        <v>1.3202348746462544</v>
      </c>
      <c r="GJ7" s="54">
        <v>3.2675501477316646</v>
      </c>
      <c r="GK7" s="54">
        <v>4.9705160011469465</v>
      </c>
      <c r="GL7" s="54">
        <v>1.3264682782092678</v>
      </c>
      <c r="GM7" s="54">
        <v>19.040554523580965</v>
      </c>
      <c r="GN7" s="54">
        <v>6.3393714235847058</v>
      </c>
      <c r="GO7" s="54">
        <v>3.9731714310647899</v>
      </c>
      <c r="GP7" s="54">
        <v>1.0771321356887287</v>
      </c>
      <c r="GQ7" s="54">
        <v>3.641554361512473</v>
      </c>
      <c r="GR7" s="54">
        <v>2.8686123196988018</v>
      </c>
      <c r="GS7" s="54">
        <v>18.419707528704823</v>
      </c>
      <c r="GT7" s="54">
        <v>8.214379215339159</v>
      </c>
      <c r="GU7" s="54">
        <v>4.206300724321494</v>
      </c>
      <c r="GV7" s="54">
        <v>1.1469462555944796</v>
      </c>
      <c r="GW7" s="54">
        <v>1.3838155909889918</v>
      </c>
      <c r="GX7" s="54">
        <v>12.370812711156546</v>
      </c>
      <c r="GY7" s="54">
        <v>1.0083049181013743</v>
      </c>
      <c r="GZ7" s="54">
        <v>1.3722988096981361</v>
      </c>
      <c r="HA7" s="54">
        <v>0.73844737777963732</v>
      </c>
      <c r="HB7" s="54">
        <v>1.2781624584231115</v>
      </c>
      <c r="HC7" s="54">
        <v>3.2110955379369495</v>
      </c>
      <c r="HD7" s="54">
        <v>5.5195280630922747</v>
      </c>
      <c r="HE7" s="54">
        <v>1.3325523502709036</v>
      </c>
      <c r="HF7" s="54">
        <v>18.413070309394808</v>
      </c>
      <c r="HG7" s="54">
        <v>5.6638704683806456</v>
      </c>
      <c r="HH7" s="54">
        <v>3.8282116185176664</v>
      </c>
      <c r="HI7" s="54">
        <v>1.0679246072422233</v>
      </c>
      <c r="HJ7" s="54">
        <v>3.2288768487333432</v>
      </c>
      <c r="HK7" s="54">
        <v>2.7948036734096187</v>
      </c>
      <c r="HL7" s="54">
        <v>17.83256280986549</v>
      </c>
      <c r="HM7" s="54">
        <v>7.7704328180239735</v>
      </c>
      <c r="HN7" s="54">
        <v>4.5666589962973037</v>
      </c>
      <c r="HO7" s="54">
        <v>1.4978139447315022</v>
      </c>
      <c r="HP7" s="54">
        <v>1.4957220258142794</v>
      </c>
      <c r="HQ7" s="54">
        <v>14.461435474760998</v>
      </c>
      <c r="HR7" s="54">
        <v>1.0284737181797607</v>
      </c>
      <c r="HS7" s="54">
        <v>1.3419612247806008</v>
      </c>
      <c r="HT7" s="54">
        <v>0.69151655867832329</v>
      </c>
      <c r="HU7" s="54">
        <v>1.1634242223581972</v>
      </c>
      <c r="HV7" s="54">
        <v>2.977293110818672</v>
      </c>
      <c r="HW7" s="54">
        <v>5.5396762864303497</v>
      </c>
      <c r="HX7" s="54">
        <v>1.3143005624334678</v>
      </c>
      <c r="HY7" s="54">
        <v>17.344911695430962</v>
      </c>
      <c r="HZ7" s="54">
        <v>4.9755664149266989</v>
      </c>
      <c r="IA7" s="54">
        <v>3.7291602055271031</v>
      </c>
      <c r="IB7" s="54">
        <v>0.93962431791321255</v>
      </c>
      <c r="IC7" s="54">
        <v>3.4760232349563718</v>
      </c>
      <c r="ID7" s="54">
        <v>2.5221494849249391</v>
      </c>
      <c r="IE7" s="54">
        <v>18.126954058154446</v>
      </c>
      <c r="IF7" s="54">
        <v>6.875770097985801</v>
      </c>
      <c r="IG7" s="54">
        <v>5.0250203263958158</v>
      </c>
      <c r="IH7" s="54">
        <v>1.7308869014190758</v>
      </c>
      <c r="II7" s="54">
        <v>1.5196600253136971</v>
      </c>
      <c r="IJ7" s="54">
        <v>16.282071699789611</v>
      </c>
      <c r="IK7" s="54">
        <v>0.7822613660252935</v>
      </c>
      <c r="IL7" s="54">
        <v>0.94159041370229812</v>
      </c>
      <c r="IM7" s="54">
        <v>0.52667101871009858</v>
      </c>
      <c r="IN7" s="54">
        <v>0.91614202414277657</v>
      </c>
      <c r="IO7" s="54">
        <v>2.2571615087575654</v>
      </c>
      <c r="IP7" s="54">
        <v>4.9690746744265812</v>
      </c>
      <c r="IQ7" s="54">
        <v>1.0024452583011541</v>
      </c>
      <c r="IR7" s="54">
        <v>18.660861483309176</v>
      </c>
      <c r="IS7" s="54">
        <v>3.8128326270483188</v>
      </c>
      <c r="IT7" s="54">
        <v>3.8853052147069564</v>
      </c>
      <c r="IU7" s="54">
        <v>0.75902587990573034</v>
      </c>
      <c r="IV7" s="54">
        <v>3.1882406311200611</v>
      </c>
      <c r="IW7" s="54">
        <v>2.6366744487104303</v>
      </c>
      <c r="IX7" s="54">
        <v>15.997078967459254</v>
      </c>
      <c r="IY7" s="54">
        <v>6.1164651080450101</v>
      </c>
      <c r="IZ7" s="54">
        <v>5.4182940727381359</v>
      </c>
      <c r="JA7" s="54">
        <v>4.124852012082453</v>
      </c>
      <c r="JB7" s="54">
        <v>1.3266356122550593</v>
      </c>
      <c r="JC7" s="54">
        <v>18.673032452228949</v>
      </c>
      <c r="JD7" s="55">
        <v>16100</v>
      </c>
      <c r="JE7" s="55">
        <v>23141</v>
      </c>
      <c r="JF7" s="55">
        <v>34879</v>
      </c>
      <c r="JG7" s="55">
        <v>46446</v>
      </c>
      <c r="JH7" s="55">
        <v>58673</v>
      </c>
      <c r="JI7" s="55">
        <v>74553</v>
      </c>
      <c r="JJ7" s="55">
        <v>93494</v>
      </c>
      <c r="JK7" s="55">
        <v>115584</v>
      </c>
      <c r="JL7" s="55">
        <v>150203</v>
      </c>
      <c r="JM7" s="55">
        <v>271617</v>
      </c>
      <c r="JN7" s="54"/>
      <c r="JO7" s="54"/>
      <c r="JP7" s="54"/>
      <c r="JQ7" s="54"/>
      <c r="JR7" s="54"/>
      <c r="JS7" s="54"/>
      <c r="JT7" s="54"/>
      <c r="JU7" s="54"/>
      <c r="JV7" s="54"/>
      <c r="JW7" s="54"/>
      <c r="JX7" s="54"/>
      <c r="JY7" s="54"/>
      <c r="JZ7" s="54"/>
      <c r="KA7" s="54"/>
      <c r="KB7" s="54"/>
      <c r="KC7" s="54"/>
      <c r="KD7" s="54"/>
    </row>
    <row r="8" spans="1:290">
      <c r="A8" s="402" t="s">
        <v>1786</v>
      </c>
      <c r="B8" s="51">
        <f ca="1">(B7*-$B$1/(SUMPRODUCT($B$7:$K$7,$B$27:$K$27)))</f>
        <v>-1.2486110614593369</v>
      </c>
      <c r="C8" s="51">
        <f t="shared" ref="C8:K8" ca="1" si="5">(C7*-$B$1/(SUMPRODUCT($B$7:$K$7,$B$27:$K$27)))</f>
        <v>-1.1646178968540102</v>
      </c>
      <c r="D8" s="51">
        <f t="shared" ca="1" si="5"/>
        <v>-1.2324758370705062</v>
      </c>
      <c r="E8" s="51">
        <f t="shared" ca="1" si="5"/>
        <v>-1.1979526379128989</v>
      </c>
      <c r="F8" s="51">
        <f t="shared" ca="1" si="5"/>
        <v>-1.2346420064862154</v>
      </c>
      <c r="G8" s="51">
        <f t="shared" ca="1" si="5"/>
        <v>-1.2620015406292167</v>
      </c>
      <c r="H8" s="51">
        <f t="shared" ca="1" si="5"/>
        <v>-1.2870445323370125</v>
      </c>
      <c r="I8" s="51">
        <f t="shared" ca="1" si="5"/>
        <v>-1.2613273651728869</v>
      </c>
      <c r="J8" s="51">
        <f t="shared" ca="1" si="5"/>
        <v>-1.2536558695056381</v>
      </c>
      <c r="K8" s="51">
        <f t="shared" ca="1" si="5"/>
        <v>-1.1980748786064646</v>
      </c>
      <c r="P8" s="28" t="s">
        <v>744</v>
      </c>
      <c r="Q8" s="28" t="s">
        <v>351</v>
      </c>
      <c r="R8" s="28" t="s">
        <v>350</v>
      </c>
      <c r="S8" s="28" t="s">
        <v>351</v>
      </c>
      <c r="T8" s="28">
        <f>' LR Products'!J17</f>
        <v>1.18</v>
      </c>
      <c r="U8" s="49">
        <v>2.58</v>
      </c>
      <c r="Y8" s="28">
        <v>7173.2839999999997</v>
      </c>
      <c r="Z8" s="28">
        <f t="shared" si="3"/>
        <v>5.3880974669167205E-4</v>
      </c>
      <c r="AB8" s="28">
        <f t="shared" si="2"/>
        <v>0.67976336521955072</v>
      </c>
      <c r="AE8" s="28" t="s">
        <v>1787</v>
      </c>
      <c r="AF8" s="28" cm="1">
        <f t="array" ref="AF8">SUMPRODUCT($AB$2:$AB$66,$Z$2:$Z$66,IF($P$2:$P$66=AE8,1,0))/SUMPRODUCT($Z$2:$Z$66,IF($P$2:$P$66=AE8,1,0))</f>
        <v>0.77193466897813401</v>
      </c>
      <c r="AG8" s="64" cm="1">
        <f t="array" ref="AG8">SUMPRODUCT($AC$2:$AC$66,$Z$2:$Z$66,IF($P$2:$P$66=AE8,1,0))/SUMPRODUCT($Z$2:$Z$66,IF($P$2:$P$66=AE8,1,0))</f>
        <v>0</v>
      </c>
      <c r="AS8" s="28" t="s">
        <v>1788</v>
      </c>
      <c r="AT8" s="28" t="s">
        <v>1787</v>
      </c>
      <c r="AU8" s="28">
        <f ca="1"/>
        <v>5.0564263322884013</v>
      </c>
      <c r="AV8" s="28">
        <f ca="1"/>
        <v>4.2975113757654064</v>
      </c>
      <c r="AW8" s="28">
        <f ca="1"/>
        <v>4.9039113229410347</v>
      </c>
      <c r="AX8" s="28">
        <f ca="1"/>
        <v>4.9838919996931805</v>
      </c>
      <c r="AY8" s="28">
        <f ca="1"/>
        <v>4.7990283772916014</v>
      </c>
      <c r="AZ8" s="28">
        <f ca="1"/>
        <v>5.0578158458244111</v>
      </c>
      <c r="BA8" s="28">
        <f ca="1"/>
        <v>4.9705160011469465</v>
      </c>
      <c r="BB8" s="28">
        <f ca="1"/>
        <v>5.5195280630922747</v>
      </c>
      <c r="BC8" s="28">
        <f ca="1"/>
        <v>5.5396762864303497</v>
      </c>
      <c r="BD8" s="28">
        <f ca="1"/>
        <v>4.9690746744265812</v>
      </c>
    </row>
    <row r="9" spans="1:290">
      <c r="A9" s="402"/>
      <c r="B9" s="51"/>
      <c r="C9" s="51"/>
      <c r="D9" s="51"/>
      <c r="E9" s="51"/>
      <c r="F9" s="51"/>
      <c r="G9" s="51"/>
      <c r="H9" s="51"/>
      <c r="I9" s="51"/>
      <c r="J9" s="51"/>
      <c r="K9" s="51"/>
      <c r="P9" s="28" t="s">
        <v>744</v>
      </c>
      <c r="Q9" s="28" t="s">
        <v>354</v>
      </c>
      <c r="R9" s="28" t="s">
        <v>353</v>
      </c>
      <c r="S9" s="28" t="s">
        <v>354</v>
      </c>
      <c r="T9" s="28">
        <f>' LR Products'!J18</f>
        <v>3.6</v>
      </c>
      <c r="U9" s="28">
        <v>20.43</v>
      </c>
      <c r="Y9" s="28">
        <v>6810.9279999999999</v>
      </c>
      <c r="Z9" s="28">
        <f t="shared" si="3"/>
        <v>5.1159195570887981E-4</v>
      </c>
      <c r="AB9" s="28">
        <f t="shared" si="2"/>
        <v>2.0738543345681211</v>
      </c>
      <c r="AE9" s="28" t="s">
        <v>1789</v>
      </c>
      <c r="AF9" s="28" cm="1">
        <f t="array" ref="AF9">SUMPRODUCT($AB$2:$AB$66,$Z$2:$Z$66,IF($P$2:$P$66=AE9,1,0))/SUMPRODUCT($Z$2:$Z$66,IF($P$2:$P$66=AE9,1,0))</f>
        <v>1.9586402048698925</v>
      </c>
      <c r="AG9" s="64" cm="1">
        <f t="array" ref="AG9">SUMPRODUCT($AC$2:$AC$66,$Z$2:$Z$66,IF($P$2:$P$66=AE9,1,0))/SUMPRODUCT($Z$2:$Z$66,IF($P$2:$P$66=AE9,1,0))</f>
        <v>0</v>
      </c>
      <c r="AS9" s="28" t="s">
        <v>1790</v>
      </c>
      <c r="AT9" s="28" t="s">
        <v>1789</v>
      </c>
      <c r="AU9" s="28">
        <f ca="1"/>
        <v>1.9717868338557993</v>
      </c>
      <c r="AV9" s="28">
        <f ca="1"/>
        <v>1.5785630020785348</v>
      </c>
      <c r="AW9" s="28">
        <f ca="1"/>
        <v>1.4845099368154091</v>
      </c>
      <c r="AX9" s="28">
        <f ca="1"/>
        <v>1.3404157398174426</v>
      </c>
      <c r="AY9" s="28">
        <f ca="1"/>
        <v>1.4475865351474668</v>
      </c>
      <c r="AZ9" s="28">
        <f ca="1"/>
        <v>1.2833690221270522</v>
      </c>
      <c r="BA9" s="28">
        <f ca="1"/>
        <v>1.3264682782092678</v>
      </c>
      <c r="BB9" s="28">
        <f ca="1"/>
        <v>1.3325523502709036</v>
      </c>
      <c r="BC9" s="28">
        <f ca="1"/>
        <v>1.3143005624334678</v>
      </c>
      <c r="BD9" s="28">
        <f ca="1"/>
        <v>1.0024452583011541</v>
      </c>
    </row>
    <row r="10" spans="1:290">
      <c r="A10" s="402" t="s">
        <v>1791</v>
      </c>
      <c r="B10" s="51">
        <f ca="1">B14*B8</f>
        <v>-2.4459394453454606</v>
      </c>
      <c r="C10" s="51">
        <f ca="1">C14*C8</f>
        <v>-1.5096691904856405</v>
      </c>
      <c r="D10" s="51">
        <f t="shared" ref="D10:J10" ca="1" si="6">D14*D8</f>
        <v>-1.4569928273560624</v>
      </c>
      <c r="E10" s="51">
        <f t="shared" ca="1" si="6"/>
        <v>-1.2936438751135959</v>
      </c>
      <c r="F10" s="51">
        <f t="shared" ca="1" si="6"/>
        <v>-1.3254078655140413</v>
      </c>
      <c r="G10" s="51">
        <f t="shared" ca="1" si="6"/>
        <v>-1.3063191629153881</v>
      </c>
      <c r="H10" s="51">
        <f t="shared" ca="1" si="6"/>
        <v>-1.2447684644784811</v>
      </c>
      <c r="I10" s="51">
        <f t="shared" ca="1" si="6"/>
        <v>-1.1999025577202835</v>
      </c>
      <c r="J10" s="51">
        <f t="shared" ca="1" si="6"/>
        <v>-1.1005327858172853</v>
      </c>
      <c r="K10" s="51">
        <f ca="1">K14*K8</f>
        <v>-0.77402568021150353</v>
      </c>
      <c r="P10" s="50" t="s">
        <v>1164</v>
      </c>
      <c r="Q10" s="28" t="s">
        <v>357</v>
      </c>
      <c r="R10" s="28" t="s">
        <v>356</v>
      </c>
      <c r="S10" s="28" t="s">
        <v>357</v>
      </c>
      <c r="T10" s="28">
        <f>' LR Products'!J19</f>
        <v>0.94</v>
      </c>
      <c r="U10" s="28">
        <v>2.77</v>
      </c>
      <c r="Y10" s="28">
        <v>3510.721</v>
      </c>
      <c r="Z10" s="28">
        <f t="shared" si="3"/>
        <v>2.6370218894374372E-4</v>
      </c>
      <c r="AB10" s="28">
        <f t="shared" si="2"/>
        <v>0.54150640958167606</v>
      </c>
      <c r="AE10" s="28" t="s">
        <v>1792</v>
      </c>
      <c r="AF10" s="28" cm="1">
        <f t="array" ref="AF10">SUMPRODUCT($AB$2:$AB$66,$Z$2:$Z$66,IF($P$2:$P$66=AE10,1,0))/SUMPRODUCT($Z$2:$Z$66,IF($P$2:$P$66=AE10,1,0))</f>
        <v>0.71356574630949976</v>
      </c>
      <c r="AG10" s="64" cm="1">
        <f t="array" ref="AG10">SUMPRODUCT($AC$2:$AC$66,$Z$2:$Z$66,IF($P$2:$P$66=AE10,1,0))/SUMPRODUCT($Z$2:$Z$66,IF($P$2:$P$66=AE10,1,0))</f>
        <v>0</v>
      </c>
      <c r="AS10" s="28" t="s">
        <v>1793</v>
      </c>
      <c r="AT10" s="28" t="s">
        <v>1792</v>
      </c>
      <c r="AU10" s="28">
        <f ca="1"/>
        <v>25.727272727272727</v>
      </c>
      <c r="AV10" s="28">
        <f ca="1"/>
        <v>26.09403966069322</v>
      </c>
      <c r="AW10" s="28">
        <f ca="1"/>
        <v>23.723736854762894</v>
      </c>
      <c r="AX10" s="28">
        <f ca="1"/>
        <v>22.140829945539618</v>
      </c>
      <c r="AY10" s="28">
        <f ca="1"/>
        <v>21.641582825912128</v>
      </c>
      <c r="AZ10" s="28">
        <f ca="1"/>
        <v>20.70092790863669</v>
      </c>
      <c r="BA10" s="28">
        <f ca="1"/>
        <v>19.040554523580965</v>
      </c>
      <c r="BB10" s="28">
        <f ca="1"/>
        <v>18.413070309394808</v>
      </c>
      <c r="BC10" s="28">
        <f ca="1"/>
        <v>17.344911695430962</v>
      </c>
      <c r="BD10" s="28">
        <f ca="1"/>
        <v>18.660861483309176</v>
      </c>
    </row>
    <row r="11" spans="1:290">
      <c r="A11" s="402" t="s">
        <v>1794</v>
      </c>
      <c r="B11" s="405">
        <f ca="1">B10*B26/100</f>
        <v>-919.69769084434665</v>
      </c>
      <c r="C11" s="405">
        <f ca="1">C10*C26/100</f>
        <v>-913.39515031952703</v>
      </c>
      <c r="D11" s="405">
        <f t="shared" ref="D11:J11" ca="1" si="7">D10*D26/100</f>
        <v>-1076.1786120700083</v>
      </c>
      <c r="E11" s="405">
        <f t="shared" ca="1" si="7"/>
        <v>-1113.5815841365345</v>
      </c>
      <c r="F11" s="405">
        <f ca="1">F10*F26/100</f>
        <v>-1338.0522565510453</v>
      </c>
      <c r="G11" s="405">
        <f t="shared" ca="1" si="7"/>
        <v>-1520.3856841423328</v>
      </c>
      <c r="H11" s="405">
        <f t="shared" ca="1" si="7"/>
        <v>-1702.8432594065621</v>
      </c>
      <c r="I11" s="405">
        <f t="shared" ca="1" si="7"/>
        <v>-1966.7002872314306</v>
      </c>
      <c r="J11" s="405">
        <f t="shared" ca="1" si="7"/>
        <v>-2285.7625748310688</v>
      </c>
      <c r="K11" s="405">
        <f ca="1">K10*K26/100</f>
        <v>-3871.2275175234181</v>
      </c>
      <c r="L11" s="413">
        <f ca="1">AVERAGE(B11:K11)</f>
        <v>-1670.7824617056278</v>
      </c>
      <c r="P11" s="50" t="s">
        <v>1164</v>
      </c>
      <c r="Q11" s="28" t="s">
        <v>360</v>
      </c>
      <c r="R11" s="28" t="s">
        <v>359</v>
      </c>
      <c r="S11" s="28" t="s">
        <v>360</v>
      </c>
      <c r="T11" s="28">
        <f>' LR Products'!J20</f>
        <v>1.25</v>
      </c>
      <c r="U11" s="28">
        <v>3.45</v>
      </c>
      <c r="Y11" s="28">
        <v>11422.569</v>
      </c>
      <c r="Z11" s="28">
        <f t="shared" si="3"/>
        <v>8.5798798841062824E-4</v>
      </c>
      <c r="AB11" s="28">
        <f t="shared" si="2"/>
        <v>0.72008831061393097</v>
      </c>
      <c r="AE11" s="50" t="s">
        <v>1795</v>
      </c>
      <c r="AF11" s="28" cm="1">
        <f t="array" ref="AF11">SUMPRODUCT($AB$2:$AB$66,$Z$2:$Z$66,IF($P$2:$P$66=AE11,1,0))/SUMPRODUCT($Z$2:$Z$66,IF($P$2:$P$66=AE11,1,0))</f>
        <v>0.72022502956221413</v>
      </c>
      <c r="AG11" s="64" cm="1">
        <f t="array" ref="AG11">SUMPRODUCT($AC$2:$AC$66,$Z$2:$Z$66,IF($P$2:$P$66=AE11,1,0))/SUMPRODUCT($Z$2:$Z$66,IF($P$2:$P$66=AE11,1,0))</f>
        <v>0</v>
      </c>
      <c r="AH11" s="50"/>
      <c r="AI11" s="50"/>
      <c r="AJ11" s="50"/>
      <c r="AK11" s="50"/>
      <c r="AS11" s="28" t="s">
        <v>1796</v>
      </c>
      <c r="AT11" s="50" t="s">
        <v>1795</v>
      </c>
      <c r="AU11" s="28">
        <f ca="1"/>
        <v>8.2068965517241388</v>
      </c>
      <c r="AV11" s="28">
        <f ca="1"/>
        <v>9.1539801134767718</v>
      </c>
      <c r="AW11" s="28">
        <f ca="1"/>
        <v>8.323312709066661</v>
      </c>
      <c r="AX11" s="28">
        <f ca="1"/>
        <v>7.9964715808851734</v>
      </c>
      <c r="AY11" s="28">
        <f ca="1"/>
        <v>7.1985425659374025</v>
      </c>
      <c r="AZ11" s="28">
        <f ca="1"/>
        <v>6.6466809421841546</v>
      </c>
      <c r="BA11" s="28">
        <f ca="1"/>
        <v>6.3393714235847058</v>
      </c>
      <c r="BB11" s="28">
        <f ca="1"/>
        <v>5.6638704683806456</v>
      </c>
      <c r="BC11" s="28">
        <f ca="1"/>
        <v>4.9755664149266989</v>
      </c>
      <c r="BD11" s="28">
        <f ca="1"/>
        <v>3.8128326270483188</v>
      </c>
    </row>
    <row r="12" spans="1:290">
      <c r="A12" s="402"/>
      <c r="B12" s="51">
        <f t="shared" ref="B12:K12" ca="1" si="8">B8/100*B26</f>
        <v>-469.49024521932529</v>
      </c>
      <c r="C12" s="51">
        <f t="shared" ca="1" si="8"/>
        <v>-704.62876613358185</v>
      </c>
      <c r="D12" s="51">
        <f t="shared" ca="1" si="8"/>
        <v>-910.34362753538801</v>
      </c>
      <c r="E12" s="51">
        <f t="shared" ca="1" si="8"/>
        <v>-1031.2096102418025</v>
      </c>
      <c r="F12" s="51">
        <f t="shared" ca="1" si="8"/>
        <v>-1246.4204912280939</v>
      </c>
      <c r="G12" s="51">
        <f t="shared" ca="1" si="8"/>
        <v>-1468.8057330921265</v>
      </c>
      <c r="H12" s="51">
        <f t="shared" ca="1" si="8"/>
        <v>-1760.6769202370331</v>
      </c>
      <c r="I12" s="51">
        <f t="shared" ca="1" si="8"/>
        <v>-2067.3786178866203</v>
      </c>
      <c r="J12" s="51">
        <f t="shared" ca="1" si="8"/>
        <v>-2603.7930947284303</v>
      </c>
      <c r="K12" s="51">
        <f t="shared" ca="1" si="8"/>
        <v>-5992.0756593599435</v>
      </c>
      <c r="L12" s="413">
        <f ca="1">AVERAGE(B12:K12)</f>
        <v>-1825.4822765662345</v>
      </c>
      <c r="M12" s="417">
        <f ca="1">L11/L12-1</f>
        <v>-8.4744627130316386E-2</v>
      </c>
      <c r="P12" s="28" t="s">
        <v>395</v>
      </c>
      <c r="Q12" s="28" t="s">
        <v>363</v>
      </c>
      <c r="R12" s="28" t="s">
        <v>362</v>
      </c>
      <c r="S12" s="28" t="s">
        <v>363</v>
      </c>
      <c r="T12" s="28">
        <f>' LR Products'!J21</f>
        <v>1.57</v>
      </c>
      <c r="U12" s="28">
        <v>2.82</v>
      </c>
      <c r="Y12" s="28">
        <v>2577.8000000000002</v>
      </c>
      <c r="Z12" s="28">
        <f t="shared" si="3"/>
        <v>1.9362732118535837E-4</v>
      </c>
      <c r="AB12" s="28">
        <f t="shared" si="2"/>
        <v>0.90443091813109722</v>
      </c>
      <c r="AE12" s="50" t="s">
        <v>1797</v>
      </c>
      <c r="AF12" s="28" cm="1">
        <f t="array" ref="AF12">SUMPRODUCT($AB$2:$AB$66,$Z$2:$Z$66,IF($P$2:$P$66=AE12,1,0))/SUMPRODUCT($Z$2:$Z$66,IF($P$2:$P$66=AE12,1,0))</f>
        <v>0.84682385328198273</v>
      </c>
      <c r="AG12" s="64" cm="1">
        <f t="array" ref="AG12">SUMPRODUCT($AC$2:$AC$66,$Z$2:$Z$66,IF($P$2:$P$66=AE12,1,0))/SUMPRODUCT($Z$2:$Z$66,IF($P$2:$P$66=AE12,1,0))</f>
        <v>0</v>
      </c>
      <c r="AH12" s="50"/>
      <c r="AI12" s="50"/>
      <c r="AJ12" s="50"/>
      <c r="AK12" s="50"/>
      <c r="AS12" s="28" t="s">
        <v>1798</v>
      </c>
      <c r="AT12" s="50" t="s">
        <v>1797</v>
      </c>
      <c r="AU12" s="28">
        <f ca="1"/>
        <v>3.5141065830721003</v>
      </c>
      <c r="AV12" s="28">
        <f ca="1"/>
        <v>3.7132745351384755</v>
      </c>
      <c r="AW12" s="28">
        <f ca="1"/>
        <v>3.8479197184022387</v>
      </c>
      <c r="AX12" s="28">
        <f ca="1"/>
        <v>3.7968857866073482</v>
      </c>
      <c r="AY12" s="28">
        <f ca="1"/>
        <v>3.5418273728438017</v>
      </c>
      <c r="AZ12" s="28">
        <f ca="1"/>
        <v>3.8044254104211279</v>
      </c>
      <c r="BA12" s="28">
        <f ca="1"/>
        <v>3.9731714310647899</v>
      </c>
      <c r="BB12" s="28">
        <f ca="1"/>
        <v>3.8282116185176664</v>
      </c>
      <c r="BC12" s="28">
        <f ca="1"/>
        <v>3.7291602055271031</v>
      </c>
      <c r="BD12" s="28">
        <f ca="1"/>
        <v>3.8853052147069564</v>
      </c>
      <c r="BR12" s="54"/>
    </row>
    <row r="13" spans="1:290">
      <c r="A13" s="402"/>
      <c r="B13" s="51"/>
      <c r="C13" s="51"/>
      <c r="D13" s="51"/>
      <c r="E13" s="51"/>
      <c r="F13" s="51"/>
      <c r="G13" s="51"/>
      <c r="H13" s="51"/>
      <c r="I13" s="51"/>
      <c r="J13" s="51"/>
      <c r="K13" s="51"/>
      <c r="P13" s="28" t="s">
        <v>1799</v>
      </c>
      <c r="Q13" s="52" t="s">
        <v>366</v>
      </c>
      <c r="R13" s="52" t="s">
        <v>365</v>
      </c>
      <c r="S13" s="28" t="s">
        <v>366</v>
      </c>
      <c r="T13" s="28">
        <f>' LR Products'!J22</f>
        <v>6.6</v>
      </c>
      <c r="U13" s="28">
        <v>15.68</v>
      </c>
      <c r="W13" s="52"/>
      <c r="X13" s="52"/>
      <c r="Y13" s="28">
        <v>499.17599999999999</v>
      </c>
      <c r="Z13" s="28">
        <f t="shared" si="3"/>
        <v>3.7494806299954399E-5</v>
      </c>
      <c r="AB13" s="28">
        <f t="shared" si="2"/>
        <v>3.8020662800415552</v>
      </c>
      <c r="AE13" s="28" t="s">
        <v>1800</v>
      </c>
      <c r="AF13" s="28" cm="1">
        <f t="array" ref="AF13">SUMPRODUCT($AB$2:$AB$66,$Z$2:$Z$66,IF($P$2:$P$66=AE13,1,0))/SUMPRODUCT($Z$2:$Z$66,IF($P$2:$P$66=AE13,1,0))</f>
        <v>2.7435339135364192</v>
      </c>
      <c r="AG13" s="64" cm="1">
        <f t="array" ref="AG13">SUMPRODUCT($AC$2:$AC$66,$Z$2:$Z$66,IF($P$2:$P$66=AE13,1,0))/SUMPRODUCT($Z$2:$Z$66,IF($P$2:$P$66=AE13,1,0))</f>
        <v>0</v>
      </c>
      <c r="AS13" s="28" t="s">
        <v>1801</v>
      </c>
      <c r="AT13" s="28" t="s">
        <v>1800</v>
      </c>
      <c r="AU13" s="28">
        <f ca="1"/>
        <v>1.5172413793103448</v>
      </c>
      <c r="AV13" s="28">
        <f ca="1"/>
        <v>1.3454300320206729</v>
      </c>
      <c r="AW13" s="28">
        <f ca="1"/>
        <v>1.469205710662673</v>
      </c>
      <c r="AX13" s="28">
        <f ca="1"/>
        <v>1.3576743115747487</v>
      </c>
      <c r="AY13" s="28">
        <f ca="1"/>
        <v>1.0996405652480756</v>
      </c>
      <c r="AZ13" s="28">
        <f ca="1"/>
        <v>1.1291934332619558</v>
      </c>
      <c r="BA13" s="28">
        <f ca="1"/>
        <v>1.0771321356887287</v>
      </c>
      <c r="BB13" s="28">
        <f ca="1"/>
        <v>1.0679246072422233</v>
      </c>
      <c r="BC13" s="28">
        <f ca="1"/>
        <v>0.93962431791321255</v>
      </c>
      <c r="BD13" s="28">
        <f ca="1"/>
        <v>0.75902587990573034</v>
      </c>
    </row>
    <row r="14" spans="1:290">
      <c r="A14" s="402" t="s">
        <v>1802</v>
      </c>
      <c r="B14" s="51">
        <v>1.9589282210000001</v>
      </c>
      <c r="C14" s="61">
        <v>1.2962785429999999</v>
      </c>
      <c r="D14" s="61">
        <v>1.1821674579999999</v>
      </c>
      <c r="E14" s="61">
        <v>1.0798789820000001</v>
      </c>
      <c r="F14" s="61">
        <v>1.0735159329999999</v>
      </c>
      <c r="G14" s="61">
        <v>1.035116932</v>
      </c>
      <c r="H14" s="61">
        <v>0.96715259899999995</v>
      </c>
      <c r="I14" s="61">
        <v>0.95130145499999996</v>
      </c>
      <c r="J14" s="61">
        <v>0.87785875899999999</v>
      </c>
      <c r="K14" s="61">
        <v>0.64605785000000004</v>
      </c>
      <c r="P14" s="28" t="s">
        <v>1803</v>
      </c>
      <c r="Q14" s="28" t="s">
        <v>369</v>
      </c>
      <c r="R14" s="28" t="s">
        <v>368</v>
      </c>
      <c r="S14" s="28" t="s">
        <v>369</v>
      </c>
      <c r="T14" s="28">
        <f>' LR Products'!J23</f>
        <v>1.72</v>
      </c>
      <c r="U14" s="28">
        <v>2.94</v>
      </c>
      <c r="Y14" s="28">
        <v>593.053</v>
      </c>
      <c r="Z14" s="28">
        <f t="shared" si="3"/>
        <v>4.4546226903150101E-5</v>
      </c>
      <c r="AB14" s="28">
        <f t="shared" si="2"/>
        <v>0.99084151540476884</v>
      </c>
      <c r="AE14" s="28" t="s">
        <v>1803</v>
      </c>
      <c r="AF14" s="28" cm="1">
        <f t="array" ref="AF14">SUMPRODUCT($AB$2:$AB$66,$Z$2:$Z$66,IF($P$2:$P$66=AE14,1,0))/SUMPRODUCT($Z$2:$Z$66,IF($P$2:$P$66=AE14,1,0))</f>
        <v>3.8534438961254822</v>
      </c>
      <c r="AG14" s="64" cm="1">
        <f t="array" ref="AG14">SUMPRODUCT($AC$2:$AC$66,$Z$2:$Z$66,IF($P$2:$P$66=AE14,1,0))/SUMPRODUCT($Z$2:$Z$66,IF($P$2:$P$66=AE14,1,0))</f>
        <v>0</v>
      </c>
      <c r="AS14" s="28" t="s">
        <v>1804</v>
      </c>
      <c r="AT14" s="28" t="s">
        <v>1803</v>
      </c>
      <c r="AU14" s="28">
        <f ca="1"/>
        <v>2.8025078369905958</v>
      </c>
      <c r="AV14" s="28">
        <f ca="1"/>
        <v>2.9942138082130216</v>
      </c>
      <c r="AW14" s="28">
        <f ca="1"/>
        <v>3.1439253153763747</v>
      </c>
      <c r="AX14" s="28">
        <f ca="1"/>
        <v>3.1890005369333436</v>
      </c>
      <c r="AY14" s="28">
        <f ca="1"/>
        <v>2.8689129970949794</v>
      </c>
      <c r="AZ14" s="28">
        <f ca="1"/>
        <v>3.336188436830835</v>
      </c>
      <c r="BA14" s="28">
        <f ca="1"/>
        <v>3.641554361512473</v>
      </c>
      <c r="BB14" s="28">
        <f ca="1"/>
        <v>3.2288768487333432</v>
      </c>
      <c r="BC14" s="28">
        <f ca="1"/>
        <v>3.4760232349563718</v>
      </c>
      <c r="BD14" s="28">
        <f ca="1"/>
        <v>3.1882406311200611</v>
      </c>
    </row>
    <row r="15" spans="1:290">
      <c r="P15" s="50" t="s">
        <v>1164</v>
      </c>
      <c r="Q15" s="28" t="s">
        <v>372</v>
      </c>
      <c r="R15" s="28" t="s">
        <v>371</v>
      </c>
      <c r="S15" s="28" t="s">
        <v>372</v>
      </c>
      <c r="T15" s="28">
        <f>' LR Products'!J24</f>
        <v>3.07</v>
      </c>
      <c r="U15" s="28">
        <v>6.8</v>
      </c>
      <c r="Y15" s="28">
        <v>4438.9219999999996</v>
      </c>
      <c r="Z15" s="28">
        <f t="shared" si="3"/>
        <v>3.3342252145657274E-4</v>
      </c>
      <c r="AB15" s="28">
        <f t="shared" si="2"/>
        <v>1.7685368908678143</v>
      </c>
      <c r="AE15" s="28" t="s">
        <v>1799</v>
      </c>
      <c r="AF15" s="28" cm="1">
        <f t="array" ref="AF15">SUMPRODUCT($AB$2:$AB$66,$Z$2:$Z$66,IF($P$2:$P$66=AE15,1,0))/SUMPRODUCT($Z$2:$Z$66,IF($P$2:$P$66=AE15,1,0))</f>
        <v>8.3138413021505677</v>
      </c>
      <c r="AG15" s="64" cm="1">
        <f t="array" ref="AG15">SUMPRODUCT($AC$2:$AC$66,$Z$2:$Z$66,IF($P$2:$P$66=AE15,1,0))/SUMPRODUCT($Z$2:$Z$66,IF($P$2:$P$66=AE15,1,0))</f>
        <v>0</v>
      </c>
      <c r="AS15" s="28" t="s">
        <v>1805</v>
      </c>
      <c r="AT15" s="28" t="s">
        <v>1799</v>
      </c>
      <c r="AU15" s="28">
        <f ca="1"/>
        <v>3.2163009404388716</v>
      </c>
      <c r="AV15" s="28">
        <f ca="1"/>
        <v>2.3846974889051178</v>
      </c>
      <c r="AW15" s="28">
        <f ca="1"/>
        <v>2.6060910820087888</v>
      </c>
      <c r="AX15" s="28">
        <f ca="1"/>
        <v>2.4986576666410985</v>
      </c>
      <c r="AY15" s="28">
        <f ca="1"/>
        <v>2.1812273301711826</v>
      </c>
      <c r="AZ15" s="28">
        <f ca="1"/>
        <v>2.7865810135617415</v>
      </c>
      <c r="BA15" s="28">
        <f ca="1"/>
        <v>2.8686123196988018</v>
      </c>
      <c r="BB15" s="28">
        <f ca="1"/>
        <v>2.7948036734096187</v>
      </c>
      <c r="BC15" s="28">
        <f ca="1"/>
        <v>2.5221494849249391</v>
      </c>
      <c r="BD15" s="28">
        <f ca="1"/>
        <v>2.6366744487104303</v>
      </c>
    </row>
    <row r="16" spans="1:290" ht="15" thickBot="1">
      <c r="A16" s="28" t="s">
        <v>1806</v>
      </c>
      <c r="P16" s="50" t="s">
        <v>1795</v>
      </c>
      <c r="Q16" s="28" t="s">
        <v>375</v>
      </c>
      <c r="R16" s="28" t="s">
        <v>374</v>
      </c>
      <c r="S16" s="28" t="s">
        <v>375</v>
      </c>
      <c r="T16" s="28">
        <f>' LR Products'!J25</f>
        <v>0.47</v>
      </c>
      <c r="U16" s="28">
        <v>1.1000000000000001</v>
      </c>
      <c r="Y16" s="28">
        <v>16.187000000000001</v>
      </c>
      <c r="Z16" s="28">
        <f t="shared" si="3"/>
        <v>1.2158605974192707E-6</v>
      </c>
      <c r="AB16" s="28">
        <f t="shared" si="2"/>
        <v>0.27075320479083803</v>
      </c>
      <c r="AE16" s="28" t="s">
        <v>1807</v>
      </c>
      <c r="AF16" s="28" cm="1">
        <f t="array" ref="AF16">SUMPRODUCT($AB$2:$AB$66,$Z$2:$Z$66,IF($P$2:$P$66=AE16,1,0))/SUMPRODUCT($Z$2:$Z$66,IF($P$2:$P$66=AE16,1,0))</f>
        <v>3.2321103572483465</v>
      </c>
      <c r="AG16" s="64" cm="1">
        <f t="array" ref="AG16">SUMPRODUCT($AC$2:$AC$66,$Z$2:$Z$66,IF($P$2:$P$66=AE16,1,0))/SUMPRODUCT($Z$2:$Z$66,IF($P$2:$P$66=AE16,1,0))</f>
        <v>0</v>
      </c>
      <c r="AS16" s="28" t="s">
        <v>1808</v>
      </c>
      <c r="AT16" s="28" t="s">
        <v>1807</v>
      </c>
      <c r="AU16" s="28">
        <f ca="1"/>
        <v>14.774294670846395</v>
      </c>
      <c r="AV16" s="28">
        <f ca="1"/>
        <v>14.372788045615415</v>
      </c>
      <c r="AW16" s="28">
        <f ca="1"/>
        <v>16.224666039922166</v>
      </c>
      <c r="AX16" s="28">
        <f ca="1"/>
        <v>15.732146966326608</v>
      </c>
      <c r="AY16" s="28">
        <f ca="1"/>
        <v>18.7989299020171</v>
      </c>
      <c r="AZ16" s="28">
        <f ca="1"/>
        <v>17.651677373304782</v>
      </c>
      <c r="BA16" s="28">
        <f ca="1"/>
        <v>18.419707528704823</v>
      </c>
      <c r="BB16" s="28">
        <f ca="1"/>
        <v>17.83256280986549</v>
      </c>
      <c r="BC16" s="28">
        <f ca="1"/>
        <v>18.126954058154446</v>
      </c>
      <c r="BD16" s="28">
        <f ca="1"/>
        <v>15.997078967459254</v>
      </c>
    </row>
    <row r="17" spans="1:56">
      <c r="A17" s="175" t="s">
        <v>1809</v>
      </c>
      <c r="B17" s="176">
        <v>1</v>
      </c>
      <c r="C17" s="176">
        <v>2</v>
      </c>
      <c r="D17" s="176">
        <v>3</v>
      </c>
      <c r="E17" s="176">
        <v>4</v>
      </c>
      <c r="F17" s="176">
        <v>5</v>
      </c>
      <c r="G17" s="176">
        <v>6</v>
      </c>
      <c r="H17" s="176">
        <v>7</v>
      </c>
      <c r="I17" s="176">
        <v>8</v>
      </c>
      <c r="J17" s="176">
        <v>9</v>
      </c>
      <c r="K17" s="177">
        <v>10</v>
      </c>
      <c r="P17" s="50" t="s">
        <v>1795</v>
      </c>
      <c r="Q17" s="28" t="s">
        <v>378</v>
      </c>
      <c r="R17" s="28" t="s">
        <v>377</v>
      </c>
      <c r="S17" s="28" t="s">
        <v>378</v>
      </c>
      <c r="T17" s="28">
        <f>' LR Products'!J26</f>
        <v>0.38</v>
      </c>
      <c r="U17" s="28">
        <v>0.52</v>
      </c>
      <c r="Y17" s="28">
        <v>0.104</v>
      </c>
      <c r="Z17" s="28">
        <f t="shared" si="3"/>
        <v>7.8117935461545766E-9</v>
      </c>
      <c r="AB17" s="28">
        <f t="shared" si="2"/>
        <v>0.21890684642663502</v>
      </c>
      <c r="AE17" s="28" t="s">
        <v>1810</v>
      </c>
      <c r="AF17" s="28" cm="1">
        <f t="array" ref="AF17">SUMPRODUCT($AB$2:$AB$66,$Z$2:$Z$66,IF($P$2:$P$66=AE17,1,0))/SUMPRODUCT($Z$2:$Z$66,IF($P$2:$P$66=AE17,1,0))</f>
        <v>0.59911347443079055</v>
      </c>
      <c r="AG17" s="64" cm="1">
        <f t="array" ref="AG17">SUMPRODUCT($AC$2:$AC$66,$Z$2:$Z$66,IF($P$2:$P$66=AE17,1,0))/SUMPRODUCT($Z$2:$Z$66,IF($P$2:$P$66=AE17,1,0))</f>
        <v>0</v>
      </c>
      <c r="AS17" s="28" t="s">
        <v>1811</v>
      </c>
      <c r="AT17" s="28" t="s">
        <v>1810</v>
      </c>
      <c r="AU17" s="28">
        <f ca="1"/>
        <v>8.6551724137931032</v>
      </c>
      <c r="AV17" s="28">
        <f ca="1"/>
        <v>12.086399640469637</v>
      </c>
      <c r="AW17" s="28">
        <f ca="1"/>
        <v>9.7575373313802221</v>
      </c>
      <c r="AX17" s="28">
        <f ca="1"/>
        <v>10.029147810079007</v>
      </c>
      <c r="AY17" s="28">
        <f ca="1"/>
        <v>9.0564427448341505</v>
      </c>
      <c r="AZ17" s="28">
        <f ca="1"/>
        <v>8.5481798715203432</v>
      </c>
      <c r="BA17" s="28">
        <f ca="1"/>
        <v>8.214379215339159</v>
      </c>
      <c r="BB17" s="28">
        <f ca="1"/>
        <v>7.7704328180239735</v>
      </c>
      <c r="BC17" s="28">
        <f ca="1"/>
        <v>6.875770097985801</v>
      </c>
      <c r="BD17" s="28">
        <f ca="1"/>
        <v>6.1164651080450101</v>
      </c>
    </row>
    <row r="18" spans="1:56" ht="15" thickBot="1">
      <c r="A18" s="406" t="s">
        <v>1812</v>
      </c>
      <c r="B18" s="178">
        <f ca="1">B10</f>
        <v>-2.4459394453454606</v>
      </c>
      <c r="C18" s="178">
        <f t="shared" ref="C18:J18" ca="1" si="9">C10</f>
        <v>-1.5096691904856405</v>
      </c>
      <c r="D18" s="178">
        <f t="shared" ca="1" si="9"/>
        <v>-1.4569928273560624</v>
      </c>
      <c r="E18" s="178">
        <f ca="1">E10</f>
        <v>-1.2936438751135959</v>
      </c>
      <c r="F18" s="178">
        <f t="shared" ca="1" si="9"/>
        <v>-1.3254078655140413</v>
      </c>
      <c r="G18" s="178">
        <f t="shared" ca="1" si="9"/>
        <v>-1.3063191629153881</v>
      </c>
      <c r="H18" s="178">
        <f t="shared" ca="1" si="9"/>
        <v>-1.2447684644784811</v>
      </c>
      <c r="I18" s="178">
        <f t="shared" ca="1" si="9"/>
        <v>-1.1999025577202835</v>
      </c>
      <c r="J18" s="178">
        <f t="shared" ca="1" si="9"/>
        <v>-1.1005327858172853</v>
      </c>
      <c r="K18" s="178">
        <f ca="1">K10</f>
        <v>-0.77402568021150353</v>
      </c>
      <c r="M18" s="28">
        <f ca="1">B18/K18</f>
        <v>3.1600236372998691</v>
      </c>
      <c r="P18" s="50" t="s">
        <v>1795</v>
      </c>
      <c r="Q18" s="28" t="s">
        <v>381</v>
      </c>
      <c r="R18" s="28" t="s">
        <v>380</v>
      </c>
      <c r="S18" s="28" t="s">
        <v>381</v>
      </c>
      <c r="T18" s="28">
        <f>' LR Products'!J27</f>
        <v>0.8</v>
      </c>
      <c r="U18" s="28">
        <v>0.38</v>
      </c>
      <c r="Y18" s="28">
        <v>61.226999999999997</v>
      </c>
      <c r="Z18" s="28">
        <f t="shared" si="3"/>
        <v>4.5989681101000609E-6</v>
      </c>
      <c r="AB18" s="28">
        <f t="shared" si="2"/>
        <v>0.46085651879291584</v>
      </c>
      <c r="AE18" s="28" t="s">
        <v>1813</v>
      </c>
      <c r="AF18" s="28" cm="1">
        <f t="array" ref="AF18">SUMPRODUCT($AB$2:$AB$66,$Z$2:$Z$66,IF($P$2:$P$66=AE18,1,0))/SUMPRODUCT($Z$2:$Z$66,IF($P$2:$P$66=AE18,1,0))</f>
        <v>1.5750032355995454</v>
      </c>
      <c r="AG18" s="64" cm="1">
        <f t="array" ref="AG18">SUMPRODUCT($AC$2:$AC$66,$Z$2:$Z$66,IF($P$2:$P$66=AE18,1,0))/SUMPRODUCT($Z$2:$Z$66,IF($P$2:$P$66=AE18,1,0))</f>
        <v>0</v>
      </c>
      <c r="AS18" s="28" t="s">
        <v>1814</v>
      </c>
      <c r="AT18" s="28" t="s">
        <v>1813</v>
      </c>
      <c r="AU18" s="28">
        <f ca="1"/>
        <v>4.5987460815047019</v>
      </c>
      <c r="AV18" s="28">
        <f ca="1"/>
        <v>3.9941576315937306</v>
      </c>
      <c r="AW18" s="28">
        <f ca="1"/>
        <v>4.9935503618356325</v>
      </c>
      <c r="AX18" s="28">
        <f ca="1"/>
        <v>4.1880800797729538</v>
      </c>
      <c r="AY18" s="28">
        <f ca="1"/>
        <v>3.9455759982930951</v>
      </c>
      <c r="AZ18" s="28">
        <f ca="1"/>
        <v>4.3297644539614559</v>
      </c>
      <c r="BA18" s="28">
        <f ca="1"/>
        <v>4.206300724321494</v>
      </c>
      <c r="BB18" s="28">
        <f ca="1"/>
        <v>4.5666589962973037</v>
      </c>
      <c r="BC18" s="28">
        <f ca="1"/>
        <v>5.0250203263958158</v>
      </c>
      <c r="BD18" s="28">
        <f ca="1"/>
        <v>5.4182940727381359</v>
      </c>
    </row>
    <row r="19" spans="1:56">
      <c r="A19" s="402"/>
      <c r="B19" s="51"/>
      <c r="C19" s="61"/>
      <c r="D19" s="61"/>
      <c r="E19" s="61"/>
      <c r="F19" s="61"/>
      <c r="G19" s="61"/>
      <c r="H19" s="61"/>
      <c r="I19" s="61"/>
      <c r="J19" s="61"/>
      <c r="K19" s="61"/>
      <c r="N19" s="49"/>
      <c r="P19" s="50" t="s">
        <v>1795</v>
      </c>
      <c r="Q19" s="28" t="s">
        <v>384</v>
      </c>
      <c r="R19" s="28" t="s">
        <v>383</v>
      </c>
      <c r="S19" s="28" t="s">
        <v>384</v>
      </c>
      <c r="T19" s="28">
        <f>' LR Products'!J28</f>
        <v>1.01</v>
      </c>
      <c r="U19" s="28">
        <v>1.23</v>
      </c>
      <c r="Y19" s="28">
        <v>260.47500000000002</v>
      </c>
      <c r="Z19" s="28">
        <f t="shared" si="3"/>
        <v>1.9565162730140516E-5</v>
      </c>
      <c r="AB19" s="28">
        <f t="shared" si="2"/>
        <v>0.5818313549760562</v>
      </c>
      <c r="AE19" s="28" t="s">
        <v>517</v>
      </c>
      <c r="AF19" s="28" cm="1">
        <f t="array" ref="AF19">SUMPRODUCT($AB$2:$AB$66,$Z$2:$Z$66,IF($P$2:$P$66=AE19,1,0))/SUMPRODUCT($Z$2:$Z$66,IF($P$2:$P$66=AE19,1,0))</f>
        <v>0.75465254952339966</v>
      </c>
      <c r="AG19" s="64" cm="1">
        <f t="array" ref="AG19">SUMPRODUCT($AC$2:$AC$66,$Z$2:$Z$66,IF($P$2:$P$66=AE19,1,0))/SUMPRODUCT($Z$2:$Z$66,IF($P$2:$P$66=AE19,1,0))</f>
        <v>0</v>
      </c>
      <c r="AR19" s="28" t="s">
        <v>1815</v>
      </c>
      <c r="AS19" s="28" t="s">
        <v>1816</v>
      </c>
      <c r="AT19" s="28" t="s">
        <v>517</v>
      </c>
      <c r="AU19" s="28">
        <f ca="1"/>
        <v>2.6192854151229099</v>
      </c>
      <c r="AV19" s="28">
        <f ca="1"/>
        <v>1.1496088136675715</v>
      </c>
      <c r="AW19" s="28">
        <f ca="1"/>
        <v>1.0157054006890689</v>
      </c>
      <c r="AX19" s="28">
        <f ca="1"/>
        <v>1.2502876428626217</v>
      </c>
      <c r="AY19" s="28">
        <f ca="1"/>
        <v>1.4607165717474437</v>
      </c>
      <c r="AZ19" s="28">
        <f ca="1"/>
        <v>1.8087080656673804</v>
      </c>
      <c r="BA19" s="28">
        <f ca="1"/>
        <v>1.1469462555944796</v>
      </c>
      <c r="BB19" s="28">
        <f ca="1"/>
        <v>1.4978139447315022</v>
      </c>
      <c r="BC19" s="28">
        <f ca="1"/>
        <v>1.7308869014190758</v>
      </c>
      <c r="BD19" s="28">
        <f ca="1"/>
        <v>4.124852012082453</v>
      </c>
    </row>
    <row r="20" spans="1:56">
      <c r="A20" s="402"/>
      <c r="B20" s="51"/>
      <c r="C20" s="61"/>
      <c r="D20" s="61"/>
      <c r="E20" s="61"/>
      <c r="F20" s="61"/>
      <c r="G20" s="61"/>
      <c r="H20" s="61"/>
      <c r="I20" s="61"/>
      <c r="J20" s="61"/>
      <c r="K20" s="61"/>
      <c r="P20" s="50" t="s">
        <v>1164</v>
      </c>
      <c r="Q20" s="28" t="s">
        <v>387</v>
      </c>
      <c r="R20" s="28" t="s">
        <v>386</v>
      </c>
      <c r="S20" s="28" t="s">
        <v>387</v>
      </c>
      <c r="T20" s="28">
        <f>' LR Products'!J29</f>
        <v>1.32</v>
      </c>
      <c r="U20" s="28">
        <v>3.16</v>
      </c>
      <c r="Y20" s="28">
        <v>72995.005999999994</v>
      </c>
      <c r="Z20" s="28">
        <f t="shared" si="3"/>
        <v>5.4829030458876408E-3</v>
      </c>
      <c r="AB20" s="28">
        <f t="shared" si="2"/>
        <v>0.76041325600831111</v>
      </c>
      <c r="AE20" s="50" t="s">
        <v>1817</v>
      </c>
      <c r="AF20" s="28" cm="1">
        <f t="array" ref="AF20">SUMPRODUCT($AB$2:$AB$66,$Z$2:$Z$66,IF($P$2:$P$66=AE20,1,0))/SUMPRODUCT($Z$2:$Z$66,IF($P$2:$P$66=AE20,1,0))</f>
        <v>0.86433660460163331</v>
      </c>
      <c r="AG20" s="64" cm="1">
        <f t="array" ref="AG20">SUMPRODUCT($AC$2:$AC$66,$Z$2:$Z$66,IF($P$2:$P$66=AE20,1,0))/SUMPRODUCT($Z$2:$Z$66,IF($P$2:$P$66=AE20,1,0))</f>
        <v>0</v>
      </c>
      <c r="AH20" s="50"/>
      <c r="AI20" s="50"/>
      <c r="AJ20" s="50"/>
      <c r="AK20" s="50"/>
      <c r="AT20" s="50" t="s">
        <v>1817</v>
      </c>
      <c r="AU20" s="28">
        <f ca="1"/>
        <v>1.1849529780564263</v>
      </c>
      <c r="AV20" s="28">
        <f ca="1"/>
        <v>1.3426212010561205</v>
      </c>
      <c r="AW20" s="28">
        <f ca="1"/>
        <v>1.6200616541682153</v>
      </c>
      <c r="AX20" s="28">
        <f ca="1"/>
        <v>1.4650638617580767</v>
      </c>
      <c r="AY20" s="28">
        <f ca="1"/>
        <v>1.8447701422967717</v>
      </c>
      <c r="AZ20" s="28">
        <f ca="1"/>
        <v>1.5060670949321913</v>
      </c>
      <c r="BA20" s="28">
        <f ca="1"/>
        <v>1.3838155909889918</v>
      </c>
      <c r="BB20" s="28">
        <f ca="1"/>
        <v>1.4957220258142794</v>
      </c>
      <c r="BC20" s="28">
        <f ca="1"/>
        <v>1.5196600253136971</v>
      </c>
      <c r="BD20" s="28">
        <f ca="1"/>
        <v>1.3266356122550593</v>
      </c>
    </row>
    <row r="21" spans="1:56" ht="15" thickBot="1">
      <c r="A21" s="28" t="s">
        <v>1818</v>
      </c>
      <c r="M21" s="49"/>
      <c r="P21" s="50" t="s">
        <v>1164</v>
      </c>
      <c r="Q21" s="28" t="s">
        <v>390</v>
      </c>
      <c r="R21" s="28" t="s">
        <v>389</v>
      </c>
      <c r="S21" s="28" t="s">
        <v>390</v>
      </c>
      <c r="T21" s="28">
        <f>' LR Products'!J30</f>
        <v>1.41</v>
      </c>
      <c r="U21" s="28">
        <v>2.78</v>
      </c>
      <c r="Y21" s="28">
        <v>58288.163999999997</v>
      </c>
      <c r="Z21" s="28">
        <f t="shared" si="3"/>
        <v>4.3782221476192269E-3</v>
      </c>
      <c r="AB21" s="28">
        <f t="shared" si="2"/>
        <v>0.81225961437251404</v>
      </c>
      <c r="AE21" s="50" t="s">
        <v>1819</v>
      </c>
      <c r="AF21" s="28" cm="1">
        <f t="array" ref="AF21">SUMPRODUCT($AB$2:$AB$66,$Z$2:$Z$66,IF($P$2:$P$66=AE21,1,0))/SUMPRODUCT($Z$2:$Z$66,IF($P$2:$P$66=AE21,1,0))</f>
        <v>0.68800584381883512</v>
      </c>
      <c r="AG21" s="64" cm="1">
        <f t="array" ref="AG21">SUMPRODUCT($AC$2:$AC$66,$Z$2:$Z$66,IF($P$2:$P$66=AE21,1,0))/SUMPRODUCT($Z$2:$Z$66,IF($P$2:$P$66=AE21,1,0))</f>
        <v>0</v>
      </c>
      <c r="AT21" s="50" t="s">
        <v>1819</v>
      </c>
      <c r="AU21" s="28">
        <f ca="1"/>
        <v>1.4231974921630095</v>
      </c>
      <c r="AV21" s="28">
        <f ca="1"/>
        <v>2.7133307117577665</v>
      </c>
      <c r="AW21" s="28">
        <f ca="1"/>
        <v>4.3660770895734498</v>
      </c>
      <c r="AX21" s="28">
        <f ca="1"/>
        <v>6.1919920227046097</v>
      </c>
      <c r="AY21" s="28">
        <f ca="1"/>
        <v>7.835349341036288</v>
      </c>
      <c r="AZ21" s="28">
        <f ca="1"/>
        <v>10.152748037116346</v>
      </c>
      <c r="BA21" s="28">
        <f ca="1"/>
        <v>12.370812711156546</v>
      </c>
      <c r="BB21" s="28">
        <f ca="1"/>
        <v>14.461435474760998</v>
      </c>
      <c r="BC21" s="28">
        <f ca="1"/>
        <v>16.282071699789611</v>
      </c>
      <c r="BD21" s="28">
        <f ca="1"/>
        <v>18.673032452228949</v>
      </c>
    </row>
    <row r="22" spans="1:56">
      <c r="A22" s="175" t="s">
        <v>1809</v>
      </c>
      <c r="B22" s="176">
        <v>1</v>
      </c>
      <c r="C22" s="176">
        <v>2</v>
      </c>
      <c r="D22" s="176">
        <v>3</v>
      </c>
      <c r="E22" s="176">
        <v>4</v>
      </c>
      <c r="F22" s="176">
        <v>5</v>
      </c>
      <c r="G22" s="176">
        <v>6</v>
      </c>
      <c r="H22" s="176">
        <v>7</v>
      </c>
      <c r="I22" s="176">
        <v>8</v>
      </c>
      <c r="J22" s="176">
        <v>9</v>
      </c>
      <c r="K22" s="177">
        <v>10</v>
      </c>
      <c r="M22" s="402" t="s">
        <v>1820</v>
      </c>
      <c r="N22" s="402" t="s">
        <v>1821</v>
      </c>
      <c r="P22" s="28" t="s">
        <v>744</v>
      </c>
      <c r="Q22" s="28" t="s">
        <v>393</v>
      </c>
      <c r="R22" s="28" t="s">
        <v>392</v>
      </c>
      <c r="S22" s="28" t="s">
        <v>393</v>
      </c>
      <c r="T22" s="28">
        <f>' LR Products'!J31</f>
        <v>2.17</v>
      </c>
      <c r="U22" s="28">
        <v>5.0599999999999996</v>
      </c>
      <c r="Y22" s="28">
        <v>9794.3819999999996</v>
      </c>
      <c r="Z22" s="28">
        <f t="shared" si="3"/>
        <v>7.3568932784781312E-4</v>
      </c>
      <c r="AB22" s="28">
        <f t="shared" si="2"/>
        <v>1.2500733072257839</v>
      </c>
    </row>
    <row r="23" spans="1:56" ht="15" thickBot="1">
      <c r="A23" s="179" t="s">
        <v>1822</v>
      </c>
      <c r="B23" s="180">
        <f ca="1">B11</f>
        <v>-919.69769084434665</v>
      </c>
      <c r="C23" s="180">
        <f t="shared" ref="C23:K23" ca="1" si="10">C11</f>
        <v>-913.39515031952703</v>
      </c>
      <c r="D23" s="180">
        <f t="shared" ca="1" si="10"/>
        <v>-1076.1786120700083</v>
      </c>
      <c r="E23" s="180">
        <f t="shared" ca="1" si="10"/>
        <v>-1113.5815841365345</v>
      </c>
      <c r="F23" s="180">
        <f ca="1">F11</f>
        <v>-1338.0522565510453</v>
      </c>
      <c r="G23" s="180">
        <f t="shared" ca="1" si="10"/>
        <v>-1520.3856841423328</v>
      </c>
      <c r="H23" s="180">
        <f t="shared" ca="1" si="10"/>
        <v>-1702.8432594065621</v>
      </c>
      <c r="I23" s="180">
        <f t="shared" ca="1" si="10"/>
        <v>-1966.7002872314306</v>
      </c>
      <c r="J23" s="180">
        <f t="shared" ca="1" si="10"/>
        <v>-2285.7625748310688</v>
      </c>
      <c r="K23" s="180">
        <f t="shared" ca="1" si="10"/>
        <v>-3871.2275175234181</v>
      </c>
      <c r="M23" s="56">
        <f ca="1">AVERAGE(F23:G23)</f>
        <v>-1429.218970346689</v>
      </c>
      <c r="N23" s="201">
        <f ca="1">AVERAGE(B23:K23)</f>
        <v>-1670.7824617056278</v>
      </c>
      <c r="O23" s="49"/>
      <c r="P23" s="28" t="s">
        <v>395</v>
      </c>
      <c r="Q23" s="28" t="s">
        <v>396</v>
      </c>
      <c r="R23" s="28" t="s">
        <v>395</v>
      </c>
      <c r="S23" s="28" t="s">
        <v>396</v>
      </c>
      <c r="T23" s="28">
        <f>' LR Products'!J32</f>
        <v>2.06</v>
      </c>
      <c r="U23" s="28">
        <v>3.01</v>
      </c>
      <c r="Y23" s="28">
        <v>69568.212</v>
      </c>
      <c r="Z23" s="28">
        <f t="shared" si="3"/>
        <v>5.2255048992222441E-3</v>
      </c>
      <c r="AB23" s="28">
        <f t="shared" si="2"/>
        <v>1.1867055358917582</v>
      </c>
      <c r="AE23" s="28" t="s">
        <v>1823</v>
      </c>
    </row>
    <row r="24" spans="1:56">
      <c r="A24" s="402"/>
      <c r="C24" s="56"/>
      <c r="D24" s="56"/>
      <c r="E24" s="56"/>
      <c r="F24" s="56"/>
      <c r="G24" s="56"/>
      <c r="H24" s="56"/>
      <c r="I24" s="56"/>
      <c r="J24" s="56"/>
      <c r="K24" s="56"/>
      <c r="P24" s="28" t="s">
        <v>744</v>
      </c>
      <c r="Q24" s="28" t="s">
        <v>399</v>
      </c>
      <c r="R24" s="28" t="s">
        <v>398</v>
      </c>
      <c r="S24" s="28" t="s">
        <v>399</v>
      </c>
      <c r="T24" s="28">
        <f>' LR Products'!J33</f>
        <v>7.52</v>
      </c>
      <c r="U24" s="28">
        <v>14.96</v>
      </c>
      <c r="Y24" s="28">
        <v>1474.3610000000001</v>
      </c>
      <c r="Z24" s="28">
        <f t="shared" si="3"/>
        <v>1.1074426677405778E-4</v>
      </c>
      <c r="AB24" s="28">
        <f t="shared" si="2"/>
        <v>4.3320512766534085</v>
      </c>
      <c r="AE24" s="28">
        <v>1</v>
      </c>
      <c r="AF24" s="28">
        <v>2</v>
      </c>
      <c r="AG24" s="28">
        <v>3</v>
      </c>
      <c r="AH24" s="28">
        <v>4</v>
      </c>
      <c r="AI24" s="28">
        <v>5</v>
      </c>
      <c r="AJ24" s="28">
        <v>6</v>
      </c>
      <c r="AK24" s="28">
        <v>7</v>
      </c>
      <c r="AL24" s="28">
        <v>8</v>
      </c>
      <c r="AM24" s="28">
        <v>9</v>
      </c>
      <c r="AN24" s="28">
        <v>10</v>
      </c>
    </row>
    <row r="25" spans="1:56">
      <c r="N25" s="55"/>
      <c r="P25" s="28" t="s">
        <v>744</v>
      </c>
      <c r="Q25" s="28" t="s">
        <v>402</v>
      </c>
      <c r="R25" s="28" t="s">
        <v>401</v>
      </c>
      <c r="S25" s="28" t="s">
        <v>402</v>
      </c>
      <c r="T25" s="28">
        <f>' LR Products'!J34</f>
        <v>2.17</v>
      </c>
      <c r="U25" s="28">
        <v>3.69</v>
      </c>
      <c r="Y25" s="28">
        <v>23787.72</v>
      </c>
      <c r="Z25" s="28">
        <f t="shared" si="3"/>
        <v>1.7867765151320402E-3</v>
      </c>
      <c r="AB25" s="28">
        <f t="shared" si="2"/>
        <v>1.2500733072257839</v>
      </c>
    </row>
    <row r="26" spans="1:56">
      <c r="A26" s="402" t="s">
        <v>1824</v>
      </c>
      <c r="B26" s="28">
        <v>37601</v>
      </c>
      <c r="C26" s="28">
        <v>60503</v>
      </c>
      <c r="D26" s="56">
        <v>73863</v>
      </c>
      <c r="E26" s="28">
        <v>86081</v>
      </c>
      <c r="F26" s="28">
        <v>100954</v>
      </c>
      <c r="G26" s="28">
        <v>116387</v>
      </c>
      <c r="H26" s="28">
        <v>136800</v>
      </c>
      <c r="I26" s="28">
        <v>163905</v>
      </c>
      <c r="J26" s="28">
        <v>207696</v>
      </c>
      <c r="K26" s="28">
        <v>500142</v>
      </c>
      <c r="L26" s="28">
        <v>146730</v>
      </c>
      <c r="M26" s="28">
        <f>AVERAGE(B26:K26)</f>
        <v>148393.20000000001</v>
      </c>
      <c r="N26" s="407"/>
      <c r="P26" s="28" t="s">
        <v>744</v>
      </c>
      <c r="Q26" s="28" t="s">
        <v>405</v>
      </c>
      <c r="R26" s="28" t="s">
        <v>404</v>
      </c>
      <c r="S26" s="28" t="s">
        <v>405</v>
      </c>
      <c r="T26" s="28">
        <f>' LR Products'!J35</f>
        <v>2.59</v>
      </c>
      <c r="U26" s="28">
        <v>4.9400000000000004</v>
      </c>
      <c r="Y26" s="28">
        <v>278630.18800000002</v>
      </c>
      <c r="Z26" s="28">
        <f t="shared" si="3"/>
        <v>2.092886061905997E-2</v>
      </c>
      <c r="AB26" s="28">
        <f t="shared" si="2"/>
        <v>1.4920229795920648</v>
      </c>
    </row>
    <row r="27" spans="1:56">
      <c r="A27" s="402" t="s">
        <v>1825</v>
      </c>
      <c r="B27" s="54">
        <f>BL7</f>
        <v>4.0571043884719972E-2</v>
      </c>
      <c r="C27" s="54">
        <f t="shared" ref="C27:K27" si="11">BM7</f>
        <v>4.6203737003417789E-2</v>
      </c>
      <c r="D27" s="54">
        <f t="shared" si="11"/>
        <v>5.977285256542228E-2</v>
      </c>
      <c r="E27" s="54">
        <f t="shared" si="11"/>
        <v>6.7175389488945372E-2</v>
      </c>
      <c r="F27" s="54">
        <f t="shared" si="11"/>
        <v>7.9248516742003769E-2</v>
      </c>
      <c r="G27" s="54">
        <f t="shared" si="11"/>
        <v>9.0956986160510608E-2</v>
      </c>
      <c r="H27" s="54">
        <f t="shared" si="11"/>
        <v>0.10356695811366293</v>
      </c>
      <c r="I27" s="54">
        <f t="shared" si="11"/>
        <v>0.12390133023651377</v>
      </c>
      <c r="J27" s="54">
        <f t="shared" si="11"/>
        <v>0.15411829569047486</v>
      </c>
      <c r="K27" s="54">
        <f t="shared" si="11"/>
        <v>0.23451546542583393</v>
      </c>
      <c r="M27" s="28">
        <f>M26*B1/100</f>
        <v>1832.6469805605923</v>
      </c>
      <c r="P27" s="28" t="s">
        <v>1789</v>
      </c>
      <c r="Q27" s="28" t="s">
        <v>408</v>
      </c>
      <c r="R27" s="28" t="s">
        <v>407</v>
      </c>
      <c r="S27" s="28" t="s">
        <v>408</v>
      </c>
      <c r="T27" s="28">
        <f>' LR Products'!J36</f>
        <v>3.4</v>
      </c>
      <c r="U27" s="28">
        <v>4.43</v>
      </c>
      <c r="Y27" s="28">
        <v>188714.32199999999</v>
      </c>
      <c r="Z27" s="28">
        <f t="shared" si="3"/>
        <v>1.4174974256409007E-2</v>
      </c>
      <c r="AB27" s="28">
        <f t="shared" si="2"/>
        <v>1.9586402048698923</v>
      </c>
    </row>
    <row r="28" spans="1:56">
      <c r="P28" s="28" t="s">
        <v>1799</v>
      </c>
      <c r="Q28" s="28" t="s">
        <v>411</v>
      </c>
      <c r="R28" s="28" t="s">
        <v>410</v>
      </c>
      <c r="S28" s="28" t="s">
        <v>411</v>
      </c>
      <c r="T28" s="28">
        <f>' LR Products'!J37</f>
        <v>10.26</v>
      </c>
      <c r="U28" s="28">
        <v>12.9</v>
      </c>
      <c r="Y28" s="28">
        <v>26806.04</v>
      </c>
      <c r="Z28" s="28">
        <f t="shared" si="3"/>
        <v>2.0134927910573216E-3</v>
      </c>
      <c r="AB28" s="28">
        <f t="shared" si="2"/>
        <v>5.9104848535191445</v>
      </c>
    </row>
    <row r="29" spans="1:56">
      <c r="P29" s="28" t="s">
        <v>1799</v>
      </c>
      <c r="Q29" s="28" t="s">
        <v>414</v>
      </c>
      <c r="R29" s="28" t="s">
        <v>413</v>
      </c>
      <c r="S29" s="28" t="s">
        <v>414</v>
      </c>
      <c r="T29" s="28">
        <f>' LR Products'!J38</f>
        <v>15.04</v>
      </c>
      <c r="U29" s="28">
        <v>22.52</v>
      </c>
      <c r="Y29" s="28">
        <v>115801.80100000001</v>
      </c>
      <c r="Z29" s="28">
        <f t="shared" si="3"/>
        <v>8.6982669392776605E-3</v>
      </c>
      <c r="AB29" s="28">
        <f t="shared" si="2"/>
        <v>8.664102553306817</v>
      </c>
    </row>
    <row r="30" spans="1:56">
      <c r="B30" s="51"/>
      <c r="P30" s="28" t="s">
        <v>1799</v>
      </c>
      <c r="Q30" s="28" t="s">
        <v>417</v>
      </c>
      <c r="R30" s="28" t="s">
        <v>416</v>
      </c>
      <c r="S30" s="28" t="s">
        <v>417</v>
      </c>
      <c r="T30" s="28">
        <f>' LR Products'!J39</f>
        <v>15.41</v>
      </c>
      <c r="U30" s="28">
        <v>23.42</v>
      </c>
      <c r="Y30" s="28">
        <v>46353.235000000001</v>
      </c>
      <c r="Z30" s="28">
        <f t="shared" si="3"/>
        <v>3.48174905784987E-3</v>
      </c>
      <c r="AB30" s="28">
        <f t="shared" si="2"/>
        <v>8.8772486932485393</v>
      </c>
    </row>
    <row r="31" spans="1:56">
      <c r="P31" s="28" t="s">
        <v>1803</v>
      </c>
      <c r="Q31" s="28" t="s">
        <v>420</v>
      </c>
      <c r="R31" s="28" t="s">
        <v>419</v>
      </c>
      <c r="S31" s="28" t="s">
        <v>420</v>
      </c>
      <c r="T31" s="28">
        <f>' LR Products'!J40</f>
        <v>3.74</v>
      </c>
      <c r="U31" s="28">
        <v>5.21</v>
      </c>
      <c r="Y31" s="28">
        <v>5036.3549999999996</v>
      </c>
      <c r="Z31" s="28">
        <f t="shared" si="3"/>
        <v>3.7829774504945511E-4</v>
      </c>
      <c r="AB31" s="28">
        <f t="shared" si="2"/>
        <v>2.1545042253568814</v>
      </c>
    </row>
    <row r="32" spans="1:56">
      <c r="P32" s="28" t="s">
        <v>1800</v>
      </c>
      <c r="Q32" s="28" t="s">
        <v>423</v>
      </c>
      <c r="R32" s="28" t="s">
        <v>422</v>
      </c>
      <c r="S32" s="28" t="s">
        <v>423</v>
      </c>
      <c r="T32" s="28">
        <f>' LR Products'!J41</f>
        <v>2.7</v>
      </c>
      <c r="U32" s="28">
        <v>4.3</v>
      </c>
      <c r="Y32" s="28">
        <v>33241.603999999999</v>
      </c>
      <c r="Z32" s="28">
        <f t="shared" si="3"/>
        <v>2.4968898806829441E-3</v>
      </c>
      <c r="AB32" s="28">
        <f t="shared" si="2"/>
        <v>1.5553907509260909</v>
      </c>
    </row>
    <row r="33" spans="16:28">
      <c r="P33" s="50" t="s">
        <v>1795</v>
      </c>
      <c r="Q33" s="28" t="s">
        <v>426</v>
      </c>
      <c r="R33" s="28" t="s">
        <v>425</v>
      </c>
      <c r="S33" s="28" t="s">
        <v>426</v>
      </c>
      <c r="T33" s="28">
        <f>' LR Products'!J42</f>
        <v>0.56000000000000005</v>
      </c>
      <c r="U33" s="28">
        <v>0.68</v>
      </c>
      <c r="Y33" s="28">
        <v>137212.217</v>
      </c>
      <c r="Z33" s="28">
        <f t="shared" si="3"/>
        <v>1.0306476069366938E-2</v>
      </c>
      <c r="AB33" s="28">
        <f t="shared" si="2"/>
        <v>0.32259956315504107</v>
      </c>
    </row>
    <row r="34" spans="16:28">
      <c r="P34" s="28" t="s">
        <v>1826</v>
      </c>
      <c r="Q34" s="28" t="s">
        <v>429</v>
      </c>
      <c r="R34" s="28" t="s">
        <v>428</v>
      </c>
      <c r="S34" s="28" t="s">
        <v>429</v>
      </c>
      <c r="T34" s="28">
        <f>' LR Products'!J43</f>
        <v>3.06</v>
      </c>
      <c r="U34" s="28">
        <v>4.93</v>
      </c>
      <c r="Y34" s="28">
        <v>73597.544999999998</v>
      </c>
      <c r="Z34" s="28">
        <f t="shared" si="3"/>
        <v>5.5281617984982798E-3</v>
      </c>
      <c r="AB34" s="28">
        <f t="shared" si="2"/>
        <v>1.7627761843829031</v>
      </c>
    </row>
    <row r="35" spans="16:28">
      <c r="P35" s="28" t="s">
        <v>1810</v>
      </c>
      <c r="Q35" s="28" t="s">
        <v>432</v>
      </c>
      <c r="R35" s="28" t="s">
        <v>431</v>
      </c>
      <c r="S35" s="28" t="s">
        <v>432</v>
      </c>
      <c r="T35" s="28">
        <f>' LR Products'!J44</f>
        <v>1.04</v>
      </c>
      <c r="U35" s="28">
        <v>0.86</v>
      </c>
      <c r="Y35" s="28">
        <v>178150.992</v>
      </c>
      <c r="Z35" s="28">
        <f t="shared" si="3"/>
        <v>1.3381526630256112E-2</v>
      </c>
      <c r="AB35" s="28">
        <f t="shared" si="2"/>
        <v>0.59911347443079055</v>
      </c>
    </row>
    <row r="36" spans="16:28">
      <c r="P36" s="28" t="s">
        <v>1800</v>
      </c>
      <c r="Q36" s="28" t="s">
        <v>435</v>
      </c>
      <c r="R36" s="28" t="s">
        <v>434</v>
      </c>
      <c r="S36" s="28" t="s">
        <v>435</v>
      </c>
      <c r="T36" s="28">
        <f>' LR Products'!J45</f>
        <v>6.41</v>
      </c>
      <c r="U36" s="28">
        <v>8.69</v>
      </c>
      <c r="Y36" s="28">
        <v>41614.857000000004</v>
      </c>
      <c r="Z36" s="28">
        <f t="shared" si="3"/>
        <v>3.125833378237939E-3</v>
      </c>
      <c r="AB36" s="28">
        <f t="shared" si="2"/>
        <v>3.6926128568282377</v>
      </c>
    </row>
    <row r="37" spans="16:28">
      <c r="P37" s="50" t="s">
        <v>1795</v>
      </c>
      <c r="Q37" s="28" t="s">
        <v>438</v>
      </c>
      <c r="R37" s="28" t="s">
        <v>437</v>
      </c>
      <c r="S37" s="28" t="s">
        <v>438</v>
      </c>
      <c r="T37" s="28">
        <f>' LR Products'!J46</f>
        <v>6.01</v>
      </c>
      <c r="U37" s="28">
        <v>8.8699999999999992</v>
      </c>
      <c r="Y37" s="28">
        <v>11419.288</v>
      </c>
      <c r="Z37" s="28">
        <f t="shared" si="3"/>
        <v>8.5774154134692711E-4</v>
      </c>
      <c r="AB37" s="28">
        <f t="shared" si="2"/>
        <v>3.4621845974317798</v>
      </c>
    </row>
    <row r="38" spans="16:28">
      <c r="P38" s="28" t="s">
        <v>1803</v>
      </c>
      <c r="Q38" s="28" t="s">
        <v>441</v>
      </c>
      <c r="R38" s="28" t="s">
        <v>440</v>
      </c>
      <c r="S38" s="28" t="s">
        <v>441</v>
      </c>
      <c r="T38" s="28">
        <f>' LR Products'!J47</f>
        <v>6.81</v>
      </c>
      <c r="U38" s="28">
        <v>1.67</v>
      </c>
      <c r="Y38" s="28">
        <v>686.12199999999996</v>
      </c>
      <c r="Z38" s="28">
        <f t="shared" si="3"/>
        <v>5.1536955879564144E-5</v>
      </c>
      <c r="AB38" s="28">
        <f t="shared" si="2"/>
        <v>3.9230411162246956</v>
      </c>
    </row>
    <row r="39" spans="16:28">
      <c r="P39" s="28" t="s">
        <v>1803</v>
      </c>
      <c r="Q39" s="28" t="s">
        <v>444</v>
      </c>
      <c r="R39" s="28" t="s">
        <v>443</v>
      </c>
      <c r="S39" s="28" t="s">
        <v>444</v>
      </c>
      <c r="T39" s="28">
        <f>' LR Products'!J48</f>
        <v>12.06</v>
      </c>
      <c r="U39" s="28">
        <v>1.78</v>
      </c>
      <c r="Y39" s="28">
        <v>113.059</v>
      </c>
      <c r="Z39" s="28">
        <f t="shared" si="3"/>
        <v>8.4922458320643296E-6</v>
      </c>
      <c r="AB39" s="28">
        <f t="shared" si="2"/>
        <v>6.9474120208032062</v>
      </c>
    </row>
    <row r="40" spans="16:28">
      <c r="P40" s="28" t="s">
        <v>1803</v>
      </c>
      <c r="Q40" s="28" t="s">
        <v>447</v>
      </c>
      <c r="R40" s="28" t="s">
        <v>446</v>
      </c>
      <c r="S40" s="28" t="s">
        <v>447</v>
      </c>
      <c r="T40" s="28">
        <f>' LR Products'!J49</f>
        <v>11.59</v>
      </c>
      <c r="U40" s="28">
        <v>7.21</v>
      </c>
      <c r="Y40" s="28">
        <v>18103.241999999998</v>
      </c>
      <c r="Z40" s="28">
        <f t="shared" si="3"/>
        <v>1.3597960482699468E-3</v>
      </c>
      <c r="AB40" s="28">
        <f t="shared" si="2"/>
        <v>6.6766588160123677</v>
      </c>
    </row>
    <row r="41" spans="16:28">
      <c r="P41" s="28" t="s">
        <v>1813</v>
      </c>
      <c r="Q41" s="28" t="s">
        <v>450</v>
      </c>
      <c r="R41" s="28" t="s">
        <v>449</v>
      </c>
      <c r="S41" s="28" t="s">
        <v>450</v>
      </c>
      <c r="T41" s="28">
        <f>' LR Products'!J50</f>
        <v>12.22</v>
      </c>
      <c r="U41" s="28">
        <v>0.02</v>
      </c>
      <c r="Y41" s="28">
        <v>95229.497000000003</v>
      </c>
      <c r="Z41" s="28">
        <f t="shared" si="3"/>
        <v>7.1530112506552569E-3</v>
      </c>
      <c r="AB41" s="28">
        <f t="shared" si="2"/>
        <v>7.0395833245617885</v>
      </c>
    </row>
    <row r="42" spans="16:28">
      <c r="P42" s="28" t="s">
        <v>1813</v>
      </c>
      <c r="Q42" s="28" t="s">
        <v>453</v>
      </c>
      <c r="R42" s="28" t="s">
        <v>452</v>
      </c>
      <c r="S42" s="28" t="s">
        <v>453</v>
      </c>
      <c r="T42" s="28">
        <f>' LR Products'!J51</f>
        <v>13.07</v>
      </c>
      <c r="U42" s="28">
        <v>11.91</v>
      </c>
      <c r="Y42" s="28">
        <v>62008.213000000003</v>
      </c>
      <c r="Z42" s="28">
        <f t="shared" si="3"/>
        <v>4.6576476742497923E-3</v>
      </c>
      <c r="AB42" s="28">
        <f t="shared" si="2"/>
        <v>7.5292433757792621</v>
      </c>
    </row>
    <row r="43" spans="16:28">
      <c r="P43" s="28" t="s">
        <v>1803</v>
      </c>
      <c r="Q43" s="28" t="s">
        <v>456</v>
      </c>
      <c r="R43" s="28" t="s">
        <v>455</v>
      </c>
      <c r="S43" s="28" t="s">
        <v>456</v>
      </c>
      <c r="T43" s="28">
        <f>' LR Products'!J52</f>
        <v>9.57</v>
      </c>
      <c r="U43" s="28">
        <v>8.68</v>
      </c>
      <c r="Y43" s="28">
        <v>10243.248</v>
      </c>
      <c r="Z43" s="28">
        <f t="shared" si="3"/>
        <v>7.6940517901981516E-4</v>
      </c>
      <c r="AB43" s="28">
        <f t="shared" si="2"/>
        <v>5.512996106060255</v>
      </c>
    </row>
    <row r="44" spans="16:28">
      <c r="P44" s="28" t="s">
        <v>1807</v>
      </c>
      <c r="Q44" s="52" t="s">
        <v>459</v>
      </c>
      <c r="R44" s="52" t="s">
        <v>458</v>
      </c>
      <c r="S44" s="28" t="s">
        <v>459</v>
      </c>
      <c r="T44" s="28">
        <f>' LR Products'!J53</f>
        <v>12.22</v>
      </c>
      <c r="U44" s="28">
        <v>2.69</v>
      </c>
      <c r="W44" s="52"/>
      <c r="X44" s="52"/>
      <c r="Y44" s="28">
        <v>237456.42199999999</v>
      </c>
      <c r="Z44" s="28">
        <f t="shared" si="3"/>
        <v>1.7836159085313056E-2</v>
      </c>
      <c r="AB44" s="28">
        <f t="shared" si="2"/>
        <v>7.0395833245617885</v>
      </c>
    </row>
    <row r="45" spans="16:28">
      <c r="P45" s="28" t="s">
        <v>1807</v>
      </c>
      <c r="Q45" s="28" t="s">
        <v>462</v>
      </c>
      <c r="R45" s="28" t="s">
        <v>461</v>
      </c>
      <c r="S45" s="28" t="s">
        <v>462</v>
      </c>
      <c r="T45" s="28">
        <f>' LR Products'!J54</f>
        <v>7.7</v>
      </c>
      <c r="U45" s="28">
        <v>8.6300000000000008</v>
      </c>
      <c r="Y45" s="28">
        <v>21707.631000000001</v>
      </c>
      <c r="Z45" s="28">
        <f t="shared" si="3"/>
        <v>1.6305339591163948E-3</v>
      </c>
      <c r="AB45" s="28">
        <f t="shared" si="2"/>
        <v>4.4357439933818146</v>
      </c>
    </row>
    <row r="46" spans="16:28">
      <c r="P46" s="28" t="s">
        <v>1803</v>
      </c>
      <c r="Q46" s="28" t="s">
        <v>465</v>
      </c>
      <c r="R46" s="28" t="s">
        <v>464</v>
      </c>
      <c r="S46" s="28" t="s">
        <v>465</v>
      </c>
      <c r="T46" s="28">
        <f>' LR Products'!J55</f>
        <v>6.4</v>
      </c>
      <c r="U46" s="28">
        <v>6.53</v>
      </c>
      <c r="Y46" s="28">
        <v>349668.96100000001</v>
      </c>
      <c r="Z46" s="28">
        <f t="shared" si="3"/>
        <v>2.6264824354138239E-2</v>
      </c>
      <c r="AB46" s="28">
        <f t="shared" si="2"/>
        <v>3.6868521503433267</v>
      </c>
    </row>
    <row r="47" spans="16:28">
      <c r="P47" s="50" t="s">
        <v>1795</v>
      </c>
      <c r="Q47" s="28" t="s">
        <v>468</v>
      </c>
      <c r="R47" s="28" t="s">
        <v>467</v>
      </c>
      <c r="S47" s="28" t="s">
        <v>468</v>
      </c>
      <c r="T47" s="28">
        <f>' LR Products'!J56</f>
        <v>1.19</v>
      </c>
      <c r="U47" s="28">
        <v>1.6</v>
      </c>
      <c r="Y47" s="28">
        <v>148064.63200000001</v>
      </c>
      <c r="Z47" s="28">
        <f t="shared" si="3"/>
        <v>1.1121637852609161E-2</v>
      </c>
      <c r="AB47" s="28">
        <f t="shared" si="2"/>
        <v>0.68552407170446217</v>
      </c>
    </row>
    <row r="48" spans="16:28">
      <c r="P48" s="50" t="s">
        <v>1795</v>
      </c>
      <c r="Q48" s="28" t="s">
        <v>471</v>
      </c>
      <c r="R48" s="28" t="s">
        <v>470</v>
      </c>
      <c r="S48" s="28" t="s">
        <v>471</v>
      </c>
      <c r="T48" s="28">
        <f>' LR Products'!J57</f>
        <v>1.3</v>
      </c>
      <c r="U48" s="28">
        <v>1.62</v>
      </c>
      <c r="Y48" s="28">
        <v>15753.084999999999</v>
      </c>
      <c r="Z48" s="28">
        <f t="shared" si="3"/>
        <v>1.1832677666829276E-3</v>
      </c>
      <c r="AB48" s="28">
        <f t="shared" si="2"/>
        <v>0.74889184303848821</v>
      </c>
    </row>
    <row r="49" spans="16:28">
      <c r="P49" s="50" t="s">
        <v>1795</v>
      </c>
      <c r="Q49" s="28" t="s">
        <v>474</v>
      </c>
      <c r="R49" s="28" t="s">
        <v>473</v>
      </c>
      <c r="S49" s="28" t="s">
        <v>474</v>
      </c>
      <c r="T49" s="28">
        <f>' LR Products'!J58</f>
        <v>1.93</v>
      </c>
      <c r="U49" s="28">
        <v>2.13</v>
      </c>
      <c r="Y49" s="28">
        <v>71486.506999999998</v>
      </c>
      <c r="Z49" s="28">
        <f t="shared" si="3"/>
        <v>5.3695945578820575E-3</v>
      </c>
      <c r="AB49" s="28">
        <f t="shared" si="2"/>
        <v>1.1118163515879091</v>
      </c>
    </row>
    <row r="50" spans="16:28">
      <c r="P50" s="28" t="s">
        <v>1792</v>
      </c>
      <c r="Q50" s="28" t="s">
        <v>476</v>
      </c>
      <c r="R50" s="28" t="s">
        <v>27</v>
      </c>
      <c r="S50" s="28" t="s">
        <v>476</v>
      </c>
      <c r="T50" s="28">
        <f>' LR Products'!J59</f>
        <v>2.16</v>
      </c>
      <c r="U50" s="28">
        <v>2.52</v>
      </c>
      <c r="Y50" s="28">
        <v>2094.3220000000001</v>
      </c>
      <c r="Z50" s="28">
        <f t="shared" si="3"/>
        <v>1.5731164503047642E-4</v>
      </c>
      <c r="AB50" s="28">
        <f t="shared" si="2"/>
        <v>1.2443126007408727</v>
      </c>
    </row>
    <row r="51" spans="16:28">
      <c r="P51" s="50" t="s">
        <v>1817</v>
      </c>
      <c r="Q51" s="28" t="s">
        <v>479</v>
      </c>
      <c r="R51" s="28" t="s">
        <v>478</v>
      </c>
      <c r="S51" s="28" t="s">
        <v>479</v>
      </c>
      <c r="T51" s="28">
        <f>' LR Products'!J60</f>
        <v>1.46</v>
      </c>
      <c r="U51" s="28">
        <v>1.78</v>
      </c>
      <c r="Y51" s="28">
        <v>1938648.733</v>
      </c>
      <c r="Z51" s="28">
        <f t="shared" si="3"/>
        <v>0.14561849673759758</v>
      </c>
      <c r="AB51" s="28">
        <f t="shared" si="2"/>
        <v>0.84106314679707139</v>
      </c>
    </row>
    <row r="52" spans="16:28">
      <c r="P52" s="50" t="s">
        <v>1787</v>
      </c>
      <c r="Q52" s="28" t="s">
        <v>482</v>
      </c>
      <c r="R52" s="28" t="s">
        <v>481</v>
      </c>
      <c r="S52" s="28" t="s">
        <v>482</v>
      </c>
      <c r="T52" s="28">
        <f>' LR Products'!J61</f>
        <v>1.34</v>
      </c>
      <c r="U52" s="28">
        <v>1.91</v>
      </c>
      <c r="Y52" s="28">
        <v>913283.71900000004</v>
      </c>
      <c r="Z52" s="28">
        <f t="shared" si="3"/>
        <v>6.8599844825887032E-2</v>
      </c>
      <c r="AB52" s="28">
        <f t="shared" si="2"/>
        <v>0.77193466897813401</v>
      </c>
    </row>
    <row r="53" spans="16:28">
      <c r="P53" s="50" t="s">
        <v>1807</v>
      </c>
      <c r="Q53" s="28" t="s">
        <v>485</v>
      </c>
      <c r="R53" s="28" t="s">
        <v>484</v>
      </c>
      <c r="S53" s="28" t="s">
        <v>485</v>
      </c>
      <c r="T53" s="28">
        <f>' LR Products'!J62</f>
        <v>1.37</v>
      </c>
      <c r="U53" s="28">
        <v>1.63</v>
      </c>
      <c r="Y53" s="28">
        <v>192562.31400000001</v>
      </c>
      <c r="Z53" s="28">
        <f t="shared" si="3"/>
        <v>1.4464010016709532E-2</v>
      </c>
      <c r="AB53" s="28">
        <f t="shared" si="2"/>
        <v>0.78921678843286835</v>
      </c>
    </row>
    <row r="54" spans="16:28">
      <c r="P54" s="50" t="s">
        <v>1807</v>
      </c>
      <c r="Q54" s="28" t="s">
        <v>488</v>
      </c>
      <c r="R54" s="28" t="s">
        <v>487</v>
      </c>
      <c r="S54" s="28" t="s">
        <v>488</v>
      </c>
      <c r="T54" s="28">
        <f>' LR Products'!J63</f>
        <v>1.34</v>
      </c>
      <c r="U54" s="28">
        <v>1.59</v>
      </c>
      <c r="Y54" s="28">
        <v>22583.327000000001</v>
      </c>
      <c r="Z54" s="28">
        <f t="shared" si="3"/>
        <v>1.6963104625894079E-3</v>
      </c>
      <c r="AB54" s="28">
        <f t="shared" si="2"/>
        <v>0.77193466897813401</v>
      </c>
    </row>
    <row r="55" spans="16:28">
      <c r="P55" s="50" t="s">
        <v>1807</v>
      </c>
      <c r="Q55" s="28" t="s">
        <v>491</v>
      </c>
      <c r="R55" s="28" t="s">
        <v>490</v>
      </c>
      <c r="S55" s="28" t="s">
        <v>491</v>
      </c>
      <c r="T55" s="28">
        <f>' LR Products'!J64</f>
        <v>0.86</v>
      </c>
      <c r="U55" s="28">
        <v>1.29</v>
      </c>
      <c r="Y55" s="28">
        <v>147721.81400000001</v>
      </c>
      <c r="Z55" s="28">
        <f t="shared" si="3"/>
        <v>1.1095887627225453E-2</v>
      </c>
      <c r="AB55" s="28">
        <f t="shared" si="2"/>
        <v>0.49542075770238442</v>
      </c>
    </row>
    <row r="56" spans="16:28">
      <c r="P56" s="50" t="s">
        <v>1817</v>
      </c>
      <c r="Q56" s="28" t="s">
        <v>494</v>
      </c>
      <c r="R56" s="28" t="s">
        <v>493</v>
      </c>
      <c r="S56" s="28" t="s">
        <v>494</v>
      </c>
      <c r="T56" s="28">
        <f>' LR Products'!J65</f>
        <v>1.84</v>
      </c>
      <c r="U56" s="28">
        <v>1.93</v>
      </c>
      <c r="Y56" s="28">
        <v>4928.192</v>
      </c>
      <c r="Z56" s="28">
        <f t="shared" si="3"/>
        <v>3.7017325442125594E-4</v>
      </c>
      <c r="AB56" s="28">
        <f t="shared" si="2"/>
        <v>1.0599699932237063</v>
      </c>
    </row>
    <row r="57" spans="16:28">
      <c r="P57" s="50" t="s">
        <v>1813</v>
      </c>
      <c r="Q57" s="28" t="s">
        <v>497</v>
      </c>
      <c r="R57" s="28" t="s">
        <v>496</v>
      </c>
      <c r="S57" s="28" t="s">
        <v>497</v>
      </c>
      <c r="T57" s="28">
        <f>' LR Products'!J66</f>
        <v>1.57</v>
      </c>
      <c r="U57" s="28">
        <v>1.77</v>
      </c>
      <c r="Y57" s="28">
        <v>535553.48600000003</v>
      </c>
      <c r="Z57" s="28">
        <f t="shared" si="3"/>
        <v>4.0227242938032558E-2</v>
      </c>
      <c r="AB57" s="28">
        <f t="shared" si="2"/>
        <v>0.90443091813109722</v>
      </c>
    </row>
    <row r="58" spans="16:28">
      <c r="P58" s="50" t="s">
        <v>1819</v>
      </c>
      <c r="Q58" s="28" t="s">
        <v>500</v>
      </c>
      <c r="R58" s="28" t="s">
        <v>499</v>
      </c>
      <c r="S58" s="28" t="s">
        <v>500</v>
      </c>
      <c r="T58" s="28">
        <f>' LR Products'!J67</f>
        <v>1.24</v>
      </c>
      <c r="U58" s="28">
        <v>1.6</v>
      </c>
      <c r="Y58" s="28">
        <v>483914.82799999998</v>
      </c>
      <c r="Z58" s="28">
        <f t="shared" si="3"/>
        <v>3.6348487790950984E-2</v>
      </c>
      <c r="AB58" s="28">
        <f t="shared" si="2"/>
        <v>0.71432760412901952</v>
      </c>
    </row>
    <row r="59" spans="16:28">
      <c r="P59" s="50" t="s">
        <v>1819</v>
      </c>
      <c r="Q59" s="28" t="s">
        <v>503</v>
      </c>
      <c r="R59" s="28" t="s">
        <v>502</v>
      </c>
      <c r="S59" s="28" t="s">
        <v>503</v>
      </c>
      <c r="T59" s="28">
        <f>' LR Products'!J68</f>
        <v>1.1499999999999999</v>
      </c>
      <c r="U59" s="28">
        <v>1.49</v>
      </c>
      <c r="Y59" s="28">
        <v>499028.03899999999</v>
      </c>
      <c r="Z59" s="28">
        <f t="shared" si="3"/>
        <v>3.7483692446253603E-2</v>
      </c>
      <c r="AB59" s="28">
        <f t="shared" si="2"/>
        <v>0.66248124576481637</v>
      </c>
    </row>
    <row r="60" spans="16:28">
      <c r="P60" s="50" t="s">
        <v>1792</v>
      </c>
      <c r="Q60" s="28" t="s">
        <v>506</v>
      </c>
      <c r="R60" s="28" t="s">
        <v>505</v>
      </c>
      <c r="S60" s="28" t="s">
        <v>506</v>
      </c>
      <c r="T60" s="28">
        <f>' LR Products'!J69</f>
        <v>1.32</v>
      </c>
      <c r="U60" s="28">
        <v>1.69</v>
      </c>
      <c r="Y60" s="28">
        <v>534227.6</v>
      </c>
      <c r="Z60" s="28">
        <f t="shared" si="3"/>
        <v>4.0127651133246622E-2</v>
      </c>
      <c r="AB60" s="28">
        <f t="shared" si="2"/>
        <v>0.76041325600831111</v>
      </c>
    </row>
    <row r="61" spans="16:28">
      <c r="P61" s="50" t="s">
        <v>1797</v>
      </c>
      <c r="Q61" s="28" t="s">
        <v>509</v>
      </c>
      <c r="R61" s="28" t="s">
        <v>508</v>
      </c>
      <c r="S61" s="28" t="s">
        <v>509</v>
      </c>
      <c r="T61" s="28">
        <f>' LR Products'!J70</f>
        <v>1.47</v>
      </c>
      <c r="U61" s="28">
        <v>1.75</v>
      </c>
      <c r="Y61" s="28">
        <v>319029.891</v>
      </c>
      <c r="Z61" s="28">
        <f t="shared" si="3"/>
        <v>2.3963419649463445E-2</v>
      </c>
      <c r="AB61" s="28">
        <f t="shared" si="2"/>
        <v>0.84682385328198273</v>
      </c>
    </row>
    <row r="62" spans="16:28">
      <c r="P62" s="50" t="s">
        <v>1813</v>
      </c>
      <c r="Q62" s="28" t="s">
        <v>512</v>
      </c>
      <c r="R62" s="28" t="s">
        <v>511</v>
      </c>
      <c r="S62" s="28" t="s">
        <v>512</v>
      </c>
      <c r="T62" s="28">
        <f>' LR Products'!J71</f>
        <v>1.45</v>
      </c>
      <c r="U62" s="28">
        <v>1.85</v>
      </c>
      <c r="Y62" s="28">
        <v>717146.26399999997</v>
      </c>
      <c r="Z62" s="28">
        <f t="shared" si="3"/>
        <v>5.3867293815039102E-2</v>
      </c>
      <c r="AB62" s="28">
        <f t="shared" si="2"/>
        <v>0.83530244031215983</v>
      </c>
    </row>
    <row r="63" spans="16:28">
      <c r="P63" s="50" t="s">
        <v>1817</v>
      </c>
      <c r="Q63" s="28" t="s">
        <v>515</v>
      </c>
      <c r="R63" s="28" t="s">
        <v>514</v>
      </c>
      <c r="S63" s="28" t="s">
        <v>515</v>
      </c>
      <c r="T63" s="28">
        <f>' LR Products'!J72</f>
        <v>1.55</v>
      </c>
      <c r="U63" s="28">
        <v>1.84</v>
      </c>
      <c r="Y63" s="28">
        <v>70994.801999999996</v>
      </c>
      <c r="Z63" s="28">
        <f t="shared" si="3"/>
        <v>5.3326609237896354E-3</v>
      </c>
      <c r="AB63" s="28">
        <f t="shared" si="2"/>
        <v>0.89290950516127432</v>
      </c>
    </row>
    <row r="64" spans="16:28">
      <c r="P64" s="50" t="s">
        <v>517</v>
      </c>
      <c r="Q64" s="28" t="s">
        <v>518</v>
      </c>
      <c r="R64" s="28" t="s">
        <v>517</v>
      </c>
      <c r="S64" s="28" t="s">
        <v>518</v>
      </c>
      <c r="T64" s="28">
        <f>' LR Products'!J73</f>
        <v>1.31</v>
      </c>
      <c r="U64" s="28">
        <v>1.74</v>
      </c>
      <c r="Y64" s="28">
        <v>383237.951</v>
      </c>
      <c r="Z64" s="28">
        <f t="shared" si="3"/>
        <v>2.8786305310224081E-2</v>
      </c>
      <c r="AB64" s="28">
        <f t="shared" si="2"/>
        <v>0.75465254952339966</v>
      </c>
    </row>
    <row r="65" spans="16:28">
      <c r="P65" s="50" t="s">
        <v>1817</v>
      </c>
      <c r="Q65" s="28" t="s">
        <v>521</v>
      </c>
      <c r="R65" s="28" t="s">
        <v>520</v>
      </c>
      <c r="S65" s="28" t="s">
        <v>521</v>
      </c>
      <c r="T65" s="28">
        <f>' LR Products'!J74</f>
        <v>1.53</v>
      </c>
      <c r="U65" s="28">
        <v>1.94</v>
      </c>
      <c r="Y65" s="28">
        <v>2470541.8190000001</v>
      </c>
      <c r="Z65" s="28">
        <f t="shared" si="3"/>
        <v>0.18557079458816531</v>
      </c>
      <c r="AB65" s="28">
        <f t="shared" si="2"/>
        <v>0.88138809219145153</v>
      </c>
    </row>
    <row r="66" spans="16:28">
      <c r="P66" s="50" t="s">
        <v>1792</v>
      </c>
      <c r="Q66" s="28" t="s">
        <v>524</v>
      </c>
      <c r="R66" s="28" t="s">
        <v>523</v>
      </c>
      <c r="S66" s="28" t="s">
        <v>524</v>
      </c>
      <c r="T66" s="28">
        <f>' LR Products'!J75</f>
        <v>1.21</v>
      </c>
      <c r="U66" s="28">
        <v>1.59</v>
      </c>
      <c r="Y66" s="28">
        <v>1582226</v>
      </c>
      <c r="Z66" s="28">
        <f t="shared" si="3"/>
        <v>0.11884637360921127</v>
      </c>
      <c r="AB66" s="28">
        <f t="shared" ref="AB66" si="12">T66*$B$1/$T$68</f>
        <v>0.69704548467428507</v>
      </c>
    </row>
    <row r="67" spans="16:28">
      <c r="Y67" s="28">
        <v>13313203.861</v>
      </c>
    </row>
    <row r="68" spans="16:28">
      <c r="T68" s="28">
        <f>SUMPRODUCT(T2:T66,Z2:Z66)</f>
        <v>2.1438236988625352</v>
      </c>
      <c r="U68" s="28">
        <f>SUMPRODUCT(U2:U66,Z2:Z66)</f>
        <v>2.4361632296670805</v>
      </c>
    </row>
    <row r="82" spans="2:11">
      <c r="B82" s="28">
        <f ca="1">-B8/100</f>
        <v>1.2486110614593369E-2</v>
      </c>
      <c r="C82" s="28">
        <f t="shared" ref="C82:J82" ca="1" si="13">-C8/100</f>
        <v>1.1646178968540102E-2</v>
      </c>
      <c r="D82" s="28">
        <f t="shared" ca="1" si="13"/>
        <v>1.2324758370705062E-2</v>
      </c>
      <c r="E82" s="28">
        <f t="shared" ca="1" si="13"/>
        <v>1.1979526379128989E-2</v>
      </c>
      <c r="F82" s="28">
        <f t="shared" ca="1" si="13"/>
        <v>1.2346420064862154E-2</v>
      </c>
      <c r="G82" s="28">
        <f t="shared" ca="1" si="13"/>
        <v>1.2620015406292167E-2</v>
      </c>
      <c r="H82" s="28">
        <f t="shared" ca="1" si="13"/>
        <v>1.2870445323370125E-2</v>
      </c>
      <c r="I82" s="28">
        <f t="shared" ca="1" si="13"/>
        <v>1.2613273651728868E-2</v>
      </c>
      <c r="J82" s="28">
        <f t="shared" ca="1" si="13"/>
        <v>1.2536558695056382E-2</v>
      </c>
      <c r="K82" s="28">
        <f ca="1">-K8/100</f>
        <v>1.1980748786064645E-2</v>
      </c>
    </row>
  </sheetData>
  <hyperlinks>
    <hyperlink ref="CB1" r:id="rId1" display="CD1XA@SURVEYS+CD1XOT@SURVEYS" xr:uid="{2D1042F7-1152-4979-93A9-D705B07A70A6}"/>
    <hyperlink ref="CE1" r:id="rId2" display="CD1XHP@SURVEYS+CD1XOP@SURVEYS" xr:uid="{557F0A01-E817-4B21-B343-1207275201D4}"/>
    <hyperlink ref="CU1" r:id="rId3" display="CD1XA@SURVEYS+CD1XOT@SURVEYS" xr:uid="{C1F421AC-9815-4FE2-B0B7-6B2F6C548668}"/>
    <hyperlink ref="CX1" r:id="rId4" display="CD1XHP@SURVEYS+CD1XOP@SURVEYS" xr:uid="{B8A8B3B9-5A2E-46C2-9164-938F41C00D8E}"/>
    <hyperlink ref="DN1" r:id="rId5" display="CD1XA@SURVEYS+CD1XOT@SURVEYS" xr:uid="{9C767AA4-3E4A-419D-8C90-D96EEB096570}"/>
    <hyperlink ref="DQ1" r:id="rId6" display="CD1XHP@SURVEYS+CD1XOP@SURVEYS" xr:uid="{EC5235B2-D7B6-451B-B75B-76128A7642D1}"/>
    <hyperlink ref="EG1" r:id="rId7" display="CD1XA@SURVEYS+CD1XOT@SURVEYS" xr:uid="{05485AF5-FE25-4179-AAE5-27ED437ADABB}"/>
    <hyperlink ref="EJ1" r:id="rId8" display="CD1XHP@SURVEYS+CD1XOP@SURVEYS" xr:uid="{E5AA55FE-0F8C-4D71-9C36-988D0AD841A8}"/>
    <hyperlink ref="EZ1" r:id="rId9" display="CD1XA@SURVEYS+CD1XOT@SURVEYS" xr:uid="{15C4F1F4-DB8A-4643-A71C-5D5E482B00BA}"/>
    <hyperlink ref="FC1" r:id="rId10" display="CD1XHP@SURVEYS+CD1XOP@SURVEYS" xr:uid="{99B50A08-44B6-45F0-83BC-CA6315B6E073}"/>
    <hyperlink ref="FS1" r:id="rId11" display="CD1XA@SURVEYS+CD1XOT@SURVEYS" xr:uid="{0C5D2BDD-90D6-4146-A161-B423933245C4}"/>
    <hyperlink ref="FV1" r:id="rId12" display="CD1XHP@SURVEYS+CD1XOP@SURVEYS" xr:uid="{212F4295-0DA5-44AA-8E67-74E8E6779879}"/>
    <hyperlink ref="GL1" r:id="rId13" display="CD1XA@SURVEYS+CD1XOT@SURVEYS" xr:uid="{5D513A55-738B-49EA-B982-0EE73F92EEDC}"/>
    <hyperlink ref="GO1" r:id="rId14" display="CD1XHP@SURVEYS+CD1XOP@SURVEYS" xr:uid="{4BE59193-C34C-44B2-8839-F5AD7F9C4BF3}"/>
    <hyperlink ref="HE1" r:id="rId15" display="CD1XA@SURVEYS+CD1XOT@SURVEYS" xr:uid="{D90F5B01-907F-4278-AA04-0E0BE9CF8887}"/>
    <hyperlink ref="HH1" r:id="rId16" display="CD1XHP@SURVEYS+CD1XOP@SURVEYS" xr:uid="{40559827-54CE-4B1A-8D36-32CADDFBC9CF}"/>
    <hyperlink ref="HX1" r:id="rId17" display="CD1XA@SURVEYS+CD1XOT@SURVEYS" xr:uid="{DCC5E617-BCB0-46C4-9CC6-FA139FC04033}"/>
    <hyperlink ref="IA1" r:id="rId18" display="CD1XHP@SURVEYS+CD1XOP@SURVEYS" xr:uid="{65AED3B6-6E7A-44D5-9C49-B71937691FAD}"/>
    <hyperlink ref="IQ1" r:id="rId19" display="CD1XA@SURVEYS+CD1XOT@SURVEYS" xr:uid="{D8DC01B7-DE0D-4D13-B566-24FF5F163814}"/>
    <hyperlink ref="IT1" r:id="rId20" display="CD1XHP@SURVEYS+CD1XOP@SURVEYS" xr:uid="{80C963E7-EDD2-468F-AEF2-7D5211C7F913}"/>
  </hyperlinks>
  <pageMargins left="0.7" right="0.7" top="0.75" bottom="0.75" header="0.3" footer="0.3"/>
  <drawing r:id="rId2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27DF-D09A-429C-B63D-CA0CCB285455}">
  <sheetPr codeName="Sheet12"/>
  <dimension ref="A1:BJ82"/>
  <sheetViews>
    <sheetView zoomScale="80" zoomScaleNormal="80" workbookViewId="0">
      <selection activeCell="C9" sqref="C9"/>
    </sheetView>
  </sheetViews>
  <sheetFormatPr defaultColWidth="9.140625" defaultRowHeight="14.45"/>
  <cols>
    <col min="1" max="1" width="9.140625" style="28"/>
    <col min="2" max="2" width="31.140625" style="28" bestFit="1" customWidth="1"/>
    <col min="3" max="5" width="9.140625" style="61"/>
    <col min="6" max="29" width="9.140625" style="28"/>
    <col min="30" max="30" width="13.28515625" style="28" bestFit="1" customWidth="1"/>
    <col min="31" max="34" width="9.140625" style="28"/>
    <col min="35" max="35" width="11.140625" style="28" bestFit="1" customWidth="1"/>
    <col min="36" max="43" width="9.140625" style="28"/>
    <col min="44" max="44" width="19.7109375" style="28" customWidth="1"/>
    <col min="45" max="16384" width="9.140625" style="28"/>
  </cols>
  <sheetData>
    <row r="1" spans="1:62">
      <c r="T1" s="99"/>
    </row>
    <row r="3" spans="1:62" ht="15" thickBot="1">
      <c r="J3" s="402"/>
      <c r="K3" s="402"/>
      <c r="L3" s="402"/>
      <c r="AO3" s="402"/>
    </row>
    <row r="4" spans="1:62">
      <c r="A4" s="175" t="s">
        <v>1827</v>
      </c>
      <c r="B4" s="176" t="s">
        <v>1828</v>
      </c>
      <c r="C4" s="408" t="s">
        <v>1829</v>
      </c>
      <c r="D4" s="409" t="s">
        <v>1830</v>
      </c>
      <c r="E4" s="410"/>
      <c r="T4" s="99"/>
      <c r="V4" s="28" t="s">
        <v>333</v>
      </c>
      <c r="W4" s="28" t="s">
        <v>332</v>
      </c>
      <c r="AD4" s="100"/>
      <c r="BB4" s="99"/>
      <c r="BJ4" s="99"/>
    </row>
    <row r="5" spans="1:62">
      <c r="A5" s="181" t="s">
        <v>417</v>
      </c>
      <c r="B5" s="183" t="s">
        <v>416</v>
      </c>
      <c r="C5" s="184">
        <f>IFERROR(INDEX('Weighted US Tariff'!$N$12:$N$75,MATCH('F7 Products'!A5,'Weighted US Tariff'!$L$12:$L$75,0)),0)</f>
        <v>21.793217985095975</v>
      </c>
      <c r="D5" s="182">
        <f>INDEX(' LR Products'!$C$12:$C$76,MATCH('F7 Products'!A5,' LR Products'!$A$12:$A$76,0))</f>
        <v>6.6763112198148882</v>
      </c>
      <c r="E5" s="129"/>
      <c r="T5" s="99"/>
      <c r="V5" s="28" t="s">
        <v>336</v>
      </c>
      <c r="W5" s="28" t="s">
        <v>335</v>
      </c>
      <c r="AD5" s="100"/>
      <c r="BB5" s="99"/>
      <c r="BJ5" s="99"/>
    </row>
    <row r="6" spans="1:62">
      <c r="A6" s="181" t="s">
        <v>414</v>
      </c>
      <c r="B6" s="183" t="s">
        <v>413</v>
      </c>
      <c r="C6" s="184">
        <f>IFERROR(INDEX('Weighted US Tariff'!$N$12:$N$75,MATCH(A6,'Weighted US Tariff'!$L$12:$L$75,0)),0)</f>
        <v>20.984311739675501</v>
      </c>
      <c r="D6" s="182">
        <f>INDEX(' LR Products'!$C$12:$C$76,MATCH(A6,' LR Products'!$A$12:$A$76,0))</f>
        <v>6.5160104312794234</v>
      </c>
      <c r="E6" s="129"/>
      <c r="T6" s="99"/>
      <c r="V6" s="28" t="s">
        <v>339</v>
      </c>
      <c r="W6" s="28" t="s">
        <v>338</v>
      </c>
      <c r="AD6" s="100"/>
      <c r="BB6" s="99"/>
      <c r="BJ6" s="99"/>
    </row>
    <row r="7" spans="1:62">
      <c r="A7" s="181" t="s">
        <v>453</v>
      </c>
      <c r="B7" s="183" t="s">
        <v>452</v>
      </c>
      <c r="C7" s="184">
        <f>IFERROR(INDEX('Weighted US Tariff'!$N$12:$N$75,MATCH(A7,'Weighted US Tariff'!$L$12:$L$75,0)),0)</f>
        <v>18.245328954649175</v>
      </c>
      <c r="D7" s="182">
        <f>INDEX(' LR Products'!$C$12:$C$76,MATCH(A7,' LR Products'!$A$12:$A$76,0))</f>
        <v>5.6625170436716799</v>
      </c>
      <c r="E7" s="129"/>
      <c r="T7" s="99"/>
      <c r="V7" s="28" t="s">
        <v>342</v>
      </c>
      <c r="W7" s="28" t="s">
        <v>341</v>
      </c>
      <c r="AD7" s="100"/>
      <c r="BB7" s="99"/>
      <c r="BJ7" s="99"/>
    </row>
    <row r="8" spans="1:62">
      <c r="A8" s="181" t="s">
        <v>447</v>
      </c>
      <c r="B8" s="183" t="s">
        <v>446</v>
      </c>
      <c r="C8" s="184">
        <f>IFERROR(INDEX('Weighted US Tariff'!$N$12:$N$75,MATCH(A8,'Weighted US Tariff'!$L$12:$L$75,0)),0)</f>
        <v>18.053284549549328</v>
      </c>
      <c r="D8" s="182">
        <f>INDEX(' LR Products'!$C$12:$C$76,MATCH(A8,' LR Products'!$A$12:$A$76,0))</f>
        <v>5.0213138895298215</v>
      </c>
      <c r="E8" s="129"/>
      <c r="T8" s="99"/>
      <c r="V8" s="28" t="s">
        <v>345</v>
      </c>
      <c r="W8" s="28" t="s">
        <v>344</v>
      </c>
      <c r="AD8" s="100"/>
      <c r="BB8" s="99"/>
      <c r="BJ8" s="99"/>
    </row>
    <row r="9" spans="1:62">
      <c r="A9" s="181" t="s">
        <v>450</v>
      </c>
      <c r="B9" s="183" t="s">
        <v>449</v>
      </c>
      <c r="C9" s="184">
        <f>IFERROR(INDEX('Weighted US Tariff'!$N$12:$N$75,MATCH(A9,'Weighted US Tariff'!$L$12:$L$75,0)),0)</f>
        <v>16.953102865990971</v>
      </c>
      <c r="D9" s="182">
        <f>INDEX(' LR Products'!$C$12:$C$76,MATCH(A9,' LR Products'!$A$12:$A$76,0))</f>
        <v>5.2942584754145319</v>
      </c>
      <c r="E9" s="129"/>
      <c r="T9" s="99"/>
      <c r="V9" s="28" t="s">
        <v>348</v>
      </c>
      <c r="W9" s="28" t="s">
        <v>347</v>
      </c>
      <c r="AD9" s="100"/>
      <c r="BB9" s="99"/>
      <c r="BJ9" s="99"/>
    </row>
    <row r="10" spans="1:62">
      <c r="A10" s="181" t="s">
        <v>444</v>
      </c>
      <c r="B10" s="183" t="s">
        <v>443</v>
      </c>
      <c r="C10" s="184">
        <f>IFERROR(INDEX('Weighted US Tariff'!$N$12:$N$75,MATCH(A10,'Weighted US Tariff'!$L$12:$L$75,0)),0)</f>
        <v>16.624314505485472</v>
      </c>
      <c r="D10" s="182">
        <f>INDEX(' LR Products'!$C$12:$C$76,MATCH(A10,' LR Products'!$A$12:$A$76,0))</f>
        <v>5.2249392155073036</v>
      </c>
      <c r="E10" s="129"/>
      <c r="T10" s="99"/>
      <c r="V10" s="28" t="s">
        <v>351</v>
      </c>
      <c r="W10" s="28" t="s">
        <v>350</v>
      </c>
      <c r="AD10" s="100"/>
      <c r="BB10" s="99"/>
      <c r="BJ10" s="99"/>
    </row>
    <row r="11" spans="1:62">
      <c r="A11" s="181" t="s">
        <v>411</v>
      </c>
      <c r="B11" s="183" t="s">
        <v>410</v>
      </c>
      <c r="C11" s="184">
        <f>IFERROR(INDEX('Weighted US Tariff'!$N$12:$N$75,MATCH(A11,'Weighted US Tariff'!$L$12:$L$75,0)),0)</f>
        <v>13.675207482220213</v>
      </c>
      <c r="D11" s="182">
        <f>INDEX(' LR Products'!$C$12:$C$76,MATCH(A11,' LR Products'!$A$12:$A$76,0))</f>
        <v>4.4450975415509886</v>
      </c>
      <c r="E11" s="129"/>
      <c r="T11" s="99"/>
      <c r="V11" s="28" t="s">
        <v>354</v>
      </c>
      <c r="W11" s="28" t="s">
        <v>353</v>
      </c>
      <c r="AD11" s="100"/>
      <c r="BB11" s="99"/>
      <c r="BJ11" s="99"/>
    </row>
    <row r="12" spans="1:62">
      <c r="A12" s="181" t="s">
        <v>459</v>
      </c>
      <c r="B12" s="183" t="s">
        <v>458</v>
      </c>
      <c r="C12" s="184">
        <f>IFERROR(INDEX('Weighted US Tariff'!$N$12:$N$75,MATCH(A12,'Weighted US Tariff'!$L$12:$L$75,0)),0)</f>
        <v>12.619136558387074</v>
      </c>
      <c r="D12" s="182">
        <f>INDEX(' LR Products'!$C$12:$C$76,MATCH(A12,' LR Products'!$A$12:$A$76,0))</f>
        <v>5.2942584754145319</v>
      </c>
      <c r="E12" s="129"/>
      <c r="T12" s="99"/>
      <c r="V12" s="28" t="s">
        <v>357</v>
      </c>
      <c r="W12" s="28" t="s">
        <v>356</v>
      </c>
      <c r="AD12" s="100"/>
      <c r="BB12" s="99"/>
      <c r="BJ12" s="99"/>
    </row>
    <row r="13" spans="1:62">
      <c r="A13" s="181" t="s">
        <v>456</v>
      </c>
      <c r="B13" s="183" t="s">
        <v>455</v>
      </c>
      <c r="C13" s="184">
        <f>IFERROR(INDEX('Weighted US Tariff'!$N$12:$N$75,MATCH(A13,'Weighted US Tariff'!$L$12:$L$75,0)),0)</f>
        <v>10.886939238771516</v>
      </c>
      <c r="D13" s="182">
        <f>INDEX(' LR Products'!$C$12:$C$76,MATCH(A13,' LR Products'!$A$12:$A$76,0))</f>
        <v>4.1461582332010689</v>
      </c>
      <c r="E13" s="129"/>
      <c r="T13" s="99"/>
      <c r="V13" s="28" t="s">
        <v>360</v>
      </c>
      <c r="W13" s="28" t="s">
        <v>359</v>
      </c>
      <c r="AD13" s="100"/>
      <c r="BB13" s="99"/>
      <c r="BJ13" s="99"/>
    </row>
    <row r="14" spans="1:62">
      <c r="A14" s="181" t="s">
        <v>462</v>
      </c>
      <c r="B14" s="183" t="s">
        <v>461</v>
      </c>
      <c r="C14" s="184">
        <f>IFERROR(INDEX('Weighted US Tariff'!$N$12:$N$75,MATCH(A14,'Weighted US Tariff'!$L$12:$L$75,0)),0)</f>
        <v>7.7958424980757215</v>
      </c>
      <c r="D14" s="182">
        <f>INDEX(' LR Products'!$C$12:$C$76,MATCH(A14,' LR Products'!$A$12:$A$76,0))</f>
        <v>3.3359893830353426</v>
      </c>
      <c r="E14" s="129"/>
      <c r="T14" s="99"/>
      <c r="V14" s="28" t="s">
        <v>363</v>
      </c>
      <c r="W14" s="28" t="s">
        <v>362</v>
      </c>
      <c r="AD14" s="100"/>
      <c r="BB14" s="99"/>
      <c r="BJ14" s="99"/>
    </row>
    <row r="15" spans="1:62">
      <c r="A15" s="181" t="s">
        <v>465</v>
      </c>
      <c r="B15" s="183" t="s">
        <v>464</v>
      </c>
      <c r="C15" s="184">
        <f>IFERROR(INDEX('Weighted US Tariff'!$N$12:$N$75,MATCH(A15,'Weighted US Tariff'!$L$12:$L$75,0)),0)</f>
        <v>7.715266937715012</v>
      </c>
      <c r="D15" s="182">
        <f>INDEX(' LR Products'!$C$12:$C$76,MATCH(A15,' LR Products'!$A$12:$A$76,0))</f>
        <v>2.7727703962891166</v>
      </c>
      <c r="E15" s="129"/>
      <c r="T15" s="99"/>
      <c r="V15" s="28" t="s">
        <v>366</v>
      </c>
      <c r="W15" s="28" t="s">
        <v>365</v>
      </c>
      <c r="AD15" s="100"/>
      <c r="BB15" s="99"/>
      <c r="BJ15" s="99"/>
    </row>
    <row r="16" spans="1:62">
      <c r="A16" s="181" t="s">
        <v>435</v>
      </c>
      <c r="B16" s="183" t="s">
        <v>434</v>
      </c>
      <c r="C16" s="184">
        <f>IFERROR(INDEX('Weighted US Tariff'!$N$12:$N$75,MATCH(A16,'Weighted US Tariff'!$L$12:$L$75,0)),0)</f>
        <v>7.6785560139542373</v>
      </c>
      <c r="D16" s="182">
        <f>INDEX(' LR Products'!$C$12:$C$76,MATCH(A16,' LR Products'!$A$12:$A$76,0))</f>
        <v>2.7771028500333181</v>
      </c>
      <c r="E16" s="129"/>
      <c r="T16" s="99"/>
      <c r="V16" s="28" t="s">
        <v>369</v>
      </c>
      <c r="W16" s="28" t="s">
        <v>368</v>
      </c>
      <c r="AD16" s="100"/>
      <c r="BB16" s="99"/>
      <c r="BJ16" s="99"/>
    </row>
    <row r="17" spans="1:62">
      <c r="A17" s="181" t="s">
        <v>438</v>
      </c>
      <c r="B17" s="183" t="s">
        <v>437</v>
      </c>
      <c r="C17" s="184">
        <f>IFERROR(INDEX('Weighted US Tariff'!$N$12:$N$75,MATCH(A17,'Weighted US Tariff'!$L$12:$L$75,0)),0)</f>
        <v>7.6604727510117554</v>
      </c>
      <c r="D17" s="182">
        <f>INDEX(' LR Products'!$C$12:$C$76,MATCH(A17,' LR Products'!$A$12:$A$76,0))</f>
        <v>2.6038047002652482</v>
      </c>
      <c r="E17" s="129"/>
      <c r="T17" s="99"/>
      <c r="V17" s="28" t="s">
        <v>372</v>
      </c>
      <c r="W17" s="28" t="s">
        <v>371</v>
      </c>
      <c r="AD17" s="100"/>
      <c r="BB17" s="99"/>
      <c r="BJ17" s="99"/>
    </row>
    <row r="18" spans="1:62">
      <c r="A18" s="181" t="s">
        <v>441</v>
      </c>
      <c r="B18" s="183" t="s">
        <v>440</v>
      </c>
      <c r="C18" s="184">
        <f>IFERROR(INDEX('Weighted US Tariff'!$N$12:$N$75,MATCH(A18,'Weighted US Tariff'!$L$12:$L$75,0)),0)</f>
        <v>6.5948022711990415</v>
      </c>
      <c r="D18" s="182">
        <f>INDEX(' LR Products'!$C$12:$C$76,MATCH(A18,' LR Products'!$A$12:$A$76,0))</f>
        <v>2.9504009998013876</v>
      </c>
      <c r="E18" s="129"/>
      <c r="T18" s="99"/>
      <c r="V18" s="28" t="s">
        <v>375</v>
      </c>
      <c r="W18" s="28" t="s">
        <v>374</v>
      </c>
      <c r="AD18" s="100"/>
      <c r="AL18" s="402"/>
      <c r="BB18" s="99"/>
      <c r="BJ18" s="99"/>
    </row>
    <row r="19" spans="1:62">
      <c r="A19" s="181" t="s">
        <v>354</v>
      </c>
      <c r="B19" s="183" t="s">
        <v>353</v>
      </c>
      <c r="C19" s="184">
        <f>IFERROR(INDEX('Weighted US Tariff'!$N$12:$N$75,MATCH(A19,'Weighted US Tariff'!$L$12:$L$75,0)),0)</f>
        <v>4.4593631810323542</v>
      </c>
      <c r="D19" s="182">
        <f>INDEX(' LR Products'!$C$12:$C$76,MATCH(A19,' LR Products'!$A$12:$A$76,0))</f>
        <v>1.559683347912628</v>
      </c>
      <c r="E19" s="129"/>
      <c r="T19" s="99"/>
      <c r="V19" s="28" t="s">
        <v>378</v>
      </c>
      <c r="W19" s="28" t="s">
        <v>377</v>
      </c>
      <c r="AD19" s="100"/>
      <c r="AL19" s="402"/>
      <c r="BB19" s="99"/>
      <c r="BJ19" s="99"/>
    </row>
    <row r="20" spans="1:62">
      <c r="A20" s="181" t="s">
        <v>399</v>
      </c>
      <c r="B20" s="183" t="s">
        <v>398</v>
      </c>
      <c r="C20" s="184">
        <f>IFERROR(INDEX('Weighted US Tariff'!$N$12:$N$75,MATCH(A20,'Weighted US Tariff'!$L$12:$L$75,0)),0)</f>
        <v>3.8857865061118742</v>
      </c>
      <c r="D20" s="182">
        <f>INDEX(' LR Products'!$C$12:$C$76,MATCH(A20,' LR Products'!$A$12:$A$76,0))</f>
        <v>3.2580052156397117</v>
      </c>
      <c r="E20" s="129"/>
      <c r="T20" s="99"/>
      <c r="V20" s="28" t="s">
        <v>381</v>
      </c>
      <c r="W20" s="28" t="s">
        <v>380</v>
      </c>
      <c r="AD20" s="100"/>
      <c r="AL20" s="402"/>
      <c r="BB20" s="99"/>
      <c r="BJ20" s="99"/>
    </row>
    <row r="21" spans="1:62">
      <c r="A21" s="181" t="s">
        <v>420</v>
      </c>
      <c r="B21" s="183" t="s">
        <v>419</v>
      </c>
      <c r="C21" s="184">
        <f>IFERROR(INDEX('Weighted US Tariff'!$N$12:$N$75,MATCH(A21,'Weighted US Tariff'!$L$12:$L$75,0)),0)</f>
        <v>2.8412724226955031</v>
      </c>
      <c r="D21" s="182">
        <f>INDEX(' LR Products'!$C$12:$C$76,MATCH(A21,' LR Products'!$A$12:$A$76,0))</f>
        <v>1.6203377003314523</v>
      </c>
      <c r="E21" s="129"/>
      <c r="T21" s="99"/>
      <c r="V21" s="28" t="s">
        <v>384</v>
      </c>
      <c r="W21" s="28" t="s">
        <v>383</v>
      </c>
      <c r="AD21" s="100"/>
      <c r="AL21" s="402"/>
      <c r="BB21" s="99"/>
      <c r="BJ21" s="99"/>
    </row>
    <row r="22" spans="1:62">
      <c r="A22" s="181" t="s">
        <v>429</v>
      </c>
      <c r="B22" s="183" t="s">
        <v>428</v>
      </c>
      <c r="C22" s="184">
        <f>IFERROR(INDEX('Weighted US Tariff'!$N$12:$N$75,MATCH(A22,'Weighted US Tariff'!$L$12:$L$75,0)),0)</f>
        <v>2.0539151083766614</v>
      </c>
      <c r="D22" s="182">
        <f>INDEX(' LR Products'!$C$12:$C$76,MATCH(A22,' LR Products'!$A$12:$A$76,0))</f>
        <v>1.3257308457257337</v>
      </c>
      <c r="E22" s="129"/>
      <c r="T22" s="99"/>
      <c r="V22" s="28" t="s">
        <v>387</v>
      </c>
      <c r="W22" s="28" t="s">
        <v>386</v>
      </c>
      <c r="AD22" s="100"/>
      <c r="AL22" s="402"/>
      <c r="BB22" s="99"/>
      <c r="BJ22" s="99"/>
    </row>
    <row r="23" spans="1:62">
      <c r="A23" s="181" t="s">
        <v>372</v>
      </c>
      <c r="B23" s="183" t="s">
        <v>371</v>
      </c>
      <c r="C23" s="184">
        <f>IFERROR(INDEX('Weighted US Tariff'!$N$12:$N$75,MATCH(A23,'Weighted US Tariff'!$L$12:$L$75,0)),0)</f>
        <v>2.031836355436722</v>
      </c>
      <c r="D23" s="182">
        <f>INDEX(' LR Products'!$C$12:$C$76,MATCH(A23,' LR Products'!$A$12:$A$76,0))</f>
        <v>1.3300632994699353</v>
      </c>
      <c r="E23" s="129"/>
      <c r="T23" s="99"/>
      <c r="V23" s="28" t="s">
        <v>390</v>
      </c>
      <c r="W23" s="28" t="s">
        <v>389</v>
      </c>
      <c r="AD23" s="100"/>
      <c r="AL23" s="402"/>
      <c r="BB23" s="99"/>
      <c r="BJ23" s="99"/>
    </row>
    <row r="24" spans="1:62">
      <c r="A24" s="181" t="s">
        <v>393</v>
      </c>
      <c r="B24" s="183" t="s">
        <v>392</v>
      </c>
      <c r="C24" s="184">
        <f>IFERROR(INDEX('Weighted US Tariff'!$N$12:$N$75,MATCH(A24,'Weighted US Tariff'!$L$12:$L$75,0)),0)</f>
        <v>1.8640431549203798</v>
      </c>
      <c r="D24" s="182">
        <f>INDEX(' LR Products'!$C$12:$C$76,MATCH(A24,' LR Products'!$A$12:$A$76,0))</f>
        <v>0.94014246249177846</v>
      </c>
      <c r="E24" s="129"/>
      <c r="O24" s="402"/>
      <c r="T24" s="99"/>
      <c r="V24" s="28" t="s">
        <v>393</v>
      </c>
      <c r="W24" s="28" t="s">
        <v>392</v>
      </c>
      <c r="AD24" s="100"/>
      <c r="AL24" s="402"/>
      <c r="BB24" s="99"/>
      <c r="BJ24" s="99"/>
    </row>
    <row r="25" spans="1:62">
      <c r="A25" s="181" t="s">
        <v>408</v>
      </c>
      <c r="B25" s="183" t="s">
        <v>407</v>
      </c>
      <c r="C25" s="184">
        <f>IFERROR(INDEX('Weighted US Tariff'!$N$12:$N$75,MATCH(A25,'Weighted US Tariff'!$L$12:$L$75,0)),0)</f>
        <v>1.6113840562999007</v>
      </c>
      <c r="D25" s="182">
        <f>INDEX(' LR Products'!$C$12:$C$76,MATCH(A25,' LR Products'!$A$12:$A$76,0))</f>
        <v>1.473034273028593</v>
      </c>
      <c r="E25" s="129"/>
      <c r="T25" s="99"/>
      <c r="V25" s="28" t="s">
        <v>396</v>
      </c>
      <c r="W25" s="28" t="s">
        <v>395</v>
      </c>
      <c r="AD25" s="100"/>
      <c r="AL25" s="402"/>
      <c r="BB25" s="99"/>
      <c r="BJ25" s="99"/>
    </row>
    <row r="26" spans="1:62">
      <c r="A26" s="181" t="s">
        <v>405</v>
      </c>
      <c r="B26" s="183" t="s">
        <v>404</v>
      </c>
      <c r="C26" s="184">
        <f>IFERROR(INDEX('Weighted US Tariff'!$N$12:$N$75,MATCH(A26,'Weighted US Tariff'!$L$12:$L$75,0)),0)</f>
        <v>1.5203589391093943</v>
      </c>
      <c r="D26" s="182">
        <f>INDEX(' LR Products'!$C$12:$C$76,MATCH(A26,' LR Products'!$A$12:$A$76,0))</f>
        <v>1.1221055197482517</v>
      </c>
      <c r="E26" s="129"/>
      <c r="T26" s="99"/>
      <c r="V26" s="28" t="s">
        <v>399</v>
      </c>
      <c r="W26" s="28" t="s">
        <v>398</v>
      </c>
      <c r="AD26" s="100"/>
      <c r="AL26" s="402"/>
      <c r="BB26" s="99"/>
      <c r="BJ26" s="99"/>
    </row>
    <row r="27" spans="1:62">
      <c r="A27" s="181" t="s">
        <v>333</v>
      </c>
      <c r="B27" s="183" t="s">
        <v>332</v>
      </c>
      <c r="C27" s="184">
        <f>IFERROR(INDEX('Weighted US Tariff'!$N$12:$N$75,MATCH(A27,'Weighted US Tariff'!$L$12:$L$75,0)),0)</f>
        <v>1.2893703639961673</v>
      </c>
      <c r="D27" s="182">
        <f>INDEX(' LR Products'!$C$12:$C$76,MATCH(A27,' LR Products'!$A$12:$A$76,0))</f>
        <v>0.67153033035127041</v>
      </c>
      <c r="E27" s="129"/>
      <c r="T27" s="99"/>
      <c r="V27" s="28" t="s">
        <v>402</v>
      </c>
      <c r="W27" s="28" t="s">
        <v>401</v>
      </c>
      <c r="AD27" s="100"/>
      <c r="AL27" s="402"/>
      <c r="BB27" s="99"/>
      <c r="BJ27" s="99"/>
    </row>
    <row r="28" spans="1:62">
      <c r="A28" s="181" t="s">
        <v>423</v>
      </c>
      <c r="B28" s="183" t="s">
        <v>422</v>
      </c>
      <c r="C28" s="184">
        <f>IFERROR(INDEX('Weighted US Tariff'!$N$12:$N$75,MATCH(A28,'Weighted US Tariff'!$L$12:$L$75,0)),0)</f>
        <v>1.2639839374636435</v>
      </c>
      <c r="D28" s="182">
        <f>INDEX(' LR Products'!$C$12:$C$76,MATCH(A28,' LR Products'!$A$12:$A$76,0))</f>
        <v>1.1697625109344709</v>
      </c>
      <c r="E28" s="129"/>
      <c r="T28" s="99"/>
      <c r="V28" s="28" t="s">
        <v>405</v>
      </c>
      <c r="W28" s="28" t="s">
        <v>404</v>
      </c>
      <c r="AD28" s="100"/>
      <c r="AL28" s="402"/>
      <c r="BB28" s="99"/>
      <c r="BJ28" s="99"/>
    </row>
    <row r="29" spans="1:62">
      <c r="A29" s="181" t="s">
        <v>342</v>
      </c>
      <c r="B29" s="183" t="s">
        <v>341</v>
      </c>
      <c r="C29" s="184">
        <f>IFERROR(INDEX('Weighted US Tariff'!$N$12:$N$75,MATCH(A29,'Weighted US Tariff'!$L$12:$L$75,0)),0)</f>
        <v>1.1888264955427279</v>
      </c>
      <c r="D29" s="182">
        <f>INDEX(' LR Products'!$C$12:$C$76,MATCH(A29,' LR Products'!$A$12:$A$76,0))</f>
        <v>0.66719787660706853</v>
      </c>
      <c r="E29" s="129"/>
      <c r="T29" s="99"/>
      <c r="V29" s="28" t="s">
        <v>408</v>
      </c>
      <c r="W29" s="28" t="s">
        <v>407</v>
      </c>
      <c r="AD29" s="100"/>
      <c r="AL29" s="402"/>
      <c r="BB29" s="99"/>
      <c r="BJ29" s="99"/>
    </row>
    <row r="30" spans="1:62">
      <c r="A30" s="181" t="s">
        <v>384</v>
      </c>
      <c r="B30" s="183" t="s">
        <v>383</v>
      </c>
      <c r="C30" s="184">
        <f>IFERROR(INDEX('Weighted US Tariff'!$N$12:$N$75,MATCH(A30,'Weighted US Tariff'!$L$12:$L$75,0)),0)</f>
        <v>1.0334035269097046</v>
      </c>
      <c r="D30" s="182">
        <f>INDEX(' LR Products'!$C$12:$C$76,MATCH(A30,' LR Products'!$A$12:$A$76,0))</f>
        <v>0.43757782816437613</v>
      </c>
      <c r="E30" s="129"/>
      <c r="T30" s="99"/>
      <c r="V30" s="28" t="s">
        <v>411</v>
      </c>
      <c r="W30" s="28" t="s">
        <v>410</v>
      </c>
      <c r="AD30" s="100"/>
      <c r="BB30" s="99"/>
      <c r="BJ30" s="99"/>
    </row>
    <row r="31" spans="1:62">
      <c r="A31" s="181" t="s">
        <v>369</v>
      </c>
      <c r="B31" s="183" t="s">
        <v>368</v>
      </c>
      <c r="C31" s="184">
        <f>IFERROR(INDEX('Weighted US Tariff'!$N$12:$N$75,MATCH(A31,'Weighted US Tariff'!$L$12:$L$75,0)),0)</f>
        <v>0.97505870914533144</v>
      </c>
      <c r="D31" s="182">
        <f>INDEX(' LR Products'!$C$12:$C$76,MATCH(A31,' LR Products'!$A$12:$A$76,0))</f>
        <v>0.74518204400269994</v>
      </c>
      <c r="E31" s="129"/>
      <c r="T31" s="99"/>
      <c r="V31" s="28" t="s">
        <v>414</v>
      </c>
      <c r="W31" s="28" t="s">
        <v>413</v>
      </c>
      <c r="AD31" s="100"/>
      <c r="BB31" s="99"/>
      <c r="BJ31" s="99"/>
    </row>
    <row r="32" spans="1:62">
      <c r="A32" s="181" t="s">
        <v>360</v>
      </c>
      <c r="B32" s="183" t="s">
        <v>359</v>
      </c>
      <c r="C32" s="184">
        <f>IFERROR(INDEX('Weighted US Tariff'!$N$12:$N$75,MATCH(A32,'Weighted US Tariff'!$L$12:$L$75,0)),0)</f>
        <v>0.65947758752105545</v>
      </c>
      <c r="D32" s="182">
        <f>INDEX(' LR Products'!$C$12:$C$76,MATCH(A32,' LR Products'!$A$12:$A$76,0))</f>
        <v>0.54155671802521799</v>
      </c>
      <c r="E32" s="129"/>
      <c r="T32" s="99"/>
      <c r="V32" s="28" t="s">
        <v>417</v>
      </c>
      <c r="W32" s="28" t="s">
        <v>416</v>
      </c>
      <c r="AD32" s="100"/>
      <c r="BB32" s="99"/>
      <c r="BJ32" s="99"/>
    </row>
    <row r="33" spans="1:62">
      <c r="A33" s="181" t="s">
        <v>378</v>
      </c>
      <c r="B33" s="183" t="s">
        <v>377</v>
      </c>
      <c r="C33" s="184">
        <f>IFERROR(INDEX('Weighted US Tariff'!$N$12:$N$75,MATCH(A33,'Weighted US Tariff'!$L$12:$L$75,0)),0)</f>
        <v>0.60777725404495586</v>
      </c>
      <c r="D33" s="182">
        <f>INDEX(' LR Products'!$C$12:$C$76,MATCH(A33,' LR Products'!$A$12:$A$76,0))</f>
        <v>0.16463324227966628</v>
      </c>
      <c r="E33" s="129"/>
      <c r="T33" s="99"/>
      <c r="V33" s="28" t="s">
        <v>420</v>
      </c>
      <c r="W33" s="28" t="s">
        <v>419</v>
      </c>
      <c r="AD33" s="100"/>
      <c r="BB33" s="99"/>
      <c r="BJ33" s="99"/>
    </row>
    <row r="34" spans="1:62">
      <c r="A34" s="181" t="s">
        <v>402</v>
      </c>
      <c r="B34" s="183" t="s">
        <v>401</v>
      </c>
      <c r="C34" s="184">
        <f>IFERROR(INDEX('Weighted US Tariff'!$N$12:$N$75,MATCH(A34,'Weighted US Tariff'!$L$12:$L$75,0)),0)</f>
        <v>0.54528374895404119</v>
      </c>
      <c r="D34" s="182">
        <f>INDEX(' LR Products'!$C$12:$C$76,MATCH(A34,' LR Products'!$A$12:$A$76,0))</f>
        <v>0.94014246249177846</v>
      </c>
      <c r="E34" s="129"/>
      <c r="T34" s="99"/>
      <c r="V34" s="28" t="s">
        <v>423</v>
      </c>
      <c r="W34" s="28" t="s">
        <v>422</v>
      </c>
      <c r="AD34" s="100"/>
      <c r="BB34" s="99"/>
      <c r="BJ34" s="99"/>
    </row>
    <row r="35" spans="1:62">
      <c r="A35" s="181" t="s">
        <v>339</v>
      </c>
      <c r="B35" s="183" t="s">
        <v>338</v>
      </c>
      <c r="C35" s="184">
        <f>IFERROR(INDEX('Weighted US Tariff'!$N$12:$N$75,MATCH(A35,'Weighted US Tariff'!$L$12:$L$75,0)),0)</f>
        <v>0.50442872875729805</v>
      </c>
      <c r="D35" s="182">
        <f>INDEX(' LR Products'!$C$12:$C$76,MATCH(A35,' LR Products'!$A$12:$A$76,0))</f>
        <v>0.69752505281648081</v>
      </c>
      <c r="E35" s="129"/>
      <c r="T35" s="99"/>
      <c r="V35" s="28" t="s">
        <v>426</v>
      </c>
      <c r="W35" s="28" t="s">
        <v>425</v>
      </c>
      <c r="AD35" s="100"/>
      <c r="BB35" s="99"/>
      <c r="BJ35" s="99"/>
    </row>
    <row r="36" spans="1:62">
      <c r="A36" s="181" t="s">
        <v>396</v>
      </c>
      <c r="B36" s="183" t="s">
        <v>395</v>
      </c>
      <c r="C36" s="184">
        <f>IFERROR(INDEX('Weighted US Tariff'!$N$12:$N$75,MATCH(A36,'Weighted US Tariff'!$L$12:$L$75,0)),0)</f>
        <v>0.36220989723621005</v>
      </c>
      <c r="D36" s="182">
        <f>INDEX(' LR Products'!$C$12:$C$76,MATCH(A36,' LR Products'!$A$12:$A$76,0))</f>
        <v>0.89248547130555922</v>
      </c>
      <c r="E36" s="129"/>
      <c r="T36" s="99"/>
      <c r="V36" s="28" t="s">
        <v>429</v>
      </c>
      <c r="W36" s="28" t="s">
        <v>428</v>
      </c>
      <c r="AD36" s="100"/>
      <c r="BB36" s="99"/>
      <c r="BJ36" s="99"/>
    </row>
    <row r="37" spans="1:62">
      <c r="A37" s="181" t="s">
        <v>432</v>
      </c>
      <c r="B37" s="183" t="s">
        <v>431</v>
      </c>
      <c r="C37" s="184">
        <f>IFERROR(INDEX('Weighted US Tariff'!$N$12:$N$75,MATCH(A37,'Weighted US Tariff'!$L$12:$L$75,0)),0)</f>
        <v>0.35489083539335409</v>
      </c>
      <c r="D37" s="182">
        <f>INDEX(' LR Products'!$C$12:$C$76,MATCH(A37,' LR Products'!$A$12:$A$76,0))</f>
        <v>0.45057518939698143</v>
      </c>
      <c r="E37" s="129"/>
      <c r="T37" s="99"/>
      <c r="V37" s="28" t="s">
        <v>432</v>
      </c>
      <c r="W37" s="28" t="s">
        <v>431</v>
      </c>
      <c r="AD37" s="100"/>
      <c r="BB37" s="99"/>
      <c r="BJ37" s="99"/>
    </row>
    <row r="38" spans="1:62">
      <c r="A38" s="181" t="s">
        <v>426</v>
      </c>
      <c r="B38" s="183" t="s">
        <v>425</v>
      </c>
      <c r="C38" s="184">
        <f>IFERROR(INDEX('Weighted US Tariff'!$N$12:$N$75,MATCH(A38,'Weighted US Tariff'!$L$12:$L$75,0)),0)</f>
        <v>0.21545017556949062</v>
      </c>
      <c r="D38" s="182">
        <f>INDEX(' LR Products'!$C$12:$C$76,MATCH(A38,' LR Products'!$A$12:$A$76,0))</f>
        <v>0.24261740967529766</v>
      </c>
      <c r="E38" s="129"/>
      <c r="T38" s="99"/>
      <c r="V38" s="28" t="s">
        <v>435</v>
      </c>
      <c r="W38" s="28" t="s">
        <v>434</v>
      </c>
      <c r="AD38" s="100"/>
      <c r="BB38" s="99"/>
      <c r="BJ38" s="99"/>
    </row>
    <row r="39" spans="1:62">
      <c r="A39" s="181" t="s">
        <v>390</v>
      </c>
      <c r="B39" s="183" t="s">
        <v>389</v>
      </c>
      <c r="C39" s="184">
        <f>IFERROR(INDEX('Weighted US Tariff'!$N$12:$N$75,MATCH(A39,'Weighted US Tariff'!$L$12:$L$75,0)),0)</f>
        <v>0.19784677786978452</v>
      </c>
      <c r="D39" s="182">
        <f>INDEX(' LR Products'!$C$12:$C$76,MATCH(A39,' LR Products'!$A$12:$A$76,0))</f>
        <v>0.61087597793244586</v>
      </c>
      <c r="E39" s="129"/>
      <c r="T39" s="99"/>
      <c r="V39" s="28" t="s">
        <v>438</v>
      </c>
      <c r="W39" s="28" t="s">
        <v>437</v>
      </c>
      <c r="AD39" s="100"/>
      <c r="BB39" s="99"/>
      <c r="BJ39" s="99"/>
    </row>
    <row r="40" spans="1:62">
      <c r="A40" s="181" t="s">
        <v>345</v>
      </c>
      <c r="B40" s="183" t="s">
        <v>344</v>
      </c>
      <c r="C40" s="184">
        <f>IFERROR(INDEX('Weighted US Tariff'!$N$12:$N$75,MATCH(A40,'Weighted US Tariff'!$L$12:$L$75,0)),0)</f>
        <v>0.16337034408855411</v>
      </c>
      <c r="D40" s="182">
        <f>INDEX(' LR Products'!$C$12:$C$76,MATCH(A40,' LR Products'!$A$12:$A$76,0))</f>
        <v>0.12130870483764883</v>
      </c>
      <c r="E40" s="129"/>
      <c r="T40" s="99"/>
      <c r="V40" s="28" t="s">
        <v>441</v>
      </c>
      <c r="W40" s="28" t="s">
        <v>440</v>
      </c>
      <c r="AD40" s="100"/>
      <c r="BB40" s="99"/>
      <c r="BJ40" s="99"/>
    </row>
    <row r="41" spans="1:62">
      <c r="A41" s="181" t="s">
        <v>366</v>
      </c>
      <c r="B41" s="183" t="s">
        <v>365</v>
      </c>
      <c r="C41" s="184">
        <f>IFERROR(INDEX('Weighted US Tariff'!$N$12:$N$75,MATCH(A41,'Weighted US Tariff'!$L$12:$L$75,0)),0)</f>
        <v>0.16264770518850705</v>
      </c>
      <c r="D41" s="182">
        <f>INDEX(' LR Products'!$C$12:$C$76,MATCH(A41,' LR Products'!$A$12:$A$76,0))</f>
        <v>2.8594194711731511</v>
      </c>
      <c r="E41" s="129"/>
      <c r="T41" s="99"/>
      <c r="V41" s="28" t="s">
        <v>444</v>
      </c>
      <c r="W41" s="28" t="s">
        <v>443</v>
      </c>
      <c r="AD41" s="100"/>
      <c r="BB41" s="99"/>
      <c r="BJ41" s="99"/>
    </row>
    <row r="42" spans="1:62">
      <c r="A42" s="181" t="s">
        <v>387</v>
      </c>
      <c r="B42" s="183" t="s">
        <v>386</v>
      </c>
      <c r="C42" s="184">
        <f>IFERROR(INDEX('Weighted US Tariff'!$N$12:$N$75,MATCH(A42,'Weighted US Tariff'!$L$12:$L$75,0)),0)</f>
        <v>0.12032213100068091</v>
      </c>
      <c r="D42" s="182">
        <f>INDEX(' LR Products'!$C$12:$C$76,MATCH(A42,' LR Products'!$A$12:$A$76,0))</f>
        <v>0.57188389423463026</v>
      </c>
      <c r="E42" s="129"/>
      <c r="T42" s="99"/>
      <c r="V42" s="28" t="s">
        <v>447</v>
      </c>
      <c r="W42" s="28" t="s">
        <v>446</v>
      </c>
      <c r="AD42" s="100"/>
      <c r="BB42" s="99"/>
      <c r="BJ42" s="99"/>
    </row>
    <row r="43" spans="1:62">
      <c r="A43" s="181" t="s">
        <v>351</v>
      </c>
      <c r="B43" s="183" t="s">
        <v>350</v>
      </c>
      <c r="C43" s="184">
        <f>IFERROR(INDEX('Weighted US Tariff'!$N$12:$N$75,MATCH(A43,'Weighted US Tariff'!$L$12:$L$75,0)),0)</f>
        <v>7.3020475128223614E-2</v>
      </c>
      <c r="D43" s="182">
        <f>INDEX(' LR Products'!$C$12:$C$76,MATCH(A43,' LR Products'!$A$12:$A$76,0))</f>
        <v>0.51122954181580582</v>
      </c>
      <c r="E43" s="129"/>
      <c r="T43" s="99"/>
      <c r="V43" s="28" t="s">
        <v>450</v>
      </c>
      <c r="W43" s="28" t="s">
        <v>449</v>
      </c>
      <c r="AB43" s="28">
        <v>2496</v>
      </c>
      <c r="AC43" s="28">
        <f>AB43*2/3</f>
        <v>1664</v>
      </c>
      <c r="AD43" s="100"/>
      <c r="BB43" s="99"/>
      <c r="BJ43" s="99"/>
    </row>
    <row r="44" spans="1:62">
      <c r="A44" s="181" t="s">
        <v>381</v>
      </c>
      <c r="B44" s="183" t="s">
        <v>380</v>
      </c>
      <c r="C44" s="184">
        <f>IFERROR(INDEX('Weighted US Tariff'!$N$12:$N$75,MATCH(A44,'Weighted US Tariff'!$L$12:$L$75,0)),0)</f>
        <v>7.2860120153535199E-2</v>
      </c>
      <c r="D44" s="182">
        <f>INDEX(' LR Products'!$C$12:$C$76,MATCH(A44,' LR Products'!$A$12:$A$76,0))</f>
        <v>0.34659629953613957</v>
      </c>
      <c r="E44" s="129"/>
      <c r="T44" s="99"/>
      <c r="V44" s="28" t="s">
        <v>453</v>
      </c>
      <c r="W44" s="28" t="s">
        <v>452</v>
      </c>
      <c r="AB44" s="28">
        <v>3648</v>
      </c>
      <c r="AC44" s="28">
        <f>AB44*2/3</f>
        <v>2432</v>
      </c>
      <c r="AD44" s="100"/>
      <c r="BB44" s="99"/>
      <c r="BJ44" s="99"/>
    </row>
    <row r="45" spans="1:62">
      <c r="A45" s="181" t="s">
        <v>357</v>
      </c>
      <c r="B45" s="183" t="s">
        <v>356</v>
      </c>
      <c r="C45" s="184">
        <f>IFERROR(INDEX('Weighted US Tariff'!$N$12:$N$75,MATCH(A45,'Weighted US Tariff'!$L$12:$L$75,0)),0)</f>
        <v>2.7734417591698708E-2</v>
      </c>
      <c r="D45" s="182">
        <f>INDEX(' LR Products'!$C$12:$C$76,MATCH(A45,' LR Products'!$A$12:$A$76,0))</f>
        <v>0.40725065195496396</v>
      </c>
      <c r="E45" s="129"/>
      <c r="T45" s="99"/>
      <c r="V45" s="28" t="s">
        <v>456</v>
      </c>
      <c r="W45" s="28" t="s">
        <v>455</v>
      </c>
      <c r="AD45" s="100"/>
      <c r="BB45" s="99"/>
      <c r="BJ45" s="99"/>
    </row>
    <row r="46" spans="1:62">
      <c r="A46" s="181" t="s">
        <v>348</v>
      </c>
      <c r="B46" s="183" t="s">
        <v>347</v>
      </c>
      <c r="C46" s="184">
        <f>IFERROR(INDEX('Weighted US Tariff'!$N$12:$N$75,MATCH(A46,'Weighted US Tariff'!$L$12:$L$75,0)),0)</f>
        <v>5.5104388221601536E-3</v>
      </c>
      <c r="D46" s="182">
        <f>INDEX(' LR Products'!$C$12:$C$76,MATCH(A46,' LR Products'!$A$12:$A$76,0))</f>
        <v>2.1662268721008723E-2</v>
      </c>
      <c r="E46" s="129"/>
      <c r="T46" s="99"/>
      <c r="V46" s="28" t="s">
        <v>459</v>
      </c>
      <c r="W46" s="28" t="s">
        <v>458</v>
      </c>
      <c r="AD46" s="100"/>
      <c r="BB46" s="99"/>
      <c r="BJ46" s="99"/>
    </row>
    <row r="47" spans="1:62">
      <c r="A47" s="181" t="s">
        <v>336</v>
      </c>
      <c r="B47" s="183" t="s">
        <v>335</v>
      </c>
      <c r="C47" s="184">
        <f>IFERROR(INDEX('Weighted US Tariff'!$N$12:$N$75,MATCH(A47,'Weighted US Tariff'!$L$12:$L$75,0)),0)</f>
        <v>3.816926052234658E-3</v>
      </c>
      <c r="D47" s="182">
        <f>INDEX(' LR Products'!$C$12:$C$76,MATCH(A47,' LR Products'!$A$12:$A$76,0))</f>
        <v>0.48523481935059531</v>
      </c>
      <c r="E47" s="129"/>
      <c r="T47" s="99"/>
      <c r="V47" s="28" t="s">
        <v>462</v>
      </c>
      <c r="W47" s="28" t="s">
        <v>461</v>
      </c>
      <c r="AD47" s="100"/>
      <c r="BB47" s="99"/>
      <c r="BJ47" s="99"/>
    </row>
    <row r="48" spans="1:62">
      <c r="A48" s="181" t="s">
        <v>375</v>
      </c>
      <c r="B48" s="183" t="s">
        <v>374</v>
      </c>
      <c r="C48" s="184">
        <f>IFERROR(INDEX('Weighted US Tariff'!$N$12:$N$75,MATCH(A48,'Weighted US Tariff'!$L$12:$L$75,0)),0)</f>
        <v>1.9948799717618449E-4</v>
      </c>
      <c r="D48" s="182">
        <f>INDEX(' LR Products'!$C$12:$C$76,MATCH(A48,' LR Products'!$A$12:$A$76,0))</f>
        <v>0.20362532597748198</v>
      </c>
      <c r="E48" s="129"/>
      <c r="T48" s="99"/>
      <c r="V48" s="28" t="s">
        <v>465</v>
      </c>
      <c r="W48" s="28" t="s">
        <v>464</v>
      </c>
      <c r="AD48" s="100"/>
      <c r="BB48" s="99"/>
      <c r="BJ48" s="99"/>
    </row>
    <row r="49" spans="1:62">
      <c r="A49" s="181" t="s">
        <v>468</v>
      </c>
      <c r="B49" s="183" t="s">
        <v>467</v>
      </c>
      <c r="C49" s="184">
        <f>IFERROR(INDEX('Weighted US Tariff'!$N$12:$N$75,MATCH(A49,'Weighted US Tariff'!$L$12:$L$75,0)),0)</f>
        <v>0</v>
      </c>
      <c r="D49" s="182">
        <f>INDEX(' LR Products'!$C$12:$C$76,MATCH(A49,' LR Products'!$A$12:$A$76,0))</f>
        <v>0.51556199556000748</v>
      </c>
      <c r="E49" s="129"/>
      <c r="T49" s="99"/>
      <c r="V49" s="28" t="s">
        <v>468</v>
      </c>
      <c r="W49" s="28" t="s">
        <v>467</v>
      </c>
      <c r="AD49" s="100"/>
      <c r="BB49" s="99"/>
      <c r="BJ49" s="99"/>
    </row>
    <row r="50" spans="1:62">
      <c r="A50" s="181" t="s">
        <v>476</v>
      </c>
      <c r="B50" s="183" t="s">
        <v>27</v>
      </c>
      <c r="C50" s="184">
        <f>IFERROR(INDEX('Weighted US Tariff'!$N$12:$N$75,MATCH(A50,'Weighted US Tariff'!$L$12:$L$75,0)),0)</f>
        <v>0</v>
      </c>
      <c r="D50" s="182">
        <f>INDEX(' LR Products'!$C$12:$C$76,MATCH(A50,' LR Products'!$A$12:$A$76,0))</f>
        <v>0.9358100087475768</v>
      </c>
      <c r="E50" s="129"/>
      <c r="T50" s="99"/>
      <c r="V50" s="28" t="s">
        <v>471</v>
      </c>
      <c r="W50" s="28" t="s">
        <v>470</v>
      </c>
      <c r="AD50" s="100"/>
      <c r="BB50" s="99"/>
      <c r="BJ50" s="99"/>
    </row>
    <row r="51" spans="1:62">
      <c r="A51" s="181" t="s">
        <v>363</v>
      </c>
      <c r="B51" s="183" t="s">
        <v>362</v>
      </c>
      <c r="C51" s="184">
        <f>IFERROR(INDEX('Weighted US Tariff'!$N$12:$N$75,MATCH(A51,'Weighted US Tariff'!$L$12:$L$75,0)),0)</f>
        <v>0</v>
      </c>
      <c r="D51" s="182">
        <f>INDEX(' LR Products'!$C$12:$C$76,MATCH(A51,' LR Products'!$A$12:$A$76,0))</f>
        <v>0.68019523783967384</v>
      </c>
      <c r="E51" s="129"/>
      <c r="T51" s="99"/>
      <c r="V51" s="28" t="s">
        <v>474</v>
      </c>
      <c r="W51" s="28" t="s">
        <v>473</v>
      </c>
      <c r="AD51" s="100"/>
      <c r="BB51" s="99"/>
      <c r="BJ51" s="99"/>
    </row>
    <row r="52" spans="1:62">
      <c r="A52" s="181" t="s">
        <v>474</v>
      </c>
      <c r="B52" s="183" t="s">
        <v>473</v>
      </c>
      <c r="C52" s="184">
        <f>IFERROR(INDEX('Weighted US Tariff'!$N$12:$N$75,MATCH(A52,'Weighted US Tariff'!$L$12:$L$75,0)),0)</f>
        <v>0</v>
      </c>
      <c r="D52" s="182">
        <f>INDEX(' LR Products'!$C$12:$C$76,MATCH(A52,' LR Products'!$A$12:$A$76,0))</f>
        <v>0.83616357263093666</v>
      </c>
      <c r="E52" s="129"/>
      <c r="T52" s="99"/>
      <c r="V52" s="28" t="s">
        <v>476</v>
      </c>
      <c r="W52" s="28" t="s">
        <v>27</v>
      </c>
      <c r="AD52" s="100"/>
      <c r="BB52" s="99"/>
      <c r="BJ52" s="99"/>
    </row>
    <row r="53" spans="1:62">
      <c r="A53" s="181" t="s">
        <v>471</v>
      </c>
      <c r="B53" s="183" t="s">
        <v>470</v>
      </c>
      <c r="C53" s="184">
        <f>IFERROR(INDEX('Weighted US Tariff'!$N$12:$N$75,MATCH(A53,'Weighted US Tariff'!$L$12:$L$75,0)),0)</f>
        <v>0</v>
      </c>
      <c r="D53" s="182">
        <f>INDEX(' LR Products'!$C$12:$C$76,MATCH(A53,' LR Products'!$A$12:$A$76,0))</f>
        <v>0.56321898674622672</v>
      </c>
      <c r="E53" s="129"/>
      <c r="T53" s="99"/>
      <c r="V53" s="28" t="s">
        <v>479</v>
      </c>
      <c r="W53" s="28" t="s">
        <v>478</v>
      </c>
      <c r="AD53" s="100"/>
      <c r="BB53" s="99"/>
      <c r="BJ53" s="99"/>
    </row>
    <row r="54" spans="1:62">
      <c r="A54" s="181" t="s">
        <v>491</v>
      </c>
      <c r="B54" s="183" t="s">
        <v>490</v>
      </c>
      <c r="C54" s="184">
        <f>IFERROR(INDEX('Weighted US Tariff'!$N$12:$N$75,MATCH(A54,'Weighted US Tariff'!$L$12:$L$75,0)),0)</f>
        <v>0</v>
      </c>
      <c r="D54" s="182">
        <f>INDEX(' LR Products'!$C$12:$C$76,MATCH(A54,' LR Products'!$A$12:$A$76,0))</f>
        <v>0.37259102200134997</v>
      </c>
      <c r="E54" s="129"/>
      <c r="T54" s="99"/>
      <c r="V54" s="28" t="s">
        <v>482</v>
      </c>
      <c r="W54" s="28" t="s">
        <v>481</v>
      </c>
      <c r="AD54" s="100"/>
      <c r="BB54" s="99"/>
      <c r="BJ54" s="99"/>
    </row>
    <row r="55" spans="1:62">
      <c r="A55" s="181" t="s">
        <v>482</v>
      </c>
      <c r="B55" s="183" t="s">
        <v>481</v>
      </c>
      <c r="C55" s="184">
        <f>IFERROR(INDEX('Weighted US Tariff'!$N$12:$N$75,MATCH(A55,'Weighted US Tariff'!$L$12:$L$75,0)),0)</f>
        <v>0</v>
      </c>
      <c r="D55" s="182">
        <f>INDEX(' LR Products'!$C$12:$C$76,MATCH(A55,' LR Products'!$A$12:$A$76,0))</f>
        <v>0.58054880172303369</v>
      </c>
      <c r="E55" s="129"/>
      <c r="T55" s="99"/>
      <c r="V55" s="28" t="s">
        <v>485</v>
      </c>
      <c r="W55" s="28" t="s">
        <v>484</v>
      </c>
      <c r="AD55" s="100"/>
      <c r="BB55" s="99"/>
      <c r="BJ55" s="99"/>
    </row>
    <row r="56" spans="1:62">
      <c r="A56" s="181" t="s">
        <v>497</v>
      </c>
      <c r="B56" s="183" t="s">
        <v>496</v>
      </c>
      <c r="C56" s="184">
        <f>IFERROR(INDEX('Weighted US Tariff'!$N$12:$N$75,MATCH(A56,'Weighted US Tariff'!$L$12:$L$75,0)),0)</f>
        <v>0</v>
      </c>
      <c r="D56" s="182">
        <f>INDEX(' LR Products'!$C$12:$C$76,MATCH(A56,' LR Products'!$A$12:$A$76,0))</f>
        <v>0.68019523783967384</v>
      </c>
      <c r="E56" s="129"/>
      <c r="T56" s="99"/>
      <c r="V56" s="28" t="s">
        <v>488</v>
      </c>
      <c r="W56" s="28" t="s">
        <v>487</v>
      </c>
      <c r="AD56" s="100"/>
      <c r="BB56" s="99"/>
      <c r="BJ56" s="99"/>
    </row>
    <row r="57" spans="1:62">
      <c r="A57" s="181" t="s">
        <v>488</v>
      </c>
      <c r="B57" s="183" t="s">
        <v>487</v>
      </c>
      <c r="C57" s="184">
        <f>IFERROR(INDEX('Weighted US Tariff'!$N$12:$N$75,MATCH(A57,'Weighted US Tariff'!$L$12:$L$75,0)),0)</f>
        <v>0</v>
      </c>
      <c r="D57" s="182">
        <f>INDEX(' LR Products'!$C$12:$C$76,MATCH(A57,' LR Products'!$A$12:$A$76,0))</f>
        <v>0.58054880172303369</v>
      </c>
      <c r="E57" s="129"/>
      <c r="T57" s="99"/>
      <c r="V57" s="28" t="s">
        <v>491</v>
      </c>
      <c r="W57" s="28" t="s">
        <v>490</v>
      </c>
      <c r="AD57" s="100"/>
      <c r="BB57" s="99"/>
      <c r="BJ57" s="99"/>
    </row>
    <row r="58" spans="1:62">
      <c r="A58" s="181" t="s">
        <v>500</v>
      </c>
      <c r="B58" s="183" t="s">
        <v>499</v>
      </c>
      <c r="C58" s="184">
        <f>IFERROR(INDEX('Weighted US Tariff'!$N$12:$N$75,MATCH(A58,'Weighted US Tariff'!$L$12:$L$75,0)),0)</f>
        <v>0</v>
      </c>
      <c r="D58" s="182">
        <f>INDEX(' LR Products'!$C$12:$C$76,MATCH(A58,' LR Products'!$A$12:$A$76,0))</f>
        <v>0.53722426428101622</v>
      </c>
      <c r="E58" s="129"/>
      <c r="T58" s="99"/>
      <c r="V58" s="28" t="s">
        <v>494</v>
      </c>
      <c r="W58" s="28" t="s">
        <v>493</v>
      </c>
      <c r="AD58" s="100"/>
      <c r="BB58" s="99"/>
      <c r="BJ58" s="99"/>
    </row>
    <row r="59" spans="1:62">
      <c r="A59" s="181" t="s">
        <v>503</v>
      </c>
      <c r="B59" s="183" t="s">
        <v>502</v>
      </c>
      <c r="C59" s="184">
        <f>IFERROR(INDEX('Weighted US Tariff'!$N$12:$N$75,MATCH(A59,'Weighted US Tariff'!$L$12:$L$75,0)),0)</f>
        <v>0</v>
      </c>
      <c r="D59" s="182">
        <f>INDEX(' LR Products'!$C$12:$C$76,MATCH(A59,' LR Products'!$A$12:$A$76,0))</f>
        <v>0.49823218058320051</v>
      </c>
      <c r="E59" s="129"/>
      <c r="T59" s="99"/>
      <c r="V59" s="28" t="s">
        <v>497</v>
      </c>
      <c r="W59" s="28" t="s">
        <v>496</v>
      </c>
      <c r="AD59" s="100"/>
      <c r="BB59" s="99"/>
      <c r="BJ59" s="99"/>
    </row>
    <row r="60" spans="1:62">
      <c r="A60" s="181" t="s">
        <v>509</v>
      </c>
      <c r="B60" s="183" t="s">
        <v>508</v>
      </c>
      <c r="C60" s="184">
        <f>IFERROR(INDEX('Weighted US Tariff'!$N$12:$N$75,MATCH(A60,'Weighted US Tariff'!$L$12:$L$75,0)),0)</f>
        <v>0</v>
      </c>
      <c r="D60" s="182">
        <f>INDEX(' LR Products'!$C$12:$C$76,MATCH(A60,' LR Products'!$A$12:$A$76,0))</f>
        <v>0.63687070039765636</v>
      </c>
      <c r="E60" s="129"/>
      <c r="T60" s="99"/>
      <c r="V60" s="28" t="s">
        <v>500</v>
      </c>
      <c r="W60" s="28" t="s">
        <v>499</v>
      </c>
      <c r="AD60" s="100"/>
      <c r="BB60" s="99"/>
      <c r="BJ60" s="99"/>
    </row>
    <row r="61" spans="1:62">
      <c r="A61" s="181" t="s">
        <v>485</v>
      </c>
      <c r="B61" s="183" t="s">
        <v>484</v>
      </c>
      <c r="C61" s="184">
        <f>IFERROR(INDEX('Weighted US Tariff'!$N$12:$N$75,MATCH(A61,'Weighted US Tariff'!$L$12:$L$75,0)),0)</f>
        <v>0</v>
      </c>
      <c r="D61" s="182">
        <f>INDEX(' LR Products'!$C$12:$C$76,MATCH(A61,' LR Products'!$A$12:$A$76,0))</f>
        <v>0.593546162955639</v>
      </c>
      <c r="E61" s="129"/>
      <c r="T61" s="99"/>
      <c r="V61" s="28" t="s">
        <v>503</v>
      </c>
      <c r="W61" s="28" t="s">
        <v>502</v>
      </c>
      <c r="AD61" s="100"/>
      <c r="BB61" s="99"/>
      <c r="BJ61" s="99"/>
    </row>
    <row r="62" spans="1:62">
      <c r="A62" s="181" t="s">
        <v>494</v>
      </c>
      <c r="B62" s="183" t="s">
        <v>493</v>
      </c>
      <c r="C62" s="184">
        <f>IFERROR(INDEX('Weighted US Tariff'!$N$12:$N$75,MATCH(A62,'Weighted US Tariff'!$L$12:$L$75,0)),0)</f>
        <v>0</v>
      </c>
      <c r="D62" s="182">
        <f>INDEX(' LR Products'!$C$12:$C$76,MATCH(A62,' LR Products'!$A$12:$A$76,0))</f>
        <v>0.79717148893312095</v>
      </c>
      <c r="E62" s="129"/>
      <c r="T62" s="99"/>
      <c r="V62" s="28" t="s">
        <v>506</v>
      </c>
      <c r="W62" s="28" t="s">
        <v>505</v>
      </c>
      <c r="AD62" s="100"/>
      <c r="BB62" s="99"/>
      <c r="BJ62" s="99"/>
    </row>
    <row r="63" spans="1:62">
      <c r="A63" s="181" t="s">
        <v>512</v>
      </c>
      <c r="B63" s="183" t="s">
        <v>511</v>
      </c>
      <c r="C63" s="184">
        <f>IFERROR(INDEX('Weighted US Tariff'!$N$12:$N$75,MATCH(A63,'Weighted US Tariff'!$L$12:$L$75,0)),0)</f>
        <v>0</v>
      </c>
      <c r="D63" s="182">
        <f>INDEX(' LR Products'!$C$12:$C$76,MATCH(A63,' LR Products'!$A$12:$A$76,0))</f>
        <v>0.62820579290925282</v>
      </c>
      <c r="E63" s="129"/>
      <c r="T63" s="99"/>
      <c r="V63" s="28" t="s">
        <v>509</v>
      </c>
      <c r="W63" s="28" t="s">
        <v>508</v>
      </c>
      <c r="AD63" s="100"/>
      <c r="BB63" s="99"/>
      <c r="BJ63" s="99"/>
    </row>
    <row r="64" spans="1:62">
      <c r="A64" s="181" t="s">
        <v>521</v>
      </c>
      <c r="B64" s="183" t="s">
        <v>520</v>
      </c>
      <c r="C64" s="184">
        <f>IFERROR(INDEX('Weighted US Tariff'!$N$12:$N$75,MATCH(A64,'Weighted US Tariff'!$L$12:$L$75,0)),0)</f>
        <v>0</v>
      </c>
      <c r="D64" s="182">
        <f>INDEX(' LR Products'!$C$12:$C$76,MATCH(A64,' LR Products'!$A$12:$A$76,0))</f>
        <v>0.66286542286286687</v>
      </c>
      <c r="E64" s="129"/>
      <c r="T64" s="99"/>
      <c r="V64" s="28" t="s">
        <v>512</v>
      </c>
      <c r="W64" s="28" t="s">
        <v>511</v>
      </c>
      <c r="AD64" s="100"/>
      <c r="BB64" s="99"/>
      <c r="BJ64" s="99"/>
    </row>
    <row r="65" spans="1:62">
      <c r="A65" s="181" t="s">
        <v>515</v>
      </c>
      <c r="B65" s="183" t="s">
        <v>514</v>
      </c>
      <c r="C65" s="184">
        <f>IFERROR(INDEX('Weighted US Tariff'!$N$12:$N$75,MATCH(A65,'Weighted US Tariff'!$L$12:$L$75,0)),0)</f>
        <v>0</v>
      </c>
      <c r="D65" s="182">
        <f>INDEX(' LR Products'!$C$12:$C$76,MATCH(A65,' LR Products'!$A$12:$A$76,0))</f>
        <v>0.67153033035127041</v>
      </c>
      <c r="E65" s="129"/>
      <c r="T65" s="99"/>
      <c r="V65" s="28" t="s">
        <v>515</v>
      </c>
      <c r="W65" s="28" t="s">
        <v>514</v>
      </c>
      <c r="AD65" s="100"/>
      <c r="BB65" s="99"/>
      <c r="BJ65" s="99"/>
    </row>
    <row r="66" spans="1:62">
      <c r="A66" s="181" t="s">
        <v>506</v>
      </c>
      <c r="B66" s="183" t="s">
        <v>505</v>
      </c>
      <c r="C66" s="184">
        <f>IFERROR(INDEX('Weighted US Tariff'!$N$12:$N$75,MATCH(A66,'Weighted US Tariff'!$L$12:$L$75,0)),0)</f>
        <v>0</v>
      </c>
      <c r="D66" s="182">
        <f>INDEX(' LR Products'!$C$12:$C$76,MATCH(A66,' LR Products'!$A$12:$A$76,0))</f>
        <v>0.57188389423463026</v>
      </c>
      <c r="E66" s="129"/>
      <c r="T66" s="99"/>
      <c r="V66" s="28" t="s">
        <v>518</v>
      </c>
      <c r="W66" s="28" t="s">
        <v>517</v>
      </c>
      <c r="AD66" s="100"/>
      <c r="BB66" s="99"/>
      <c r="BJ66" s="99"/>
    </row>
    <row r="67" spans="1:62">
      <c r="A67" s="181" t="s">
        <v>479</v>
      </c>
      <c r="B67" s="183" t="s">
        <v>478</v>
      </c>
      <c r="C67" s="184">
        <f>IFERROR(INDEX('Weighted US Tariff'!$N$12:$N$75,MATCH(A67,'Weighted US Tariff'!$L$12:$L$75,0)),0)</f>
        <v>0</v>
      </c>
      <c r="D67" s="182">
        <f>INDEX(' LR Products'!$C$12:$C$76,MATCH(A67,' LR Products'!$A$12:$A$76,0))</f>
        <v>0.63253824665345459</v>
      </c>
      <c r="E67" s="129"/>
      <c r="T67" s="99"/>
      <c r="V67" s="28" t="s">
        <v>521</v>
      </c>
      <c r="W67" s="28" t="s">
        <v>520</v>
      </c>
      <c r="AD67" s="100"/>
      <c r="BB67" s="99"/>
      <c r="BJ67" s="99"/>
    </row>
    <row r="68" spans="1:62">
      <c r="A68" s="181" t="s">
        <v>524</v>
      </c>
      <c r="B68" s="183" t="s">
        <v>523</v>
      </c>
      <c r="C68" s="184">
        <f>IFERROR(INDEX('Weighted US Tariff'!$N$12:$N$75,MATCH(A68,'Weighted US Tariff'!$L$12:$L$75,0)),0)</f>
        <v>0</v>
      </c>
      <c r="D68" s="182">
        <f>INDEX(' LR Products'!$C$12:$C$76,MATCH(A68,' LR Products'!$A$12:$A$76,0))</f>
        <v>0.52422690304841102</v>
      </c>
      <c r="E68" s="129"/>
      <c r="T68" s="99"/>
      <c r="V68" s="28" t="s">
        <v>524</v>
      </c>
      <c r="W68" s="28" t="s">
        <v>523</v>
      </c>
      <c r="AD68" s="100"/>
      <c r="BB68" s="99"/>
      <c r="BJ68" s="99"/>
    </row>
    <row r="69" spans="1:62" ht="15" thickBot="1">
      <c r="A69" s="179" t="s">
        <v>518</v>
      </c>
      <c r="B69" s="183" t="s">
        <v>517</v>
      </c>
      <c r="C69" s="184">
        <f>IFERROR(INDEX('Weighted US Tariff'!$N$12:$N$75,MATCH(A69,'Weighted US Tariff'!$L$12:$L$75,0)),0)</f>
        <v>0</v>
      </c>
      <c r="D69" s="182">
        <f>INDEX(' LR Products'!$C$12:$C$76,MATCH(A69,' LR Products'!$A$12:$A$76,0))</f>
        <v>0.56755144049042849</v>
      </c>
      <c r="E69" s="129"/>
    </row>
    <row r="70" spans="1:62">
      <c r="E70" s="129"/>
    </row>
    <row r="71" spans="1:62">
      <c r="E71" s="129"/>
    </row>
    <row r="72" spans="1:62">
      <c r="B72" s="402" t="s">
        <v>1831</v>
      </c>
      <c r="C72" s="61">
        <f>MAX(C5:E69)</f>
        <v>21.793217985095975</v>
      </c>
      <c r="E72" s="129"/>
    </row>
    <row r="73" spans="1:62">
      <c r="B73" s="402" t="s">
        <v>1832</v>
      </c>
      <c r="C73" s="61">
        <f>MIN(C5:E69)</f>
        <v>0</v>
      </c>
    </row>
    <row r="81" spans="34:35">
      <c r="AH81" s="402"/>
      <c r="AI81" s="99"/>
    </row>
    <row r="82" spans="34:35">
      <c r="AH82" s="402"/>
      <c r="AI82" s="99"/>
    </row>
  </sheetData>
  <sortState xmlns:xlrd2="http://schemas.microsoft.com/office/spreadsheetml/2017/richdata2" ref="A5:D69">
    <sortCondition descending="1" ref="C5:C69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55B-0598-41B4-92F1-07077FD3F162}">
  <sheetPr codeName="Sheet14">
    <tabColor theme="6"/>
  </sheetPr>
  <dimension ref="A1"/>
  <sheetViews>
    <sheetView workbookViewId="0">
      <selection activeCell="J28" sqref="J28"/>
    </sheetView>
  </sheetViews>
  <sheetFormatPr defaultRowHeight="12.6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E6D26-9753-4AC5-9C9F-5BD6694023D4}">
  <sheetPr codeName="Sheet29"/>
  <dimension ref="A1:BS89"/>
  <sheetViews>
    <sheetView zoomScale="85" zoomScaleNormal="85" workbookViewId="0">
      <selection activeCell="P7" sqref="P7"/>
    </sheetView>
  </sheetViews>
  <sheetFormatPr defaultColWidth="9.140625" defaultRowHeight="14.45"/>
  <cols>
    <col min="1" max="1" width="9.140625" style="28"/>
    <col min="2" max="2" width="31.140625" style="28" bestFit="1" customWidth="1"/>
    <col min="3" max="5" width="9.140625" style="61"/>
    <col min="6" max="33" width="9.140625" style="28"/>
    <col min="34" max="34" width="13.28515625" style="28" bestFit="1" customWidth="1"/>
    <col min="35" max="38" width="9.140625" style="28"/>
    <col min="39" max="39" width="11.140625" style="28" bestFit="1" customWidth="1"/>
    <col min="40" max="47" width="9.140625" style="28"/>
    <col min="48" max="48" width="19.7109375" style="28" customWidth="1"/>
    <col min="49" max="16384" width="9.140625" style="28"/>
  </cols>
  <sheetData>
    <row r="1" spans="1:71" ht="15.6">
      <c r="A1" s="258" t="s">
        <v>1833</v>
      </c>
      <c r="B1" s="259"/>
      <c r="C1" s="259"/>
      <c r="D1" s="259"/>
      <c r="E1" s="259"/>
      <c r="F1" s="259"/>
      <c r="G1" s="259"/>
      <c r="H1" s="259"/>
      <c r="I1" s="260"/>
    </row>
    <row r="2" spans="1:71" ht="15.6">
      <c r="A2" s="261" t="s">
        <v>1834</v>
      </c>
      <c r="B2" s="262"/>
      <c r="C2" s="262"/>
      <c r="D2" s="262"/>
      <c r="E2" s="262"/>
      <c r="F2" s="262"/>
      <c r="G2" s="262"/>
      <c r="H2" s="262"/>
      <c r="I2" s="263"/>
    </row>
    <row r="3" spans="1:71" ht="15.6">
      <c r="A3" s="261" t="s">
        <v>1835</v>
      </c>
      <c r="B3" s="262"/>
      <c r="C3" s="262"/>
      <c r="D3" s="262"/>
      <c r="E3" s="262"/>
      <c r="F3" s="262"/>
      <c r="G3" s="262"/>
      <c r="H3" s="262"/>
      <c r="I3" s="263"/>
    </row>
    <row r="4" spans="1:71" ht="15.6">
      <c r="A4" s="261" t="s">
        <v>1836</v>
      </c>
      <c r="B4" s="262"/>
      <c r="C4" s="262"/>
      <c r="D4" s="262"/>
      <c r="E4" s="262"/>
      <c r="F4" s="262"/>
      <c r="G4" s="262"/>
      <c r="H4" s="262"/>
      <c r="I4" s="263"/>
    </row>
    <row r="5" spans="1:71" ht="15.95" thickBot="1">
      <c r="A5" s="264"/>
      <c r="B5" s="265"/>
      <c r="C5" s="265"/>
      <c r="D5" s="265"/>
      <c r="E5" s="265"/>
      <c r="F5" s="265"/>
      <c r="G5" s="265"/>
      <c r="H5" s="265"/>
      <c r="I5" s="266"/>
    </row>
    <row r="8" spans="1:71">
      <c r="X8" s="99">
        <f>(SUMPRODUCT($X$11:$X$75,$AH$11:$AH$75)/SUM($AH$11:$AH$75))</f>
        <v>0.92880170082548041</v>
      </c>
    </row>
    <row r="9" spans="1:71">
      <c r="A9" s="28" t="s">
        <v>1837</v>
      </c>
      <c r="B9" s="28">
        <f>ricco_price_effects_and_etr!E25*100</f>
        <v>0.92880170082548053</v>
      </c>
      <c r="W9" s="28" t="s">
        <v>1838</v>
      </c>
      <c r="AG9" s="28" t="s">
        <v>1839</v>
      </c>
      <c r="BE9" s="28" t="s">
        <v>1840</v>
      </c>
      <c r="BM9" s="28" t="s">
        <v>1841</v>
      </c>
    </row>
    <row r="10" spans="1:71">
      <c r="I10" s="28" t="s">
        <v>1842</v>
      </c>
      <c r="J10" s="402" t="s">
        <v>31</v>
      </c>
      <c r="K10" s="402"/>
      <c r="L10" s="402" t="s">
        <v>1843</v>
      </c>
      <c r="M10" s="402" t="s">
        <v>31</v>
      </c>
      <c r="N10" s="402"/>
      <c r="O10" s="402" t="s">
        <v>1844</v>
      </c>
      <c r="P10" s="402" t="s">
        <v>31</v>
      </c>
      <c r="W10" s="28" t="s">
        <v>1845</v>
      </c>
      <c r="X10" s="28" t="s">
        <v>31</v>
      </c>
      <c r="Y10" s="28" t="s">
        <v>32</v>
      </c>
      <c r="Z10" s="28" t="s">
        <v>33</v>
      </c>
      <c r="AA10" s="28" t="s">
        <v>34</v>
      </c>
      <c r="AB10" s="28" t="s">
        <v>35</v>
      </c>
      <c r="AC10" s="28" t="s">
        <v>36</v>
      </c>
      <c r="AG10" s="128" t="s">
        <v>547</v>
      </c>
      <c r="AH10" s="128" t="s">
        <v>1846</v>
      </c>
      <c r="AI10" s="128" t="s">
        <v>1847</v>
      </c>
      <c r="AJ10" s="128" t="s">
        <v>1848</v>
      </c>
      <c r="AK10" s="128" t="s">
        <v>1849</v>
      </c>
      <c r="AL10" s="128" t="s">
        <v>1850</v>
      </c>
      <c r="AM10" s="128" t="s">
        <v>1851</v>
      </c>
      <c r="AN10" s="128" t="s">
        <v>52</v>
      </c>
      <c r="AQ10" s="28" t="s">
        <v>1852</v>
      </c>
      <c r="AR10" s="28" t="s">
        <v>1853</v>
      </c>
      <c r="AS10" s="402" t="s">
        <v>1854</v>
      </c>
      <c r="AT10" s="28" t="s">
        <v>1855</v>
      </c>
      <c r="AU10" s="28" t="s">
        <v>1856</v>
      </c>
      <c r="AV10" s="28" t="s">
        <v>1857</v>
      </c>
      <c r="AW10" s="28" t="s">
        <v>1855</v>
      </c>
      <c r="AX10" s="28" t="s">
        <v>1856</v>
      </c>
      <c r="AY10" s="28" t="s">
        <v>1857</v>
      </c>
      <c r="BE10" s="28" t="s">
        <v>1843</v>
      </c>
      <c r="BF10" s="28" t="s">
        <v>31</v>
      </c>
      <c r="BG10" s="28" t="s">
        <v>32</v>
      </c>
      <c r="BH10" s="28" t="s">
        <v>33</v>
      </c>
      <c r="BI10" s="28" t="s">
        <v>34</v>
      </c>
      <c r="BJ10" s="28" t="s">
        <v>35</v>
      </c>
      <c r="BK10" s="28" t="s">
        <v>36</v>
      </c>
      <c r="BM10" s="28" t="s">
        <v>1844</v>
      </c>
      <c r="BN10" s="28" t="s">
        <v>31</v>
      </c>
      <c r="BO10" s="28" t="s">
        <v>32</v>
      </c>
      <c r="BP10" s="28" t="s">
        <v>33</v>
      </c>
      <c r="BQ10" s="28" t="s">
        <v>34</v>
      </c>
      <c r="BR10" s="28" t="s">
        <v>35</v>
      </c>
      <c r="BS10" s="28" t="s">
        <v>36</v>
      </c>
    </row>
    <row r="11" spans="1:71">
      <c r="A11" s="28" t="s">
        <v>1827</v>
      </c>
      <c r="B11" s="128" t="s">
        <v>1828</v>
      </c>
      <c r="C11" s="410" t="s">
        <v>52</v>
      </c>
      <c r="D11" s="410" t="s">
        <v>1858</v>
      </c>
      <c r="E11" s="410" t="s">
        <v>1859</v>
      </c>
      <c r="I11" s="52" t="s">
        <v>333</v>
      </c>
      <c r="J11" s="52">
        <v>1.55</v>
      </c>
      <c r="K11" s="52"/>
      <c r="L11" s="52" t="s">
        <v>333</v>
      </c>
      <c r="M11" s="52">
        <v>10.28</v>
      </c>
      <c r="N11" s="52"/>
      <c r="O11" s="52" t="s">
        <v>333</v>
      </c>
      <c r="P11" s="52">
        <v>1.1399999999999999</v>
      </c>
      <c r="W11" s="28" t="s">
        <v>333</v>
      </c>
      <c r="X11" s="99">
        <f t="shared" ref="X11:X42" si="0">$B$9*J11/((SUMPRODUCT($J$11:$J$75,$AH$11:$AH$75)/SUM($AH$11:$AH$75)))</f>
        <v>0.67153033035127041</v>
      </c>
      <c r="Y11" s="28">
        <v>-1.55</v>
      </c>
      <c r="Z11" s="28">
        <v>0.28999999999999998</v>
      </c>
      <c r="AA11" s="28">
        <v>0.97</v>
      </c>
      <c r="AB11" s="28">
        <v>0.42</v>
      </c>
      <c r="AC11" s="28">
        <v>0.32</v>
      </c>
      <c r="AG11" s="128" t="s">
        <v>331</v>
      </c>
      <c r="AH11" s="246">
        <v>34.087000000000003</v>
      </c>
      <c r="AI11" s="128">
        <v>25756.195</v>
      </c>
      <c r="AJ11" s="128">
        <v>27047.011999999999</v>
      </c>
      <c r="AK11" s="128">
        <v>3.6949999999999998</v>
      </c>
      <c r="AL11" s="128">
        <v>125.155</v>
      </c>
      <c r="AM11" s="128">
        <v>80.534999999999997</v>
      </c>
      <c r="AN11" s="128">
        <v>53046.678999999996</v>
      </c>
      <c r="AP11" s="28">
        <f>SUMPRODUCT(X11:X75,AH11:AH75)/AH76</f>
        <v>0.92880170110454219</v>
      </c>
      <c r="AR11" s="28">
        <v>0</v>
      </c>
      <c r="AS11" s="28">
        <v>1</v>
      </c>
      <c r="AT11" s="28">
        <v>1</v>
      </c>
      <c r="AU11" s="28" t="s">
        <v>333</v>
      </c>
      <c r="AV11" s="28" t="s">
        <v>332</v>
      </c>
      <c r="AW11" s="28">
        <v>1</v>
      </c>
      <c r="AX11" s="28" t="s">
        <v>333</v>
      </c>
      <c r="AY11" s="28" t="s">
        <v>332</v>
      </c>
      <c r="BE11" s="28" t="s">
        <v>333</v>
      </c>
      <c r="BF11" s="99">
        <f t="shared" ref="BF11:BF42" si="1">M11*$B$9/((SUMPRODUCT($J$11:$J$75,$AH$11:$AH$75)/SUM($AH$11:$AH$75)))</f>
        <v>4.4537624490393926</v>
      </c>
      <c r="BG11" s="28">
        <v>-0.03</v>
      </c>
      <c r="BH11" s="28">
        <v>0.03</v>
      </c>
      <c r="BI11" s="28">
        <v>0.17</v>
      </c>
      <c r="BJ11" s="28">
        <v>0.41</v>
      </c>
      <c r="BK11" s="28">
        <v>0.37</v>
      </c>
      <c r="BM11" s="28" t="s">
        <v>333</v>
      </c>
      <c r="BN11" s="99">
        <f t="shared" ref="BN11:BN42" si="2">P11*$B$9/((SUMPRODUCT($J$11:$J$75,$AH$11:$AH$75)/SUM($AH$11:$AH$75)))</f>
        <v>0.4938997268389988</v>
      </c>
      <c r="BO11" s="28">
        <v>-1.55</v>
      </c>
      <c r="BP11" s="28">
        <v>0.28999999999999998</v>
      </c>
      <c r="BQ11" s="28">
        <v>1.06</v>
      </c>
      <c r="BR11" s="28">
        <v>0.88</v>
      </c>
      <c r="BS11" s="28">
        <v>0.3</v>
      </c>
    </row>
    <row r="12" spans="1:71">
      <c r="A12" s="28" t="s">
        <v>417</v>
      </c>
      <c r="B12" s="128" t="s">
        <v>416</v>
      </c>
      <c r="C12" s="129">
        <f>INDEX($X$11:$X$75,MATCH(A12,$W$11:$W$75,0))</f>
        <v>6.6763112198148882</v>
      </c>
      <c r="D12" s="129">
        <f t="shared" ref="D12:D43" si="3">INDEX($BN$11:$BN$75,MATCH(A12,$BM$11:$BM$75,0))</f>
        <v>1.286738762027918</v>
      </c>
      <c r="E12" s="129">
        <f t="shared" ref="E12:E43" si="4">INDEX($BF$11:$BF$75,MATCH(A12,$BE$11:$BE$75,0))</f>
        <v>7.6164536823066653</v>
      </c>
      <c r="I12" s="52" t="s">
        <v>336</v>
      </c>
      <c r="J12" s="52">
        <v>1.1200000000000001</v>
      </c>
      <c r="K12" s="52"/>
      <c r="L12" s="52" t="s">
        <v>336</v>
      </c>
      <c r="M12" s="52">
        <v>-0.41</v>
      </c>
      <c r="N12" s="52"/>
      <c r="O12" s="52" t="s">
        <v>336</v>
      </c>
      <c r="P12" s="52">
        <v>1.1299999999999999</v>
      </c>
      <c r="W12" s="28" t="s">
        <v>336</v>
      </c>
      <c r="X12" s="99">
        <f t="shared" si="0"/>
        <v>0.48523481935059531</v>
      </c>
      <c r="Y12" s="28">
        <v>-1.52</v>
      </c>
      <c r="Z12" s="28">
        <v>0.35</v>
      </c>
      <c r="AA12" s="28">
        <v>1.07</v>
      </c>
      <c r="AB12" s="28">
        <v>1.03</v>
      </c>
      <c r="AC12" s="28">
        <v>0.44</v>
      </c>
      <c r="AG12" s="128" t="s">
        <v>334</v>
      </c>
      <c r="AH12" s="246">
        <v>2071.3809999999999</v>
      </c>
      <c r="AI12" s="128">
        <v>7441.2150000000001</v>
      </c>
      <c r="AJ12" s="128">
        <v>46181.716999999997</v>
      </c>
      <c r="AK12" s="128">
        <v>255.47800000000001</v>
      </c>
      <c r="AL12" s="128">
        <v>116.851</v>
      </c>
      <c r="AM12" s="128">
        <v>2939.337</v>
      </c>
      <c r="AN12" s="128">
        <v>59005.976999999999</v>
      </c>
      <c r="AR12" s="28">
        <v>0</v>
      </c>
      <c r="AS12" s="28">
        <v>1</v>
      </c>
      <c r="AT12" s="28">
        <v>2</v>
      </c>
      <c r="AU12" s="28" t="s">
        <v>336</v>
      </c>
      <c r="AV12" s="28" t="s">
        <v>335</v>
      </c>
      <c r="AW12" s="28">
        <v>2</v>
      </c>
      <c r="AX12" s="28" t="s">
        <v>336</v>
      </c>
      <c r="AY12" s="28" t="s">
        <v>335</v>
      </c>
      <c r="BE12" s="28" t="s">
        <v>336</v>
      </c>
      <c r="BF12" s="99">
        <f t="shared" si="1"/>
        <v>-0.17763060351227147</v>
      </c>
      <c r="BG12" s="28">
        <v>0.48</v>
      </c>
      <c r="BH12" s="28">
        <v>0.41</v>
      </c>
      <c r="BI12" s="28">
        <v>0.42</v>
      </c>
      <c r="BJ12" s="28">
        <v>0.56999999999999995</v>
      </c>
      <c r="BK12" s="28">
        <v>0.54</v>
      </c>
      <c r="BM12" s="28" t="s">
        <v>336</v>
      </c>
      <c r="BN12" s="99">
        <f t="shared" si="2"/>
        <v>0.48956727309479703</v>
      </c>
      <c r="BO12" s="28">
        <v>-1.53</v>
      </c>
      <c r="BP12" s="28">
        <v>0.33</v>
      </c>
      <c r="BQ12" s="28">
        <v>1.07</v>
      </c>
      <c r="BR12" s="28">
        <v>1.04</v>
      </c>
      <c r="BS12" s="28">
        <v>0.35</v>
      </c>
    </row>
    <row r="13" spans="1:71">
      <c r="A13" s="28" t="s">
        <v>444</v>
      </c>
      <c r="B13" s="128" t="s">
        <v>443</v>
      </c>
      <c r="C13" s="129">
        <f t="shared" ref="C13:C76" si="5">INDEX($X$11:$X$75,MATCH(A13,$W$11:$W$75,0))</f>
        <v>5.2249392155073036</v>
      </c>
      <c r="D13" s="129">
        <f t="shared" si="3"/>
        <v>2.183556687077679</v>
      </c>
      <c r="E13" s="129">
        <f t="shared" si="4"/>
        <v>7.3131819202125437</v>
      </c>
      <c r="I13" s="52" t="s">
        <v>339</v>
      </c>
      <c r="J13" s="52">
        <v>1.61</v>
      </c>
      <c r="K13" s="52"/>
      <c r="L13" s="52" t="s">
        <v>339</v>
      </c>
      <c r="M13" s="52">
        <v>4.58</v>
      </c>
      <c r="N13" s="52"/>
      <c r="O13" s="52" t="s">
        <v>339</v>
      </c>
      <c r="P13" s="52">
        <v>1.39</v>
      </c>
      <c r="W13" s="28" t="s">
        <v>339</v>
      </c>
      <c r="X13" s="99">
        <f t="shared" si="0"/>
        <v>0.69752505281648081</v>
      </c>
      <c r="Y13" s="28">
        <v>-1.53</v>
      </c>
      <c r="Z13" s="28">
        <v>0.31</v>
      </c>
      <c r="AA13" s="28">
        <v>0.98</v>
      </c>
      <c r="AB13" s="28">
        <v>0.95</v>
      </c>
      <c r="AC13" s="28">
        <v>0.33</v>
      </c>
      <c r="AG13" s="128" t="s">
        <v>337</v>
      </c>
      <c r="AH13" s="246">
        <v>2119.3319999999999</v>
      </c>
      <c r="AI13" s="128">
        <v>12451.653</v>
      </c>
      <c r="AJ13" s="128">
        <v>52557.370999999999</v>
      </c>
      <c r="AK13" s="128">
        <v>723.52099999999996</v>
      </c>
      <c r="AL13" s="128">
        <v>1019.269</v>
      </c>
      <c r="AM13" s="128">
        <v>3539.8420000000001</v>
      </c>
      <c r="AN13" s="128">
        <v>72410.987999999998</v>
      </c>
      <c r="AR13" s="28">
        <v>0</v>
      </c>
      <c r="AS13" s="28">
        <v>1</v>
      </c>
      <c r="AT13" s="28">
        <v>3</v>
      </c>
      <c r="AU13" s="28" t="s">
        <v>339</v>
      </c>
      <c r="AV13" s="28" t="s">
        <v>338</v>
      </c>
      <c r="AW13" s="28">
        <v>3</v>
      </c>
      <c r="AX13" s="28" t="s">
        <v>339</v>
      </c>
      <c r="AY13" s="28" t="s">
        <v>338</v>
      </c>
      <c r="BE13" s="28" t="s">
        <v>339</v>
      </c>
      <c r="BF13" s="99">
        <f t="shared" si="1"/>
        <v>1.9842638148443987</v>
      </c>
      <c r="BG13" s="28">
        <v>0.43</v>
      </c>
      <c r="BH13" s="28">
        <v>0.33</v>
      </c>
      <c r="BI13" s="28">
        <v>0.45</v>
      </c>
      <c r="BJ13" s="28">
        <v>0.46</v>
      </c>
      <c r="BK13" s="28">
        <v>0.37</v>
      </c>
      <c r="BM13" s="28" t="s">
        <v>339</v>
      </c>
      <c r="BN13" s="99">
        <f t="shared" si="2"/>
        <v>0.60221107044404232</v>
      </c>
      <c r="BO13" s="28">
        <v>-1.54</v>
      </c>
      <c r="BP13" s="28">
        <v>0.3</v>
      </c>
      <c r="BQ13" s="28">
        <v>1.23</v>
      </c>
      <c r="BR13" s="28">
        <v>1.1200000000000001</v>
      </c>
      <c r="BS13" s="28">
        <v>0.31</v>
      </c>
    </row>
    <row r="14" spans="1:71">
      <c r="A14" s="28" t="s">
        <v>414</v>
      </c>
      <c r="B14" s="128" t="s">
        <v>413</v>
      </c>
      <c r="C14" s="129">
        <f t="shared" si="5"/>
        <v>6.5160104312794234</v>
      </c>
      <c r="D14" s="129">
        <f t="shared" si="3"/>
        <v>1.4946965417496016</v>
      </c>
      <c r="E14" s="129">
        <f t="shared" si="4"/>
        <v>7.2481951140495182</v>
      </c>
      <c r="I14" s="52" t="s">
        <v>342</v>
      </c>
      <c r="J14" s="52">
        <v>1.54</v>
      </c>
      <c r="K14" s="52"/>
      <c r="L14" s="52" t="s">
        <v>342</v>
      </c>
      <c r="M14" s="52">
        <v>3.35</v>
      </c>
      <c r="N14" s="52"/>
      <c r="O14" s="52" t="s">
        <v>342</v>
      </c>
      <c r="P14" s="52">
        <v>0.67</v>
      </c>
      <c r="W14" s="28" t="s">
        <v>342</v>
      </c>
      <c r="X14" s="99">
        <f t="shared" si="0"/>
        <v>0.66719787660706853</v>
      </c>
      <c r="Y14" s="28">
        <v>-1.51</v>
      </c>
      <c r="Z14" s="28">
        <v>0.28000000000000003</v>
      </c>
      <c r="AA14" s="28">
        <v>0.61</v>
      </c>
      <c r="AB14" s="28">
        <v>0.7</v>
      </c>
      <c r="AC14" s="28">
        <v>0.3</v>
      </c>
      <c r="AG14" s="128" t="s">
        <v>340</v>
      </c>
      <c r="AH14" s="246">
        <v>50266.171999999999</v>
      </c>
      <c r="AI14" s="128">
        <v>146671.91200000001</v>
      </c>
      <c r="AJ14" s="128">
        <v>494405.40600000002</v>
      </c>
      <c r="AK14" s="128">
        <v>4229.9430000000002</v>
      </c>
      <c r="AL14" s="128">
        <v>2618.7910000000002</v>
      </c>
      <c r="AM14" s="128">
        <v>34578.798000000003</v>
      </c>
      <c r="AN14" s="128">
        <v>732771.022</v>
      </c>
      <c r="AR14" s="28">
        <v>0</v>
      </c>
      <c r="AS14" s="28">
        <v>1</v>
      </c>
      <c r="AT14" s="28">
        <v>4</v>
      </c>
      <c r="AU14" s="28" t="s">
        <v>342</v>
      </c>
      <c r="AV14" s="28" t="s">
        <v>341</v>
      </c>
      <c r="AW14" s="28">
        <v>4</v>
      </c>
      <c r="AX14" s="28" t="s">
        <v>342</v>
      </c>
      <c r="AY14" s="28" t="s">
        <v>341</v>
      </c>
      <c r="BE14" s="28" t="s">
        <v>342</v>
      </c>
      <c r="BF14" s="99">
        <f t="shared" si="1"/>
        <v>1.4513720043075842</v>
      </c>
      <c r="BG14" s="28">
        <v>0.27</v>
      </c>
      <c r="BH14" s="28">
        <v>0.19</v>
      </c>
      <c r="BI14" s="28">
        <v>0.42</v>
      </c>
      <c r="BJ14" s="28">
        <v>0.41</v>
      </c>
      <c r="BK14" s="28">
        <v>0.19</v>
      </c>
      <c r="BM14" s="28" t="s">
        <v>342</v>
      </c>
      <c r="BN14" s="99">
        <f t="shared" si="2"/>
        <v>0.29027440086151685</v>
      </c>
      <c r="BO14" s="28">
        <v>-1.53</v>
      </c>
      <c r="BP14" s="28">
        <v>0.3</v>
      </c>
      <c r="BQ14" s="28">
        <v>1.1200000000000001</v>
      </c>
      <c r="BR14" s="28">
        <v>1.0900000000000001</v>
      </c>
      <c r="BS14" s="28">
        <v>0.32</v>
      </c>
    </row>
    <row r="15" spans="1:71">
      <c r="A15" s="28" t="s">
        <v>453</v>
      </c>
      <c r="B15" s="128" t="s">
        <v>452</v>
      </c>
      <c r="C15" s="129">
        <f t="shared" si="5"/>
        <v>5.6625170436716799</v>
      </c>
      <c r="D15" s="129">
        <f t="shared" si="3"/>
        <v>1.6983218677270835</v>
      </c>
      <c r="E15" s="129">
        <f t="shared" si="4"/>
        <v>8.1883375765412953</v>
      </c>
      <c r="I15" s="52" t="s">
        <v>345</v>
      </c>
      <c r="J15" s="52">
        <v>0.28000000000000003</v>
      </c>
      <c r="K15" s="52"/>
      <c r="L15" s="52" t="s">
        <v>345</v>
      </c>
      <c r="M15" s="52">
        <v>6.02</v>
      </c>
      <c r="N15" s="52"/>
      <c r="O15" s="52" t="s">
        <v>345</v>
      </c>
      <c r="P15" s="52">
        <v>0.19</v>
      </c>
      <c r="W15" s="28" t="s">
        <v>345</v>
      </c>
      <c r="X15" s="99">
        <f t="shared" si="0"/>
        <v>0.12130870483764883</v>
      </c>
      <c r="Y15" s="28">
        <v>0.23</v>
      </c>
      <c r="Z15" s="28">
        <v>0.3</v>
      </c>
      <c r="AA15" s="28">
        <v>1.1200000000000001</v>
      </c>
      <c r="AB15" s="28">
        <v>0.96</v>
      </c>
      <c r="AC15" s="28">
        <v>0.28000000000000003</v>
      </c>
      <c r="AG15" s="128" t="s">
        <v>343</v>
      </c>
      <c r="AH15" s="246">
        <v>229.81</v>
      </c>
      <c r="AI15" s="128">
        <v>23285.576000000001</v>
      </c>
      <c r="AJ15" s="128">
        <v>27967.133999999998</v>
      </c>
      <c r="AK15" s="128">
        <v>517.80499999999995</v>
      </c>
      <c r="AL15" s="128">
        <v>12.319000000000001</v>
      </c>
      <c r="AM15" s="128">
        <v>960.90700000000004</v>
      </c>
      <c r="AN15" s="128">
        <v>52973.55</v>
      </c>
      <c r="AR15" s="28">
        <v>0</v>
      </c>
      <c r="AS15" s="28">
        <v>1</v>
      </c>
      <c r="AT15" s="28">
        <v>5</v>
      </c>
      <c r="AU15" s="28" t="s">
        <v>345</v>
      </c>
      <c r="AV15" s="28" t="s">
        <v>344</v>
      </c>
      <c r="AW15" s="28">
        <v>5</v>
      </c>
      <c r="AX15" s="28" t="s">
        <v>345</v>
      </c>
      <c r="AY15" s="28" t="s">
        <v>344</v>
      </c>
      <c r="BE15" s="28" t="s">
        <v>345</v>
      </c>
      <c r="BF15" s="99">
        <f t="shared" si="1"/>
        <v>2.6081371540094498</v>
      </c>
      <c r="BG15" s="28">
        <v>0.37</v>
      </c>
      <c r="BH15" s="28">
        <v>0.35</v>
      </c>
      <c r="BI15" s="28">
        <v>0.33</v>
      </c>
      <c r="BJ15" s="28">
        <v>0.4</v>
      </c>
      <c r="BK15" s="28">
        <v>0.22</v>
      </c>
      <c r="BM15" s="28" t="s">
        <v>345</v>
      </c>
      <c r="BN15" s="99">
        <f t="shared" si="2"/>
        <v>8.2316621139833138E-2</v>
      </c>
      <c r="BO15" s="28">
        <v>-1.1499999999999999</v>
      </c>
      <c r="BP15" s="28">
        <v>0.28999999999999998</v>
      </c>
      <c r="BQ15" s="28">
        <v>1.1499999999999999</v>
      </c>
      <c r="BR15" s="28">
        <v>0.97</v>
      </c>
      <c r="BS15" s="28">
        <v>0.32</v>
      </c>
    </row>
    <row r="16" spans="1:71">
      <c r="A16" s="28" t="s">
        <v>459</v>
      </c>
      <c r="B16" s="128" t="s">
        <v>458</v>
      </c>
      <c r="C16" s="129">
        <f t="shared" si="5"/>
        <v>5.2942584754145319</v>
      </c>
      <c r="D16" s="129">
        <f t="shared" si="3"/>
        <v>2.4478363654739854</v>
      </c>
      <c r="E16" s="129">
        <f t="shared" si="4"/>
        <v>9.7696831931749326</v>
      </c>
      <c r="I16" s="52" t="s">
        <v>348</v>
      </c>
      <c r="J16" s="52">
        <v>0.05</v>
      </c>
      <c r="K16" s="52"/>
      <c r="L16" s="52" t="s">
        <v>348</v>
      </c>
      <c r="M16" s="52">
        <v>12.75</v>
      </c>
      <c r="N16" s="52"/>
      <c r="O16" s="52" t="s">
        <v>348</v>
      </c>
      <c r="P16" s="52">
        <v>0.04</v>
      </c>
      <c r="W16" s="28" t="s">
        <v>348</v>
      </c>
      <c r="X16" s="99">
        <f t="shared" si="0"/>
        <v>2.1662268721008723E-2</v>
      </c>
      <c r="Y16" s="28">
        <v>-1.46</v>
      </c>
      <c r="Z16" s="28">
        <v>0.28999999999999998</v>
      </c>
      <c r="AA16" s="28">
        <v>1.01</v>
      </c>
      <c r="AB16" s="28">
        <v>1.3</v>
      </c>
      <c r="AC16" s="28">
        <v>0.35</v>
      </c>
      <c r="AG16" s="128" t="s">
        <v>346</v>
      </c>
      <c r="AH16" s="246">
        <v>388.62799999999999</v>
      </c>
      <c r="AI16" s="128">
        <v>200.92400000000001</v>
      </c>
      <c r="AJ16" s="128">
        <v>7892.7950000000001</v>
      </c>
      <c r="AK16" s="128">
        <v>3.1080000000000001</v>
      </c>
      <c r="AL16" s="128">
        <v>1551.0029999999999</v>
      </c>
      <c r="AM16" s="128">
        <v>378.72500000000002</v>
      </c>
      <c r="AN16" s="128">
        <v>10415.183000000001</v>
      </c>
      <c r="AR16" s="28">
        <v>0</v>
      </c>
      <c r="AS16" s="28">
        <v>1</v>
      </c>
      <c r="AT16" s="28">
        <v>6</v>
      </c>
      <c r="AU16" s="28" t="s">
        <v>348</v>
      </c>
      <c r="AV16" s="28" t="s">
        <v>347</v>
      </c>
      <c r="AW16" s="28">
        <v>6</v>
      </c>
      <c r="AX16" s="28" t="s">
        <v>348</v>
      </c>
      <c r="AY16" s="28" t="s">
        <v>347</v>
      </c>
      <c r="BE16" s="28" t="s">
        <v>348</v>
      </c>
      <c r="BF16" s="99">
        <f t="shared" si="1"/>
        <v>5.5238785238572232</v>
      </c>
      <c r="BG16" s="28">
        <v>0.3</v>
      </c>
      <c r="BH16" s="28">
        <v>0.28999999999999998</v>
      </c>
      <c r="BI16" s="28">
        <v>0.37</v>
      </c>
      <c r="BJ16" s="28">
        <v>0.3</v>
      </c>
      <c r="BK16" s="28">
        <v>0.3</v>
      </c>
      <c r="BM16" s="28" t="s">
        <v>348</v>
      </c>
      <c r="BN16" s="99">
        <f t="shared" si="2"/>
        <v>1.7329814976806978E-2</v>
      </c>
      <c r="BO16" s="28">
        <v>-1.46</v>
      </c>
      <c r="BP16" s="28">
        <v>0.28999999999999998</v>
      </c>
      <c r="BQ16" s="28">
        <v>1.05</v>
      </c>
      <c r="BR16" s="28">
        <v>1.3</v>
      </c>
      <c r="BS16" s="28">
        <v>0.35</v>
      </c>
    </row>
    <row r="17" spans="1:71">
      <c r="A17" s="28" t="s">
        <v>366</v>
      </c>
      <c r="B17" s="128" t="s">
        <v>365</v>
      </c>
      <c r="C17" s="129">
        <f t="shared" si="5"/>
        <v>2.8594194711731511</v>
      </c>
      <c r="D17" s="129">
        <f t="shared" si="3"/>
        <v>2.846422109940546</v>
      </c>
      <c r="E17" s="129">
        <f t="shared" si="4"/>
        <v>4.2458046693177094</v>
      </c>
      <c r="I17" s="52" t="s">
        <v>351</v>
      </c>
      <c r="J17" s="52">
        <v>1.18</v>
      </c>
      <c r="K17" s="52"/>
      <c r="L17" s="52" t="s">
        <v>351</v>
      </c>
      <c r="M17" s="52">
        <v>21.96</v>
      </c>
      <c r="N17" s="52"/>
      <c r="O17" s="52" t="s">
        <v>351</v>
      </c>
      <c r="P17" s="52">
        <v>1.1399999999999999</v>
      </c>
      <c r="W17" s="28" t="s">
        <v>351</v>
      </c>
      <c r="X17" s="99">
        <f t="shared" si="0"/>
        <v>0.51122954181580582</v>
      </c>
      <c r="Y17" s="28">
        <v>-1.06</v>
      </c>
      <c r="Z17" s="28">
        <v>0.12</v>
      </c>
      <c r="AA17" s="28">
        <v>0.77</v>
      </c>
      <c r="AB17" s="28">
        <v>1.1200000000000001</v>
      </c>
      <c r="AC17" s="28">
        <v>0.28000000000000003</v>
      </c>
      <c r="AG17" s="128" t="s">
        <v>349</v>
      </c>
      <c r="AH17" s="246">
        <v>7173.2839999999997</v>
      </c>
      <c r="AI17" s="128">
        <v>389.78100000000001</v>
      </c>
      <c r="AJ17" s="128">
        <v>14935.516</v>
      </c>
      <c r="AK17" s="128">
        <v>41.942999999999998</v>
      </c>
      <c r="AL17" s="128">
        <v>1197.693</v>
      </c>
      <c r="AM17" s="128">
        <v>596.93700000000001</v>
      </c>
      <c r="AN17" s="128">
        <v>24335.152999999998</v>
      </c>
      <c r="AR17" s="28">
        <v>0</v>
      </c>
      <c r="AS17" s="28">
        <v>1</v>
      </c>
      <c r="AT17" s="28">
        <v>7</v>
      </c>
      <c r="AU17" s="28" t="s">
        <v>351</v>
      </c>
      <c r="AV17" s="28" t="s">
        <v>350</v>
      </c>
      <c r="AW17" s="28">
        <v>7</v>
      </c>
      <c r="AX17" s="28" t="s">
        <v>351</v>
      </c>
      <c r="AY17" s="28" t="s">
        <v>350</v>
      </c>
      <c r="BE17" s="28" t="s">
        <v>351</v>
      </c>
      <c r="BF17" s="99">
        <f t="shared" si="1"/>
        <v>9.5140684222670302</v>
      </c>
      <c r="BG17" s="28">
        <v>0.28000000000000003</v>
      </c>
      <c r="BH17" s="28">
        <v>0.23</v>
      </c>
      <c r="BI17" s="28">
        <v>0.18</v>
      </c>
      <c r="BJ17" s="28">
        <v>0.41</v>
      </c>
      <c r="BK17" s="28">
        <v>0.34</v>
      </c>
      <c r="BM17" s="28" t="s">
        <v>351</v>
      </c>
      <c r="BN17" s="99">
        <f t="shared" si="2"/>
        <v>0.4938997268389988</v>
      </c>
      <c r="BO17" s="28">
        <v>-1.23</v>
      </c>
      <c r="BP17" s="28">
        <v>0.11</v>
      </c>
      <c r="BQ17" s="28">
        <v>1.04</v>
      </c>
      <c r="BR17" s="28">
        <v>1.33</v>
      </c>
      <c r="BS17" s="28">
        <v>0.27</v>
      </c>
    </row>
    <row r="18" spans="1:71">
      <c r="A18" s="28" t="s">
        <v>411</v>
      </c>
      <c r="B18" s="128" t="s">
        <v>410</v>
      </c>
      <c r="C18" s="129">
        <f t="shared" si="5"/>
        <v>4.4450975415509886</v>
      </c>
      <c r="D18" s="129">
        <f t="shared" si="3"/>
        <v>1.2997361232605233</v>
      </c>
      <c r="E18" s="129">
        <f t="shared" si="4"/>
        <v>8.2186647527507084</v>
      </c>
      <c r="I18" s="52" t="s">
        <v>354</v>
      </c>
      <c r="J18" s="52">
        <v>3.6</v>
      </c>
      <c r="K18" s="52"/>
      <c r="L18" s="52" t="s">
        <v>354</v>
      </c>
      <c r="M18" s="52">
        <v>3.72</v>
      </c>
      <c r="N18" s="52"/>
      <c r="O18" s="52" t="s">
        <v>354</v>
      </c>
      <c r="P18" s="52">
        <v>0.3</v>
      </c>
      <c r="W18" s="28" t="s">
        <v>354</v>
      </c>
      <c r="X18" s="99">
        <f t="shared" si="0"/>
        <v>1.559683347912628</v>
      </c>
      <c r="Y18" s="28">
        <v>-1.05</v>
      </c>
      <c r="Z18" s="28">
        <v>0.24</v>
      </c>
      <c r="AA18" s="28">
        <v>0.37</v>
      </c>
      <c r="AB18" s="28">
        <v>0.22</v>
      </c>
      <c r="AC18" s="28">
        <v>0.21</v>
      </c>
      <c r="AG18" s="128" t="s">
        <v>352</v>
      </c>
      <c r="AH18" s="246">
        <v>6810.9279999999999</v>
      </c>
      <c r="AI18" s="128">
        <v>4243.5640000000003</v>
      </c>
      <c r="AJ18" s="128">
        <v>38087.718999999997</v>
      </c>
      <c r="AK18" s="128">
        <v>1208.8900000000001</v>
      </c>
      <c r="AL18" s="128">
        <v>95.108000000000004</v>
      </c>
      <c r="AM18" s="128">
        <v>3660.8359999999998</v>
      </c>
      <c r="AN18" s="128">
        <v>54107.044000000002</v>
      </c>
      <c r="AR18" s="28">
        <v>0</v>
      </c>
      <c r="AS18" s="28">
        <v>1</v>
      </c>
      <c r="AT18" s="28">
        <v>8</v>
      </c>
      <c r="AU18" s="28" t="s">
        <v>354</v>
      </c>
      <c r="AV18" s="28" t="s">
        <v>353</v>
      </c>
      <c r="AW18" s="28">
        <v>8</v>
      </c>
      <c r="AX18" s="28" t="s">
        <v>354</v>
      </c>
      <c r="AY18" s="28" t="s">
        <v>353</v>
      </c>
      <c r="BE18" s="28" t="s">
        <v>354</v>
      </c>
      <c r="BF18" s="99">
        <f t="shared" si="1"/>
        <v>1.6116727928430488</v>
      </c>
      <c r="BG18" s="28">
        <v>0.3</v>
      </c>
      <c r="BH18" s="28">
        <v>0.2</v>
      </c>
      <c r="BI18" s="28">
        <v>0.28000000000000003</v>
      </c>
      <c r="BJ18" s="28">
        <v>0.18</v>
      </c>
      <c r="BK18" s="28">
        <v>0.08</v>
      </c>
      <c r="BM18" s="28" t="s">
        <v>354</v>
      </c>
      <c r="BN18" s="99">
        <f t="shared" si="2"/>
        <v>0.12997361232605231</v>
      </c>
      <c r="BO18" s="28">
        <v>-1.27</v>
      </c>
      <c r="BP18" s="28">
        <v>0.27</v>
      </c>
      <c r="BQ18" s="28">
        <v>1.1599999999999999</v>
      </c>
      <c r="BR18" s="28">
        <v>0.94</v>
      </c>
      <c r="BS18" s="28">
        <v>0.31</v>
      </c>
    </row>
    <row r="19" spans="1:71">
      <c r="A19" s="28" t="s">
        <v>354</v>
      </c>
      <c r="B19" s="128" t="s">
        <v>353</v>
      </c>
      <c r="C19" s="129">
        <f t="shared" si="5"/>
        <v>1.559683347912628</v>
      </c>
      <c r="D19" s="129">
        <f t="shared" si="3"/>
        <v>0.12997361232605231</v>
      </c>
      <c r="E19" s="129">
        <f t="shared" si="4"/>
        <v>1.6116727928430488</v>
      </c>
      <c r="I19" s="52" t="s">
        <v>357</v>
      </c>
      <c r="J19" s="52">
        <v>0.94</v>
      </c>
      <c r="K19" s="52"/>
      <c r="L19" s="52" t="s">
        <v>357</v>
      </c>
      <c r="M19" s="52">
        <v>2.88</v>
      </c>
      <c r="N19" s="52"/>
      <c r="O19" s="52" t="s">
        <v>357</v>
      </c>
      <c r="P19" s="52">
        <v>0.92</v>
      </c>
      <c r="W19" s="28" t="s">
        <v>357</v>
      </c>
      <c r="X19" s="99">
        <f t="shared" si="0"/>
        <v>0.40725065195496396</v>
      </c>
      <c r="Y19" s="28">
        <v>-1.55</v>
      </c>
      <c r="Z19" s="28">
        <v>0.31</v>
      </c>
      <c r="AA19" s="28">
        <v>1.1100000000000001</v>
      </c>
      <c r="AB19" s="28">
        <v>1.24</v>
      </c>
      <c r="AC19" s="28">
        <v>0.32</v>
      </c>
      <c r="AG19" s="128" t="s">
        <v>355</v>
      </c>
      <c r="AH19" s="246">
        <v>3510.721</v>
      </c>
      <c r="AI19" s="128">
        <v>12456.901</v>
      </c>
      <c r="AJ19" s="128">
        <v>52688.887999999999</v>
      </c>
      <c r="AK19" s="128">
        <v>655.98</v>
      </c>
      <c r="AL19" s="128">
        <v>819.03599999999994</v>
      </c>
      <c r="AM19" s="128">
        <v>4385.0159999999996</v>
      </c>
      <c r="AN19" s="128">
        <v>74516.542000000001</v>
      </c>
      <c r="AR19" s="28">
        <v>0</v>
      </c>
      <c r="AS19" s="28">
        <v>1</v>
      </c>
      <c r="AT19" s="28">
        <v>9</v>
      </c>
      <c r="AU19" s="28" t="s">
        <v>357</v>
      </c>
      <c r="AV19" s="28" t="s">
        <v>356</v>
      </c>
      <c r="AW19" s="28">
        <v>9</v>
      </c>
      <c r="AX19" s="28" t="s">
        <v>357</v>
      </c>
      <c r="AY19" s="28" t="s">
        <v>356</v>
      </c>
      <c r="BE19" s="28" t="s">
        <v>357</v>
      </c>
      <c r="BF19" s="99">
        <f t="shared" si="1"/>
        <v>1.2477466783301021</v>
      </c>
      <c r="BG19" s="28">
        <v>0.25</v>
      </c>
      <c r="BH19" s="28">
        <v>0.28999999999999998</v>
      </c>
      <c r="BI19" s="28">
        <v>0.43</v>
      </c>
      <c r="BJ19" s="28">
        <v>0.42</v>
      </c>
      <c r="BK19" s="28">
        <v>0.28000000000000003</v>
      </c>
      <c r="BM19" s="28" t="s">
        <v>357</v>
      </c>
      <c r="BN19" s="99">
        <f t="shared" si="2"/>
        <v>0.39858574446656048</v>
      </c>
      <c r="BO19" s="28">
        <v>-1.59</v>
      </c>
      <c r="BP19" s="28">
        <v>0.31</v>
      </c>
      <c r="BQ19" s="28">
        <v>1.1399999999999999</v>
      </c>
      <c r="BR19" s="28">
        <v>1.25</v>
      </c>
      <c r="BS19" s="28">
        <v>0.33</v>
      </c>
    </row>
    <row r="20" spans="1:71">
      <c r="A20" s="28" t="s">
        <v>399</v>
      </c>
      <c r="B20" s="128" t="s">
        <v>398</v>
      </c>
      <c r="C20" s="129">
        <f t="shared" si="5"/>
        <v>3.2580052156397117</v>
      </c>
      <c r="D20" s="129">
        <f t="shared" si="3"/>
        <v>2.4651661804507925</v>
      </c>
      <c r="E20" s="129">
        <f t="shared" si="4"/>
        <v>8.5652610522868482</v>
      </c>
      <c r="I20" s="52" t="s">
        <v>360</v>
      </c>
      <c r="J20" s="52">
        <v>1.25</v>
      </c>
      <c r="K20" s="52"/>
      <c r="L20" s="52" t="s">
        <v>360</v>
      </c>
      <c r="M20" s="52">
        <v>8.41</v>
      </c>
      <c r="N20" s="52"/>
      <c r="O20" s="52" t="s">
        <v>360</v>
      </c>
      <c r="P20" s="52">
        <v>0.87</v>
      </c>
      <c r="W20" s="28" t="s">
        <v>360</v>
      </c>
      <c r="X20" s="99">
        <f t="shared" si="0"/>
        <v>0.54155671802521799</v>
      </c>
      <c r="Y20" s="28">
        <v>-1.57</v>
      </c>
      <c r="Z20" s="28">
        <v>0.3</v>
      </c>
      <c r="AA20" s="28">
        <v>0.77</v>
      </c>
      <c r="AB20" s="28">
        <v>1.33</v>
      </c>
      <c r="AC20" s="28">
        <v>0.31</v>
      </c>
      <c r="AG20" s="128" t="s">
        <v>358</v>
      </c>
      <c r="AH20" s="246">
        <v>11422.569</v>
      </c>
      <c r="AI20" s="128">
        <v>93988.880999999994</v>
      </c>
      <c r="AJ20" s="128">
        <v>93280.846999999994</v>
      </c>
      <c r="AK20" s="128">
        <v>1031.809</v>
      </c>
      <c r="AL20" s="128">
        <v>2874.2040000000002</v>
      </c>
      <c r="AM20" s="128">
        <v>8649.0740000000005</v>
      </c>
      <c r="AN20" s="128">
        <v>211247.38399999999</v>
      </c>
      <c r="AR20" s="28">
        <v>0</v>
      </c>
      <c r="AS20" s="28">
        <v>1</v>
      </c>
      <c r="AT20" s="28">
        <v>10</v>
      </c>
      <c r="AU20" s="28" t="s">
        <v>360</v>
      </c>
      <c r="AV20" s="28" t="s">
        <v>359</v>
      </c>
      <c r="AW20" s="28">
        <v>10</v>
      </c>
      <c r="AX20" s="28" t="s">
        <v>360</v>
      </c>
      <c r="AY20" s="28" t="s">
        <v>359</v>
      </c>
      <c r="BE20" s="28" t="s">
        <v>360</v>
      </c>
      <c r="BF20" s="99">
        <f t="shared" si="1"/>
        <v>3.6435935988736667</v>
      </c>
      <c r="BG20" s="28">
        <v>0.34</v>
      </c>
      <c r="BH20" s="28">
        <v>0.21</v>
      </c>
      <c r="BI20" s="28">
        <v>0.34</v>
      </c>
      <c r="BJ20" s="28">
        <v>0.43</v>
      </c>
      <c r="BK20" s="28">
        <v>0.21</v>
      </c>
      <c r="BM20" s="28" t="s">
        <v>360</v>
      </c>
      <c r="BN20" s="99">
        <f t="shared" si="2"/>
        <v>0.37692347574555174</v>
      </c>
      <c r="BO20" s="28">
        <v>-1.62</v>
      </c>
      <c r="BP20" s="28">
        <v>0.31</v>
      </c>
      <c r="BQ20" s="28">
        <v>1.1000000000000001</v>
      </c>
      <c r="BR20" s="28">
        <v>1.39</v>
      </c>
      <c r="BS20" s="28">
        <v>0.32</v>
      </c>
    </row>
    <row r="21" spans="1:71">
      <c r="A21" s="28" t="s">
        <v>441</v>
      </c>
      <c r="B21" s="128" t="s">
        <v>440</v>
      </c>
      <c r="C21" s="129">
        <f>INDEX($X$11:$X$75,MATCH(A21,$W$11:$W$75,0))</f>
        <v>2.9504009998013876</v>
      </c>
      <c r="D21" s="129">
        <f t="shared" si="3"/>
        <v>1.425377281842374</v>
      </c>
      <c r="E21" s="129">
        <f t="shared" si="4"/>
        <v>7.0315724268394302</v>
      </c>
      <c r="I21" s="52" t="s">
        <v>363</v>
      </c>
      <c r="J21" s="52">
        <v>1.57</v>
      </c>
      <c r="K21" s="52"/>
      <c r="L21" s="52" t="s">
        <v>363</v>
      </c>
      <c r="M21" s="52">
        <v>0.05</v>
      </c>
      <c r="N21" s="52"/>
      <c r="O21" s="52" t="s">
        <v>363</v>
      </c>
      <c r="P21" s="52">
        <v>1.58</v>
      </c>
      <c r="W21" s="28" t="s">
        <v>363</v>
      </c>
      <c r="X21" s="99">
        <f t="shared" si="0"/>
        <v>0.68019523783967384</v>
      </c>
      <c r="Y21" s="28">
        <v>-1.64</v>
      </c>
      <c r="Z21" s="28">
        <v>0.31</v>
      </c>
      <c r="AA21" s="28">
        <v>1.1499999999999999</v>
      </c>
      <c r="AB21" s="28">
        <v>1.31</v>
      </c>
      <c r="AC21" s="28">
        <v>0.33</v>
      </c>
      <c r="AG21" s="128" t="s">
        <v>361</v>
      </c>
      <c r="AH21" s="246">
        <v>2577.8000000000002</v>
      </c>
      <c r="AI21" s="128">
        <v>8659.1110000000008</v>
      </c>
      <c r="AJ21" s="128">
        <v>94609.264999999999</v>
      </c>
      <c r="AK21" s="128">
        <v>232.881</v>
      </c>
      <c r="AL21" s="128">
        <v>180.12899999999999</v>
      </c>
      <c r="AM21" s="128">
        <v>1708.048</v>
      </c>
      <c r="AN21" s="128">
        <v>107967.234</v>
      </c>
      <c r="AR21" s="28">
        <v>0</v>
      </c>
      <c r="AS21" s="28">
        <v>1</v>
      </c>
      <c r="AT21" s="28">
        <v>11</v>
      </c>
      <c r="AU21" s="28" t="s">
        <v>363</v>
      </c>
      <c r="AV21" s="28" t="s">
        <v>362</v>
      </c>
      <c r="AW21" s="28">
        <v>11</v>
      </c>
      <c r="AX21" s="28" t="s">
        <v>363</v>
      </c>
      <c r="AY21" s="28" t="s">
        <v>362</v>
      </c>
      <c r="BE21" s="28" t="s">
        <v>363</v>
      </c>
      <c r="BF21" s="99">
        <f t="shared" si="1"/>
        <v>2.1662268721008723E-2</v>
      </c>
      <c r="BG21" s="28">
        <v>0.19</v>
      </c>
      <c r="BH21" s="28">
        <v>0.27</v>
      </c>
      <c r="BI21" s="28">
        <v>0.28999999999999998</v>
      </c>
      <c r="BJ21" s="28">
        <v>0.27</v>
      </c>
      <c r="BK21" s="28">
        <v>0.23</v>
      </c>
      <c r="BM21" s="28" t="s">
        <v>363</v>
      </c>
      <c r="BN21" s="99">
        <f t="shared" si="2"/>
        <v>0.68452769158387561</v>
      </c>
      <c r="BO21" s="28">
        <v>-1.64</v>
      </c>
      <c r="BP21" s="28">
        <v>0.31</v>
      </c>
      <c r="BQ21" s="28">
        <v>1.1499999999999999</v>
      </c>
      <c r="BR21" s="28">
        <v>1.31</v>
      </c>
      <c r="BS21" s="28">
        <v>0.33</v>
      </c>
    </row>
    <row r="22" spans="1:71">
      <c r="A22" s="28" t="s">
        <v>438</v>
      </c>
      <c r="B22" s="128" t="s">
        <v>437</v>
      </c>
      <c r="C22" s="129">
        <f t="shared" si="5"/>
        <v>2.6038047002652482</v>
      </c>
      <c r="D22" s="129">
        <f t="shared" si="3"/>
        <v>0.88815301756135745</v>
      </c>
      <c r="E22" s="129">
        <f t="shared" si="4"/>
        <v>5.480553986415206</v>
      </c>
      <c r="I22" s="52" t="s">
        <v>366</v>
      </c>
      <c r="J22" s="52">
        <v>6.6</v>
      </c>
      <c r="K22" s="52"/>
      <c r="L22" s="52" t="s">
        <v>366</v>
      </c>
      <c r="M22" s="52">
        <v>9.8000000000000007</v>
      </c>
      <c r="N22" s="52"/>
      <c r="O22" s="52" t="s">
        <v>366</v>
      </c>
      <c r="P22" s="52">
        <v>6.57</v>
      </c>
      <c r="W22" s="28" t="s">
        <v>366</v>
      </c>
      <c r="X22" s="99">
        <f t="shared" si="0"/>
        <v>2.8594194711731511</v>
      </c>
      <c r="Y22" s="28">
        <v>-1.32</v>
      </c>
      <c r="Z22" s="28">
        <v>0.27</v>
      </c>
      <c r="AA22" s="28">
        <v>1.0900000000000001</v>
      </c>
      <c r="AB22" s="28">
        <v>1.33</v>
      </c>
      <c r="AC22" s="28">
        <v>0.25</v>
      </c>
      <c r="AG22" s="128" t="s">
        <v>364</v>
      </c>
      <c r="AH22" s="246">
        <v>499.17599999999999</v>
      </c>
      <c r="AI22" s="128">
        <v>3415.3820000000001</v>
      </c>
      <c r="AJ22" s="128">
        <v>3266.4580000000001</v>
      </c>
      <c r="AK22" s="128">
        <v>33.164999999999999</v>
      </c>
      <c r="AL22" s="128">
        <v>25.678999999999998</v>
      </c>
      <c r="AM22" s="128">
        <v>216.66200000000001</v>
      </c>
      <c r="AN22" s="128">
        <v>7456.5219999999999</v>
      </c>
      <c r="AR22" s="28">
        <v>0</v>
      </c>
      <c r="AS22" s="28">
        <v>0</v>
      </c>
      <c r="AT22" s="28">
        <v>12</v>
      </c>
      <c r="AU22" s="28" t="s">
        <v>366</v>
      </c>
      <c r="AV22" s="28" t="s">
        <v>365</v>
      </c>
      <c r="AW22" s="28">
        <v>12</v>
      </c>
      <c r="AX22" s="28" t="s">
        <v>366</v>
      </c>
      <c r="AY22" s="28" t="s">
        <v>365</v>
      </c>
      <c r="BE22" s="28" t="s">
        <v>366</v>
      </c>
      <c r="BF22" s="99">
        <f t="shared" si="1"/>
        <v>4.2458046693177094</v>
      </c>
      <c r="BG22" s="28">
        <v>0.25</v>
      </c>
      <c r="BH22" s="28">
        <v>0.24</v>
      </c>
      <c r="BI22" s="28">
        <v>0.54</v>
      </c>
      <c r="BJ22" s="28">
        <v>0.35</v>
      </c>
      <c r="BK22" s="28">
        <v>0.19</v>
      </c>
      <c r="BM22" s="28" t="s">
        <v>366</v>
      </c>
      <c r="BN22" s="99">
        <f t="shared" si="2"/>
        <v>2.846422109940546</v>
      </c>
      <c r="BO22" s="28">
        <v>-1.43</v>
      </c>
      <c r="BP22" s="28">
        <v>0.27</v>
      </c>
      <c r="BQ22" s="28">
        <v>1.0900000000000001</v>
      </c>
      <c r="BR22" s="28">
        <v>1.33</v>
      </c>
      <c r="BS22" s="28">
        <v>0.25</v>
      </c>
    </row>
    <row r="23" spans="1:71">
      <c r="A23" s="28" t="s">
        <v>456</v>
      </c>
      <c r="B23" s="128" t="s">
        <v>455</v>
      </c>
      <c r="C23" s="129">
        <f t="shared" si="5"/>
        <v>4.1461582332010689</v>
      </c>
      <c r="D23" s="129">
        <f t="shared" si="3"/>
        <v>1.845625295029943</v>
      </c>
      <c r="E23" s="129">
        <f t="shared" si="4"/>
        <v>8.1580104003318823</v>
      </c>
      <c r="I23" s="52" t="s">
        <v>369</v>
      </c>
      <c r="J23" s="52">
        <v>1.72</v>
      </c>
      <c r="K23" s="52"/>
      <c r="L23" s="52" t="s">
        <v>369</v>
      </c>
      <c r="M23" s="52">
        <v>8.94</v>
      </c>
      <c r="N23" s="52"/>
      <c r="O23" s="52" t="s">
        <v>369</v>
      </c>
      <c r="P23" s="52">
        <v>1.1399999999999999</v>
      </c>
      <c r="W23" s="28" t="s">
        <v>369</v>
      </c>
      <c r="X23" s="99">
        <f t="shared" si="0"/>
        <v>0.74518204400269994</v>
      </c>
      <c r="Y23" s="28">
        <v>-1.65</v>
      </c>
      <c r="Z23" s="28">
        <v>0.31</v>
      </c>
      <c r="AA23" s="28">
        <v>0.99</v>
      </c>
      <c r="AB23" s="28">
        <v>2.0299999999999998</v>
      </c>
      <c r="AC23" s="28">
        <v>0.28000000000000003</v>
      </c>
      <c r="AG23" s="128" t="s">
        <v>367</v>
      </c>
      <c r="AH23" s="246">
        <v>593.053</v>
      </c>
      <c r="AI23" s="128">
        <v>1908.3230000000001</v>
      </c>
      <c r="AJ23" s="128">
        <v>56256.097000000002</v>
      </c>
      <c r="AK23" s="128">
        <v>468.40499999999997</v>
      </c>
      <c r="AL23" s="128">
        <v>146.036</v>
      </c>
      <c r="AM23" s="128">
        <v>2391.6669999999999</v>
      </c>
      <c r="AN23" s="128">
        <v>61763.580999999998</v>
      </c>
      <c r="AR23" s="28">
        <v>0</v>
      </c>
      <c r="AS23" s="28">
        <v>0</v>
      </c>
      <c r="AT23" s="28">
        <v>13</v>
      </c>
      <c r="AU23" s="28" t="s">
        <v>369</v>
      </c>
      <c r="AV23" s="28" t="s">
        <v>368</v>
      </c>
      <c r="AW23" s="28">
        <v>13</v>
      </c>
      <c r="AX23" s="28" t="s">
        <v>369</v>
      </c>
      <c r="AY23" s="28" t="s">
        <v>368</v>
      </c>
      <c r="BE23" s="28" t="s">
        <v>369</v>
      </c>
      <c r="BF23" s="99">
        <f t="shared" si="1"/>
        <v>3.873213647316359</v>
      </c>
      <c r="BG23" s="28">
        <v>0.34</v>
      </c>
      <c r="BH23" s="28">
        <v>0.28999999999999998</v>
      </c>
      <c r="BI23" s="28">
        <v>0.45</v>
      </c>
      <c r="BJ23" s="28">
        <v>0.39</v>
      </c>
      <c r="BK23" s="28">
        <v>0.22</v>
      </c>
      <c r="BM23" s="28" t="s">
        <v>369</v>
      </c>
      <c r="BN23" s="99">
        <f t="shared" si="2"/>
        <v>0.4938997268389988</v>
      </c>
      <c r="BO23" s="28">
        <v>-1.96</v>
      </c>
      <c r="BP23" s="28">
        <v>0.31</v>
      </c>
      <c r="BQ23" s="28">
        <v>1</v>
      </c>
      <c r="BR23" s="28">
        <v>2.0499999999999998</v>
      </c>
      <c r="BS23" s="28">
        <v>0.28000000000000003</v>
      </c>
    </row>
    <row r="24" spans="1:71">
      <c r="A24" s="28" t="s">
        <v>435</v>
      </c>
      <c r="B24" s="128" t="s">
        <v>434</v>
      </c>
      <c r="C24" s="129">
        <f t="shared" si="5"/>
        <v>2.7771028500333181</v>
      </c>
      <c r="D24" s="129">
        <f t="shared" si="3"/>
        <v>1.1221055197482517</v>
      </c>
      <c r="E24" s="129">
        <f t="shared" si="4"/>
        <v>5.9094669070911792</v>
      </c>
      <c r="I24" s="52" t="s">
        <v>372</v>
      </c>
      <c r="J24" s="52">
        <v>3.07</v>
      </c>
      <c r="K24" s="52"/>
      <c r="L24" s="52" t="s">
        <v>372</v>
      </c>
      <c r="M24" s="52">
        <v>7.27</v>
      </c>
      <c r="N24" s="52"/>
      <c r="O24" s="52" t="s">
        <v>372</v>
      </c>
      <c r="P24" s="52">
        <v>1.86</v>
      </c>
      <c r="W24" s="28" t="s">
        <v>372</v>
      </c>
      <c r="X24" s="99">
        <f t="shared" si="0"/>
        <v>1.3300632994699353</v>
      </c>
      <c r="Y24" s="28">
        <v>-1.83</v>
      </c>
      <c r="Z24" s="28">
        <v>0.32</v>
      </c>
      <c r="AA24" s="28">
        <v>0.57999999999999996</v>
      </c>
      <c r="AB24" s="28">
        <v>1.47</v>
      </c>
      <c r="AC24" s="28">
        <v>0.14000000000000001</v>
      </c>
      <c r="AG24" s="128" t="s">
        <v>370</v>
      </c>
      <c r="AH24" s="246">
        <v>4438.9219999999996</v>
      </c>
      <c r="AI24" s="128">
        <v>72221.226999999999</v>
      </c>
      <c r="AJ24" s="128">
        <v>132540.34</v>
      </c>
      <c r="AK24" s="128">
        <v>1639.799</v>
      </c>
      <c r="AL24" s="128">
        <v>1459.5619999999999</v>
      </c>
      <c r="AM24" s="128">
        <v>8428.6039999999994</v>
      </c>
      <c r="AN24" s="128">
        <v>220728.454</v>
      </c>
      <c r="AR24" s="28">
        <v>0</v>
      </c>
      <c r="AS24" s="28">
        <v>1</v>
      </c>
      <c r="AT24" s="28">
        <v>14</v>
      </c>
      <c r="AU24" s="28" t="s">
        <v>372</v>
      </c>
      <c r="AV24" s="28" t="s">
        <v>371</v>
      </c>
      <c r="AW24" s="28">
        <v>14</v>
      </c>
      <c r="AX24" s="28" t="s">
        <v>372</v>
      </c>
      <c r="AY24" s="28" t="s">
        <v>371</v>
      </c>
      <c r="BE24" s="28" t="s">
        <v>372</v>
      </c>
      <c r="BF24" s="99">
        <f t="shared" si="1"/>
        <v>3.1496938720346677</v>
      </c>
      <c r="BG24" s="28">
        <v>0.19</v>
      </c>
      <c r="BH24" s="28">
        <v>0.25</v>
      </c>
      <c r="BI24" s="28">
        <v>0.41</v>
      </c>
      <c r="BJ24" s="28">
        <v>0.06</v>
      </c>
      <c r="BK24" s="28">
        <v>-0.27</v>
      </c>
      <c r="BM24" s="28" t="s">
        <v>372</v>
      </c>
      <c r="BN24" s="99">
        <f t="shared" si="2"/>
        <v>0.80583639642152438</v>
      </c>
      <c r="BO24" s="28">
        <v>-1.87</v>
      </c>
      <c r="BP24" s="28">
        <v>0.33</v>
      </c>
      <c r="BQ24" s="28">
        <v>0.61</v>
      </c>
      <c r="BR24" s="28">
        <v>1.49</v>
      </c>
      <c r="BS24" s="28">
        <v>0.18</v>
      </c>
    </row>
    <row r="25" spans="1:71">
      <c r="A25" s="28" t="s">
        <v>450</v>
      </c>
      <c r="B25" s="128" t="s">
        <v>1860</v>
      </c>
      <c r="C25" s="129">
        <f t="shared" si="5"/>
        <v>5.2942584754145319</v>
      </c>
      <c r="D25" s="129">
        <f t="shared" si="3"/>
        <v>1.0787809823062344</v>
      </c>
      <c r="E25" s="129">
        <f t="shared" si="4"/>
        <v>6.1737465854874856</v>
      </c>
      <c r="I25" s="52" t="s">
        <v>375</v>
      </c>
      <c r="J25" s="52">
        <v>0.47</v>
      </c>
      <c r="K25" s="52"/>
      <c r="L25" s="52" t="s">
        <v>375</v>
      </c>
      <c r="M25" s="52">
        <v>-0.04</v>
      </c>
      <c r="N25" s="52"/>
      <c r="O25" s="52" t="s">
        <v>375</v>
      </c>
      <c r="P25" s="52">
        <v>0.47</v>
      </c>
      <c r="W25" s="28" t="s">
        <v>375</v>
      </c>
      <c r="X25" s="99">
        <f t="shared" si="0"/>
        <v>0.20362532597748198</v>
      </c>
      <c r="Y25" s="28">
        <v>-0.7</v>
      </c>
      <c r="Z25" s="28">
        <v>-0.12</v>
      </c>
      <c r="AA25" s="28">
        <v>-0.05</v>
      </c>
      <c r="AB25" s="28">
        <v>0.03</v>
      </c>
      <c r="AC25" s="28">
        <v>-0.13</v>
      </c>
      <c r="AG25" s="128" t="s">
        <v>373</v>
      </c>
      <c r="AH25" s="246">
        <v>16.187000000000001</v>
      </c>
      <c r="AI25" s="128">
        <v>6108.009</v>
      </c>
      <c r="AJ25" s="128">
        <v>4786.5739999999996</v>
      </c>
      <c r="AK25" s="128">
        <v>3.609</v>
      </c>
      <c r="AL25" s="128">
        <v>1.0920000000000001</v>
      </c>
      <c r="AM25" s="128">
        <v>93.573999999999998</v>
      </c>
      <c r="AN25" s="128">
        <v>11009.046</v>
      </c>
      <c r="AP25" s="402" t="s">
        <v>375</v>
      </c>
      <c r="AQ25" s="28">
        <v>15</v>
      </c>
      <c r="AR25" s="28">
        <v>1</v>
      </c>
      <c r="AS25" s="28">
        <v>0</v>
      </c>
      <c r="AT25" s="28">
        <v>15</v>
      </c>
      <c r="AU25" s="28" t="s">
        <v>375</v>
      </c>
      <c r="AV25" s="28" t="s">
        <v>374</v>
      </c>
      <c r="AW25" s="28">
        <v>15</v>
      </c>
      <c r="AX25" s="28" t="s">
        <v>375</v>
      </c>
      <c r="AY25" s="28" t="s">
        <v>374</v>
      </c>
      <c r="BE25" s="28" t="s">
        <v>375</v>
      </c>
      <c r="BF25" s="99">
        <f t="shared" si="1"/>
        <v>-1.7329814976806978E-2</v>
      </c>
      <c r="BG25" s="28">
        <v>-0.11</v>
      </c>
      <c r="BH25" s="28">
        <v>-0.09</v>
      </c>
      <c r="BI25" s="28">
        <v>7.0000000000000007E-2</v>
      </c>
      <c r="BJ25" s="28">
        <v>-0.08</v>
      </c>
      <c r="BK25" s="28">
        <v>-0.11</v>
      </c>
      <c r="BM25" s="28" t="s">
        <v>375</v>
      </c>
      <c r="BN25" s="99">
        <f t="shared" si="2"/>
        <v>0.20362532597748198</v>
      </c>
      <c r="BO25" s="28">
        <v>-0.78</v>
      </c>
      <c r="BP25" s="28">
        <v>-0.13</v>
      </c>
      <c r="BQ25" s="28">
        <v>-0.05</v>
      </c>
      <c r="BR25" s="28">
        <v>0.04</v>
      </c>
      <c r="BS25" s="28">
        <v>-0.16</v>
      </c>
    </row>
    <row r="26" spans="1:71">
      <c r="A26" s="28" t="s">
        <v>447</v>
      </c>
      <c r="B26" s="128" t="s">
        <v>446</v>
      </c>
      <c r="C26" s="129">
        <f t="shared" si="5"/>
        <v>5.0213138895298215</v>
      </c>
      <c r="D26" s="129">
        <f t="shared" si="3"/>
        <v>1.3820527444003565</v>
      </c>
      <c r="E26" s="129">
        <f t="shared" si="4"/>
        <v>16.666949553944111</v>
      </c>
      <c r="I26" s="52" t="s">
        <v>378</v>
      </c>
      <c r="J26" s="52">
        <v>0.38</v>
      </c>
      <c r="K26" s="52"/>
      <c r="L26" s="52" t="s">
        <v>378</v>
      </c>
      <c r="M26" s="52">
        <v>0.56999999999999995</v>
      </c>
      <c r="N26" s="52"/>
      <c r="O26" s="52" t="s">
        <v>378</v>
      </c>
      <c r="P26" s="52">
        <v>0.13</v>
      </c>
      <c r="W26" s="28" t="s">
        <v>378</v>
      </c>
      <c r="X26" s="99">
        <f t="shared" si="0"/>
        <v>0.16463324227966628</v>
      </c>
      <c r="Y26" s="28">
        <v>0.13</v>
      </c>
      <c r="Z26" s="28">
        <v>0.22</v>
      </c>
      <c r="AA26" s="28">
        <v>0.27</v>
      </c>
      <c r="AB26" s="28">
        <v>0.38</v>
      </c>
      <c r="AC26" s="28">
        <v>0.23</v>
      </c>
      <c r="AG26" s="128" t="s">
        <v>376</v>
      </c>
      <c r="AH26" s="246">
        <v>0.104</v>
      </c>
      <c r="AI26" s="128">
        <v>8.1000000000000003E-2</v>
      </c>
      <c r="AJ26" s="128">
        <v>52.65</v>
      </c>
      <c r="AK26" s="128">
        <v>3.8439999999999999</v>
      </c>
      <c r="AL26" s="128">
        <v>5.0000000000000001E-3</v>
      </c>
      <c r="AM26" s="128">
        <v>0.13600000000000001</v>
      </c>
      <c r="AN26" s="128">
        <v>56.82</v>
      </c>
      <c r="AP26" s="402" t="s">
        <v>378</v>
      </c>
      <c r="AQ26" s="28">
        <v>10</v>
      </c>
      <c r="AR26" s="28">
        <v>1</v>
      </c>
      <c r="AS26" s="28">
        <v>0</v>
      </c>
      <c r="AT26" s="28">
        <v>16</v>
      </c>
      <c r="AU26" s="28" t="s">
        <v>378</v>
      </c>
      <c r="AV26" s="28" t="s">
        <v>377</v>
      </c>
      <c r="AW26" s="28">
        <v>16</v>
      </c>
      <c r="AX26" s="28" t="s">
        <v>378</v>
      </c>
      <c r="AY26" s="28" t="s">
        <v>377</v>
      </c>
      <c r="BE26" s="28" t="s">
        <v>378</v>
      </c>
      <c r="BF26" s="99">
        <f t="shared" si="1"/>
        <v>0.2469498634194994</v>
      </c>
      <c r="BG26" s="28">
        <v>0.22</v>
      </c>
      <c r="BH26" s="28">
        <v>0.22</v>
      </c>
      <c r="BI26" s="28">
        <v>0.25</v>
      </c>
      <c r="BJ26" s="28">
        <v>0.28000000000000003</v>
      </c>
      <c r="BK26" s="28">
        <v>0.22</v>
      </c>
      <c r="BM26" s="28" t="s">
        <v>378</v>
      </c>
      <c r="BN26" s="99">
        <f t="shared" si="2"/>
        <v>5.6321898674622679E-2</v>
      </c>
      <c r="BO26" s="28">
        <v>0.04</v>
      </c>
      <c r="BP26" s="28">
        <v>0.22</v>
      </c>
      <c r="BQ26" s="28">
        <v>0.32</v>
      </c>
      <c r="BR26" s="28">
        <v>0.39</v>
      </c>
      <c r="BS26" s="28">
        <v>0.23</v>
      </c>
    </row>
    <row r="27" spans="1:71">
      <c r="A27" s="28" t="s">
        <v>462</v>
      </c>
      <c r="B27" s="128" t="s">
        <v>461</v>
      </c>
      <c r="C27" s="129">
        <f t="shared" si="5"/>
        <v>3.3359893830353426</v>
      </c>
      <c r="D27" s="129">
        <f t="shared" si="3"/>
        <v>1.8542902025183465</v>
      </c>
      <c r="E27" s="129">
        <f t="shared" si="4"/>
        <v>5.866142369649161</v>
      </c>
      <c r="I27" s="52" t="s">
        <v>381</v>
      </c>
      <c r="J27" s="52">
        <v>0.8</v>
      </c>
      <c r="K27" s="52"/>
      <c r="L27" s="52" t="s">
        <v>381</v>
      </c>
      <c r="M27" s="52">
        <v>0.78</v>
      </c>
      <c r="N27" s="52"/>
      <c r="O27" s="52" t="s">
        <v>381</v>
      </c>
      <c r="P27" s="52">
        <v>0.87</v>
      </c>
      <c r="W27" s="28" t="s">
        <v>381</v>
      </c>
      <c r="X27" s="99">
        <f t="shared" si="0"/>
        <v>0.34659629953613957</v>
      </c>
      <c r="Y27" s="28">
        <v>0.11</v>
      </c>
      <c r="Z27" s="28">
        <v>0.11</v>
      </c>
      <c r="AA27" s="28">
        <v>0.15</v>
      </c>
      <c r="AB27" s="28">
        <v>0.13</v>
      </c>
      <c r="AC27" s="28">
        <v>0.11</v>
      </c>
      <c r="AG27" s="128" t="s">
        <v>379</v>
      </c>
      <c r="AH27" s="246">
        <v>61.226999999999997</v>
      </c>
      <c r="AI27" s="128">
        <v>928.30499999999995</v>
      </c>
      <c r="AJ27" s="128">
        <v>49791.402000000002</v>
      </c>
      <c r="AK27" s="128">
        <v>1562.681</v>
      </c>
      <c r="AL27" s="128">
        <v>254.679</v>
      </c>
      <c r="AM27" s="128">
        <v>5980.8860000000004</v>
      </c>
      <c r="AN27" s="128">
        <v>58579.178999999996</v>
      </c>
      <c r="AP27" s="402" t="s">
        <v>381</v>
      </c>
      <c r="AQ27" s="28">
        <v>15</v>
      </c>
      <c r="AR27" s="28">
        <v>1</v>
      </c>
      <c r="AS27" s="28">
        <v>0</v>
      </c>
      <c r="AT27" s="28">
        <v>17</v>
      </c>
      <c r="AU27" s="28" t="s">
        <v>381</v>
      </c>
      <c r="AV27" s="28" t="s">
        <v>380</v>
      </c>
      <c r="AW27" s="28">
        <v>17</v>
      </c>
      <c r="AX27" s="28" t="s">
        <v>381</v>
      </c>
      <c r="AY27" s="28" t="s">
        <v>380</v>
      </c>
      <c r="BE27" s="28" t="s">
        <v>381</v>
      </c>
      <c r="BF27" s="99">
        <f t="shared" si="1"/>
        <v>0.33793139204773603</v>
      </c>
      <c r="BG27" s="28">
        <v>0.11</v>
      </c>
      <c r="BH27" s="28">
        <v>0.11</v>
      </c>
      <c r="BI27" s="28">
        <v>0.14000000000000001</v>
      </c>
      <c r="BJ27" s="28">
        <v>0.13</v>
      </c>
      <c r="BK27" s="28">
        <v>0.11</v>
      </c>
      <c r="BM27" s="28" t="s">
        <v>381</v>
      </c>
      <c r="BN27" s="99">
        <f t="shared" si="2"/>
        <v>0.37692347574555174</v>
      </c>
      <c r="BO27" s="28">
        <v>0.08</v>
      </c>
      <c r="BP27" s="28">
        <v>0.1</v>
      </c>
      <c r="BQ27" s="28">
        <v>0.16</v>
      </c>
      <c r="BR27" s="28">
        <v>-0.02</v>
      </c>
      <c r="BS27" s="28">
        <v>0.11</v>
      </c>
    </row>
    <row r="28" spans="1:71">
      <c r="A28" s="28" t="s">
        <v>432</v>
      </c>
      <c r="B28" s="128" t="s">
        <v>431</v>
      </c>
      <c r="C28" s="129">
        <f t="shared" si="5"/>
        <v>0.45057518939698143</v>
      </c>
      <c r="D28" s="129">
        <f t="shared" si="3"/>
        <v>0.6195408854208494</v>
      </c>
      <c r="E28" s="129">
        <f t="shared" si="4"/>
        <v>0.27727703962891165</v>
      </c>
      <c r="I28" s="52" t="s">
        <v>384</v>
      </c>
      <c r="J28" s="52">
        <v>1.01</v>
      </c>
      <c r="K28" s="52"/>
      <c r="L28" s="52" t="s">
        <v>384</v>
      </c>
      <c r="M28" s="52">
        <v>5.66</v>
      </c>
      <c r="N28" s="52"/>
      <c r="O28" s="52" t="s">
        <v>384</v>
      </c>
      <c r="P28" s="52">
        <v>0.38</v>
      </c>
      <c r="W28" s="28" t="s">
        <v>384</v>
      </c>
      <c r="X28" s="99">
        <f t="shared" si="0"/>
        <v>0.43757782816437613</v>
      </c>
      <c r="Y28" s="28">
        <v>-1.1499999999999999</v>
      </c>
      <c r="Z28" s="28">
        <v>0.24</v>
      </c>
      <c r="AA28" s="28">
        <v>0.8</v>
      </c>
      <c r="AB28" s="28">
        <v>0.88</v>
      </c>
      <c r="AC28" s="28">
        <v>0.17</v>
      </c>
      <c r="AG28" s="128" t="s">
        <v>382</v>
      </c>
      <c r="AH28" s="246">
        <v>260.47500000000002</v>
      </c>
      <c r="AI28" s="128">
        <v>160.05099999999999</v>
      </c>
      <c r="AJ28" s="128">
        <v>6036.6170000000002</v>
      </c>
      <c r="AK28" s="128">
        <v>92.224000000000004</v>
      </c>
      <c r="AL28" s="128">
        <v>13.585000000000001</v>
      </c>
      <c r="AM28" s="128">
        <v>777.57100000000003</v>
      </c>
      <c r="AN28" s="128">
        <v>7340.5230000000001</v>
      </c>
      <c r="AP28" s="402" t="s">
        <v>384</v>
      </c>
      <c r="AR28" s="28">
        <v>1</v>
      </c>
      <c r="AS28" s="28">
        <v>0</v>
      </c>
      <c r="AT28" s="28">
        <v>18</v>
      </c>
      <c r="AU28" s="28" t="s">
        <v>384</v>
      </c>
      <c r="AV28" s="28" t="s">
        <v>383</v>
      </c>
      <c r="AW28" s="28">
        <v>18</v>
      </c>
      <c r="AX28" s="28" t="s">
        <v>384</v>
      </c>
      <c r="AY28" s="28" t="s">
        <v>383</v>
      </c>
      <c r="BE28" s="28" t="s">
        <v>384</v>
      </c>
      <c r="BF28" s="99">
        <f t="shared" si="1"/>
        <v>2.4521688192181874</v>
      </c>
      <c r="BG28" s="28">
        <v>0.21</v>
      </c>
      <c r="BH28" s="28">
        <v>0.24</v>
      </c>
      <c r="BI28" s="28">
        <v>0.33</v>
      </c>
      <c r="BJ28" s="28">
        <v>0.31</v>
      </c>
      <c r="BK28" s="28">
        <v>0.25</v>
      </c>
      <c r="BM28" s="28" t="s">
        <v>384</v>
      </c>
      <c r="BN28" s="99">
        <f t="shared" si="2"/>
        <v>0.16463324227966628</v>
      </c>
      <c r="BO28" s="28">
        <v>-1.36</v>
      </c>
      <c r="BP28" s="28">
        <v>0.25</v>
      </c>
      <c r="BQ28" s="28">
        <v>0.85</v>
      </c>
      <c r="BR28" s="28">
        <v>1.1599999999999999</v>
      </c>
      <c r="BS28" s="28">
        <v>0.16</v>
      </c>
    </row>
    <row r="29" spans="1:71">
      <c r="A29" s="28" t="s">
        <v>465</v>
      </c>
      <c r="B29" s="128" t="s">
        <v>464</v>
      </c>
      <c r="C29" s="129">
        <f t="shared" si="5"/>
        <v>2.7727703962891166</v>
      </c>
      <c r="D29" s="129">
        <f t="shared" si="3"/>
        <v>1.083113436050436</v>
      </c>
      <c r="E29" s="129">
        <f t="shared" si="4"/>
        <v>8.517604061100629</v>
      </c>
      <c r="I29" s="52" t="s">
        <v>387</v>
      </c>
      <c r="J29" s="52">
        <v>1.32</v>
      </c>
      <c r="K29" s="52"/>
      <c r="L29" s="52" t="s">
        <v>387</v>
      </c>
      <c r="M29" s="52">
        <v>1.66</v>
      </c>
      <c r="N29" s="52"/>
      <c r="O29" s="52" t="s">
        <v>387</v>
      </c>
      <c r="P29" s="52">
        <v>1.3</v>
      </c>
      <c r="W29" s="28" t="s">
        <v>387</v>
      </c>
      <c r="X29" s="99">
        <f t="shared" si="0"/>
        <v>0.57188389423463026</v>
      </c>
      <c r="Y29" s="28">
        <v>-1.72</v>
      </c>
      <c r="Z29" s="28">
        <v>0.32</v>
      </c>
      <c r="AA29" s="28">
        <v>1.17</v>
      </c>
      <c r="AB29" s="28">
        <v>1.61</v>
      </c>
      <c r="AC29" s="28">
        <v>0.34</v>
      </c>
      <c r="AG29" s="128" t="s">
        <v>385</v>
      </c>
      <c r="AH29" s="246">
        <v>72995.005999999994</v>
      </c>
      <c r="AI29" s="128">
        <v>90704.335000000006</v>
      </c>
      <c r="AJ29" s="128">
        <v>276643.31599999999</v>
      </c>
      <c r="AK29" s="128">
        <v>5669.17</v>
      </c>
      <c r="AL29" s="128">
        <v>11375.459000000001</v>
      </c>
      <c r="AM29" s="128">
        <v>23954.710999999999</v>
      </c>
      <c r="AN29" s="128">
        <v>481341.99800000002</v>
      </c>
      <c r="AP29" s="402" t="s">
        <v>426</v>
      </c>
      <c r="AR29" s="28">
        <v>0</v>
      </c>
      <c r="AS29" s="28">
        <v>1</v>
      </c>
      <c r="AT29" s="28">
        <v>19</v>
      </c>
      <c r="AU29" s="28" t="s">
        <v>387</v>
      </c>
      <c r="AV29" s="28" t="s">
        <v>386</v>
      </c>
      <c r="AW29" s="28">
        <v>19</v>
      </c>
      <c r="AX29" s="28" t="s">
        <v>387</v>
      </c>
      <c r="AY29" s="28" t="s">
        <v>386</v>
      </c>
      <c r="BE29" s="28" t="s">
        <v>387</v>
      </c>
      <c r="BF29" s="99">
        <f t="shared" si="1"/>
        <v>0.71918732153748943</v>
      </c>
      <c r="BG29" s="28">
        <v>0.35</v>
      </c>
      <c r="BH29" s="28">
        <v>0.27</v>
      </c>
      <c r="BI29" s="28">
        <v>0.4</v>
      </c>
      <c r="BJ29" s="28">
        <v>0.5</v>
      </c>
      <c r="BK29" s="28">
        <v>0.37</v>
      </c>
      <c r="BM29" s="28" t="s">
        <v>387</v>
      </c>
      <c r="BN29" s="99">
        <f t="shared" si="2"/>
        <v>0.56321898674622672</v>
      </c>
      <c r="BO29" s="28">
        <v>-1.81</v>
      </c>
      <c r="BP29" s="28">
        <v>0.32</v>
      </c>
      <c r="BQ29" s="28">
        <v>1.18</v>
      </c>
      <c r="BR29" s="28">
        <v>1.7</v>
      </c>
      <c r="BS29" s="28">
        <v>0.33</v>
      </c>
    </row>
    <row r="30" spans="1:71">
      <c r="A30" s="28" t="s">
        <v>381</v>
      </c>
      <c r="B30" s="128" t="s">
        <v>1861</v>
      </c>
      <c r="C30" s="129">
        <f t="shared" si="5"/>
        <v>0.34659629953613957</v>
      </c>
      <c r="D30" s="129">
        <f t="shared" si="3"/>
        <v>0.37692347574555174</v>
      </c>
      <c r="E30" s="129">
        <f t="shared" si="4"/>
        <v>0.33793139204773603</v>
      </c>
      <c r="I30" s="52" t="s">
        <v>390</v>
      </c>
      <c r="J30" s="52">
        <v>1.41</v>
      </c>
      <c r="K30" s="52"/>
      <c r="L30" s="52" t="s">
        <v>390</v>
      </c>
      <c r="M30" s="52">
        <v>3.58</v>
      </c>
      <c r="N30" s="52"/>
      <c r="O30" s="52" t="s">
        <v>390</v>
      </c>
      <c r="P30" s="52">
        <v>1.35</v>
      </c>
      <c r="W30" s="28" t="s">
        <v>390</v>
      </c>
      <c r="X30" s="99">
        <f t="shared" si="0"/>
        <v>0.61087597793244586</v>
      </c>
      <c r="Y30" s="28">
        <v>-1.57</v>
      </c>
      <c r="Z30" s="28">
        <v>0.31</v>
      </c>
      <c r="AA30" s="28">
        <v>1</v>
      </c>
      <c r="AB30" s="28">
        <v>1.55</v>
      </c>
      <c r="AC30" s="28">
        <v>0.33</v>
      </c>
      <c r="AG30" s="128" t="s">
        <v>388</v>
      </c>
      <c r="AH30" s="246">
        <v>58288.163999999997</v>
      </c>
      <c r="AI30" s="128">
        <v>78718.221000000005</v>
      </c>
      <c r="AJ30" s="128">
        <v>258691.92600000001</v>
      </c>
      <c r="AK30" s="128">
        <v>4582.1679999999997</v>
      </c>
      <c r="AL30" s="128">
        <v>18547.608</v>
      </c>
      <c r="AM30" s="128">
        <v>30030.323</v>
      </c>
      <c r="AN30" s="128">
        <v>448858.41</v>
      </c>
      <c r="AP30" s="402" t="s">
        <v>468</v>
      </c>
      <c r="AR30" s="28">
        <v>0</v>
      </c>
      <c r="AS30" s="28">
        <v>1</v>
      </c>
      <c r="AT30" s="28">
        <v>20</v>
      </c>
      <c r="AU30" s="28" t="s">
        <v>390</v>
      </c>
      <c r="AV30" s="28" t="s">
        <v>389</v>
      </c>
      <c r="AW30" s="28">
        <v>20</v>
      </c>
      <c r="AX30" s="28" t="s">
        <v>390</v>
      </c>
      <c r="AY30" s="28" t="s">
        <v>389</v>
      </c>
      <c r="BE30" s="28" t="s">
        <v>390</v>
      </c>
      <c r="BF30" s="99">
        <f t="shared" si="1"/>
        <v>1.5510184404242244</v>
      </c>
      <c r="BG30" s="28">
        <v>0.22</v>
      </c>
      <c r="BH30" s="28">
        <v>0.31</v>
      </c>
      <c r="BI30" s="28">
        <v>0.45</v>
      </c>
      <c r="BJ30" s="28">
        <v>0.47</v>
      </c>
      <c r="BK30" s="28">
        <v>0.38</v>
      </c>
      <c r="BM30" s="28" t="s">
        <v>390</v>
      </c>
      <c r="BN30" s="99">
        <f t="shared" si="2"/>
        <v>0.58488125546723546</v>
      </c>
      <c r="BO30" s="28">
        <v>-1.72</v>
      </c>
      <c r="BP30" s="28">
        <v>0.31</v>
      </c>
      <c r="BQ30" s="28">
        <v>1.25</v>
      </c>
      <c r="BR30" s="28">
        <v>1.82</v>
      </c>
      <c r="BS30" s="28">
        <v>0.32</v>
      </c>
    </row>
    <row r="31" spans="1:71">
      <c r="A31" s="28" t="s">
        <v>420</v>
      </c>
      <c r="B31" s="128" t="s">
        <v>419</v>
      </c>
      <c r="C31" s="129">
        <f t="shared" si="5"/>
        <v>1.6203377003314523</v>
      </c>
      <c r="D31" s="129">
        <f t="shared" si="3"/>
        <v>1.0571187135852256</v>
      </c>
      <c r="E31" s="129">
        <f t="shared" si="4"/>
        <v>4.6833824974820857</v>
      </c>
      <c r="I31" s="52" t="s">
        <v>393</v>
      </c>
      <c r="J31" s="52">
        <v>2.17</v>
      </c>
      <c r="K31" s="52"/>
      <c r="L31" s="52" t="s">
        <v>393</v>
      </c>
      <c r="M31" s="52">
        <v>7.27</v>
      </c>
      <c r="N31" s="52"/>
      <c r="O31" s="52" t="s">
        <v>393</v>
      </c>
      <c r="P31" s="52">
        <v>1.31</v>
      </c>
      <c r="W31" s="28" t="s">
        <v>393</v>
      </c>
      <c r="X31" s="99">
        <f t="shared" si="0"/>
        <v>0.94014246249177846</v>
      </c>
      <c r="Y31" s="28">
        <v>-1.41</v>
      </c>
      <c r="Z31" s="28">
        <v>0.31</v>
      </c>
      <c r="AA31" s="28">
        <v>0.85</v>
      </c>
      <c r="AB31" s="28">
        <v>1.57</v>
      </c>
      <c r="AC31" s="28">
        <v>0.31</v>
      </c>
      <c r="AG31" s="128" t="s">
        <v>391</v>
      </c>
      <c r="AH31" s="246">
        <v>9794.3819999999996</v>
      </c>
      <c r="AI31" s="128">
        <v>48419.902000000002</v>
      </c>
      <c r="AJ31" s="128">
        <v>126439.527</v>
      </c>
      <c r="AK31" s="128">
        <v>3554.0250000000001</v>
      </c>
      <c r="AL31" s="128">
        <v>7088.7910000000002</v>
      </c>
      <c r="AM31" s="128">
        <v>11609.791999999999</v>
      </c>
      <c r="AN31" s="128">
        <v>206906.42</v>
      </c>
      <c r="AP31" s="402" t="s">
        <v>471</v>
      </c>
      <c r="AR31" s="28">
        <v>0</v>
      </c>
      <c r="AS31" s="28">
        <v>1</v>
      </c>
      <c r="AT31" s="28">
        <v>21</v>
      </c>
      <c r="AU31" s="28" t="s">
        <v>393</v>
      </c>
      <c r="AV31" s="28" t="s">
        <v>392</v>
      </c>
      <c r="AW31" s="28">
        <v>21</v>
      </c>
      <c r="AX31" s="28" t="s">
        <v>393</v>
      </c>
      <c r="AY31" s="28" t="s">
        <v>392</v>
      </c>
      <c r="BE31" s="28" t="s">
        <v>393</v>
      </c>
      <c r="BF31" s="99">
        <f t="shared" si="1"/>
        <v>3.1496938720346677</v>
      </c>
      <c r="BG31" s="28">
        <v>0.37</v>
      </c>
      <c r="BH31" s="28">
        <v>0.3</v>
      </c>
      <c r="BI31" s="28">
        <v>0.38</v>
      </c>
      <c r="BJ31" s="28">
        <v>0.44</v>
      </c>
      <c r="BK31" s="28">
        <v>0.33</v>
      </c>
      <c r="BM31" s="28" t="s">
        <v>393</v>
      </c>
      <c r="BN31" s="99">
        <f t="shared" si="2"/>
        <v>0.56755144049042849</v>
      </c>
      <c r="BO31" s="28">
        <v>-1.55</v>
      </c>
      <c r="BP31" s="28">
        <v>0.31</v>
      </c>
      <c r="BQ31" s="28">
        <v>1.1399999999999999</v>
      </c>
      <c r="BR31" s="28">
        <v>1.6</v>
      </c>
      <c r="BS31" s="28">
        <v>0.3</v>
      </c>
    </row>
    <row r="32" spans="1:71">
      <c r="A32" s="28" t="s">
        <v>429</v>
      </c>
      <c r="B32" s="128" t="s">
        <v>428</v>
      </c>
      <c r="C32" s="129">
        <f t="shared" si="5"/>
        <v>1.3257308457257337</v>
      </c>
      <c r="D32" s="129">
        <f t="shared" si="3"/>
        <v>0.89681792504976099</v>
      </c>
      <c r="E32" s="129">
        <f t="shared" si="4"/>
        <v>3.5699418852222369</v>
      </c>
      <c r="I32" s="52" t="s">
        <v>396</v>
      </c>
      <c r="J32" s="52">
        <v>2.06</v>
      </c>
      <c r="K32" s="52"/>
      <c r="L32" s="52" t="s">
        <v>396</v>
      </c>
      <c r="M32" s="52">
        <v>12.11</v>
      </c>
      <c r="N32" s="52"/>
      <c r="O32" s="52" t="s">
        <v>396</v>
      </c>
      <c r="P32" s="52">
        <v>1.87</v>
      </c>
      <c r="W32" s="28" t="s">
        <v>396</v>
      </c>
      <c r="X32" s="99">
        <f t="shared" si="0"/>
        <v>0.89248547130555922</v>
      </c>
      <c r="Y32" s="28">
        <v>-1.59</v>
      </c>
      <c r="Z32" s="28">
        <v>0.32</v>
      </c>
      <c r="AA32" s="28">
        <v>1.18</v>
      </c>
      <c r="AB32" s="28">
        <v>1.7</v>
      </c>
      <c r="AC32" s="28">
        <v>0.32</v>
      </c>
      <c r="AG32" s="128" t="s">
        <v>394</v>
      </c>
      <c r="AH32" s="246">
        <v>69568.212</v>
      </c>
      <c r="AI32" s="128">
        <v>56170.911999999997</v>
      </c>
      <c r="AJ32" s="128">
        <v>357474.63299999997</v>
      </c>
      <c r="AK32" s="128">
        <v>8201.9689999999991</v>
      </c>
      <c r="AL32" s="128">
        <v>12407.664000000001</v>
      </c>
      <c r="AM32" s="128">
        <v>30281.177</v>
      </c>
      <c r="AN32" s="128">
        <v>534104.56599999999</v>
      </c>
      <c r="AP32" s="402" t="s">
        <v>441</v>
      </c>
      <c r="AR32" s="28">
        <v>0</v>
      </c>
      <c r="AS32" s="28">
        <v>1</v>
      </c>
      <c r="AT32" s="28">
        <v>22</v>
      </c>
      <c r="AU32" s="28" t="s">
        <v>396</v>
      </c>
      <c r="AV32" s="28" t="s">
        <v>395</v>
      </c>
      <c r="AW32" s="28">
        <v>22</v>
      </c>
      <c r="AX32" s="28" t="s">
        <v>396</v>
      </c>
      <c r="AY32" s="28" t="s">
        <v>395</v>
      </c>
      <c r="BE32" s="28" t="s">
        <v>396</v>
      </c>
      <c r="BF32" s="99">
        <f t="shared" si="1"/>
        <v>5.2466014842283117</v>
      </c>
      <c r="BG32" s="28">
        <v>0.3</v>
      </c>
      <c r="BH32" s="28">
        <v>0.32</v>
      </c>
      <c r="BI32" s="28">
        <v>0.42</v>
      </c>
      <c r="BJ32" s="28">
        <v>0.45</v>
      </c>
      <c r="BK32" s="28">
        <v>0.35</v>
      </c>
      <c r="BM32" s="28" t="s">
        <v>396</v>
      </c>
      <c r="BN32" s="99">
        <f t="shared" si="2"/>
        <v>0.81016885016572615</v>
      </c>
      <c r="BO32" s="28">
        <v>-1.8</v>
      </c>
      <c r="BP32" s="28">
        <v>0.32</v>
      </c>
      <c r="BQ32" s="28">
        <v>1.22</v>
      </c>
      <c r="BR32" s="28">
        <v>1.88</v>
      </c>
      <c r="BS32" s="28">
        <v>0.32</v>
      </c>
    </row>
    <row r="33" spans="1:71">
      <c r="A33" s="28" t="s">
        <v>408</v>
      </c>
      <c r="B33" s="128" t="s">
        <v>407</v>
      </c>
      <c r="C33" s="129">
        <f t="shared" si="5"/>
        <v>1.473034273028593</v>
      </c>
      <c r="D33" s="129">
        <f t="shared" si="3"/>
        <v>1.0744485285620324</v>
      </c>
      <c r="E33" s="129">
        <f t="shared" si="4"/>
        <v>4.9259999071573821</v>
      </c>
      <c r="I33" s="52" t="s">
        <v>399</v>
      </c>
      <c r="J33" s="52">
        <v>7.52</v>
      </c>
      <c r="K33" s="52"/>
      <c r="L33" s="52" t="s">
        <v>399</v>
      </c>
      <c r="M33" s="52">
        <v>19.77</v>
      </c>
      <c r="N33" s="52"/>
      <c r="O33" s="52" t="s">
        <v>399</v>
      </c>
      <c r="P33" s="52">
        <v>5.69</v>
      </c>
      <c r="W33" s="28" t="s">
        <v>399</v>
      </c>
      <c r="X33" s="99">
        <f t="shared" si="0"/>
        <v>3.2580052156397117</v>
      </c>
      <c r="Y33" s="28">
        <v>-1.57</v>
      </c>
      <c r="Z33" s="28">
        <v>0.31</v>
      </c>
      <c r="AA33" s="28">
        <v>1.04</v>
      </c>
      <c r="AB33" s="28">
        <v>1.84</v>
      </c>
      <c r="AC33" s="28">
        <v>0.31</v>
      </c>
      <c r="AG33" s="128" t="s">
        <v>397</v>
      </c>
      <c r="AH33" s="246">
        <v>1474.3610000000001</v>
      </c>
      <c r="AI33" s="128">
        <v>26383.048999999999</v>
      </c>
      <c r="AJ33" s="128">
        <v>187977.78200000001</v>
      </c>
      <c r="AK33" s="128">
        <v>763.02800000000002</v>
      </c>
      <c r="AL33" s="128">
        <v>164.34800000000001</v>
      </c>
      <c r="AM33" s="128">
        <v>8275.93</v>
      </c>
      <c r="AN33" s="128">
        <v>225038.49799999999</v>
      </c>
      <c r="AP33" s="402" t="s">
        <v>444</v>
      </c>
      <c r="AR33" s="28">
        <v>0</v>
      </c>
      <c r="AS33" s="28">
        <v>1</v>
      </c>
      <c r="AT33" s="28">
        <v>23</v>
      </c>
      <c r="AU33" s="28" t="s">
        <v>399</v>
      </c>
      <c r="AV33" s="28" t="s">
        <v>398</v>
      </c>
      <c r="AW33" s="28">
        <v>23</v>
      </c>
      <c r="AX33" s="28" t="s">
        <v>399</v>
      </c>
      <c r="AY33" s="28" t="s">
        <v>398</v>
      </c>
      <c r="BE33" s="28" t="s">
        <v>399</v>
      </c>
      <c r="BF33" s="99">
        <f t="shared" si="1"/>
        <v>8.5652610522868482</v>
      </c>
      <c r="BG33" s="28">
        <v>0.28000000000000003</v>
      </c>
      <c r="BH33" s="28">
        <v>0.3</v>
      </c>
      <c r="BI33" s="28">
        <v>0.69</v>
      </c>
      <c r="BJ33" s="28">
        <v>0.7</v>
      </c>
      <c r="BK33" s="28">
        <v>0.28999999999999998</v>
      </c>
      <c r="BM33" s="28" t="s">
        <v>399</v>
      </c>
      <c r="BN33" s="99">
        <f t="shared" si="2"/>
        <v>2.4651661804507925</v>
      </c>
      <c r="BO33" s="28">
        <v>-1.64</v>
      </c>
      <c r="BP33" s="28">
        <v>0.31</v>
      </c>
      <c r="BQ33" s="28">
        <v>1.31</v>
      </c>
      <c r="BR33" s="28">
        <v>1.85</v>
      </c>
      <c r="BS33" s="28">
        <v>0.31</v>
      </c>
    </row>
    <row r="34" spans="1:71">
      <c r="A34" s="28" t="s">
        <v>423</v>
      </c>
      <c r="B34" s="128" t="s">
        <v>422</v>
      </c>
      <c r="C34" s="129">
        <f t="shared" si="5"/>
        <v>1.1697625109344709</v>
      </c>
      <c r="D34" s="129">
        <f t="shared" si="3"/>
        <v>0.97046963870119063</v>
      </c>
      <c r="E34" s="129">
        <f t="shared" si="4"/>
        <v>2.6731239601724761</v>
      </c>
      <c r="I34" s="52" t="s">
        <v>402</v>
      </c>
      <c r="J34" s="52">
        <v>2.17</v>
      </c>
      <c r="K34" s="52"/>
      <c r="L34" s="52" t="s">
        <v>402</v>
      </c>
      <c r="M34" s="52">
        <v>7.43</v>
      </c>
      <c r="N34" s="52"/>
      <c r="O34" s="52" t="s">
        <v>402</v>
      </c>
      <c r="P34" s="52">
        <v>1.89</v>
      </c>
      <c r="W34" s="28" t="s">
        <v>402</v>
      </c>
      <c r="X34" s="99">
        <f t="shared" si="0"/>
        <v>0.94014246249177846</v>
      </c>
      <c r="Y34" s="28">
        <v>-1.32</v>
      </c>
      <c r="Z34" s="28">
        <v>0.32</v>
      </c>
      <c r="AA34" s="28">
        <v>0.98</v>
      </c>
      <c r="AB34" s="28">
        <v>1.93</v>
      </c>
      <c r="AC34" s="28">
        <v>0.32</v>
      </c>
      <c r="AG34" s="128" t="s">
        <v>400</v>
      </c>
      <c r="AH34" s="246">
        <v>23787.72</v>
      </c>
      <c r="AI34" s="128">
        <v>5264.4139999999998</v>
      </c>
      <c r="AJ34" s="128">
        <v>69214.448999999993</v>
      </c>
      <c r="AK34" s="128">
        <v>1949.47</v>
      </c>
      <c r="AL34" s="128">
        <v>3616.7159999999999</v>
      </c>
      <c r="AM34" s="128">
        <v>10138.42</v>
      </c>
      <c r="AN34" s="128">
        <v>113971.189</v>
      </c>
      <c r="AP34" s="402" t="s">
        <v>369</v>
      </c>
      <c r="AR34" s="28">
        <v>0</v>
      </c>
      <c r="AS34" s="28">
        <v>1</v>
      </c>
      <c r="AT34" s="28">
        <v>24</v>
      </c>
      <c r="AU34" s="28" t="s">
        <v>402</v>
      </c>
      <c r="AV34" s="28" t="s">
        <v>401</v>
      </c>
      <c r="AW34" s="28">
        <v>24</v>
      </c>
      <c r="AX34" s="28" t="s">
        <v>402</v>
      </c>
      <c r="AY34" s="28" t="s">
        <v>401</v>
      </c>
      <c r="BE34" s="28" t="s">
        <v>402</v>
      </c>
      <c r="BF34" s="99">
        <f t="shared" si="1"/>
        <v>3.219013131941896</v>
      </c>
      <c r="BG34" s="28">
        <v>0.3</v>
      </c>
      <c r="BH34" s="28">
        <v>0.31</v>
      </c>
      <c r="BI34" s="28">
        <v>0.32</v>
      </c>
      <c r="BJ34" s="28">
        <v>0.52</v>
      </c>
      <c r="BK34" s="28">
        <v>0.32</v>
      </c>
      <c r="BM34" s="28" t="s">
        <v>402</v>
      </c>
      <c r="BN34" s="99">
        <f t="shared" si="2"/>
        <v>0.81883375765412958</v>
      </c>
      <c r="BO34" s="28">
        <v>-1.54</v>
      </c>
      <c r="BP34" s="28">
        <v>0.32</v>
      </c>
      <c r="BQ34" s="28">
        <v>1.1499999999999999</v>
      </c>
      <c r="BR34" s="28">
        <v>1.96</v>
      </c>
      <c r="BS34" s="28">
        <v>0.33</v>
      </c>
    </row>
    <row r="35" spans="1:71">
      <c r="A35" s="28" t="s">
        <v>342</v>
      </c>
      <c r="B35" s="128" t="s">
        <v>341</v>
      </c>
      <c r="C35" s="129">
        <f t="shared" si="5"/>
        <v>0.66719787660706853</v>
      </c>
      <c r="D35" s="129">
        <f t="shared" si="3"/>
        <v>0.29027440086151685</v>
      </c>
      <c r="E35" s="129">
        <f t="shared" si="4"/>
        <v>1.4513720043075842</v>
      </c>
      <c r="I35" s="52" t="s">
        <v>405</v>
      </c>
      <c r="J35" s="52">
        <v>2.59</v>
      </c>
      <c r="K35" s="52"/>
      <c r="L35" s="52" t="s">
        <v>405</v>
      </c>
      <c r="M35" s="52">
        <v>7.89</v>
      </c>
      <c r="N35" s="52"/>
      <c r="O35" s="52" t="s">
        <v>405</v>
      </c>
      <c r="P35" s="52">
        <v>1.84</v>
      </c>
      <c r="W35" s="28" t="s">
        <v>405</v>
      </c>
      <c r="X35" s="99">
        <f t="shared" si="0"/>
        <v>1.1221055197482517</v>
      </c>
      <c r="Y35" s="28">
        <v>-1.68</v>
      </c>
      <c r="Z35" s="28">
        <v>0.28000000000000003</v>
      </c>
      <c r="AA35" s="28">
        <v>0.8</v>
      </c>
      <c r="AB35" s="28">
        <v>1.62</v>
      </c>
      <c r="AC35" s="28">
        <v>0.23</v>
      </c>
      <c r="AG35" s="128" t="s">
        <v>403</v>
      </c>
      <c r="AH35" s="246">
        <v>278630.18800000002</v>
      </c>
      <c r="AI35" s="128">
        <v>425990.20699999999</v>
      </c>
      <c r="AJ35" s="128">
        <v>997150.60900000005</v>
      </c>
      <c r="AK35" s="128">
        <v>23158.147000000001</v>
      </c>
      <c r="AL35" s="128">
        <v>32144.817999999999</v>
      </c>
      <c r="AM35" s="128">
        <v>98627.652000000002</v>
      </c>
      <c r="AN35" s="128">
        <v>1855701.622</v>
      </c>
      <c r="AP35" s="402" t="s">
        <v>432</v>
      </c>
      <c r="AR35" s="28">
        <v>0</v>
      </c>
      <c r="AS35" s="28">
        <v>1</v>
      </c>
      <c r="AT35" s="28">
        <v>25</v>
      </c>
      <c r="AU35" s="28" t="s">
        <v>405</v>
      </c>
      <c r="AV35" s="28" t="s">
        <v>404</v>
      </c>
      <c r="AW35" s="28">
        <v>25</v>
      </c>
      <c r="AX35" s="28" t="s">
        <v>405</v>
      </c>
      <c r="AY35" s="28" t="s">
        <v>404</v>
      </c>
      <c r="BE35" s="28" t="s">
        <v>405</v>
      </c>
      <c r="BF35" s="99">
        <f t="shared" si="1"/>
        <v>3.418306004175176</v>
      </c>
      <c r="BG35" s="28">
        <v>0.23</v>
      </c>
      <c r="BH35" s="28">
        <v>0.16</v>
      </c>
      <c r="BI35" s="28">
        <v>0.35</v>
      </c>
      <c r="BJ35" s="28">
        <v>0.16</v>
      </c>
      <c r="BK35" s="28">
        <v>0.02</v>
      </c>
      <c r="BM35" s="28" t="s">
        <v>405</v>
      </c>
      <c r="BN35" s="99">
        <f t="shared" si="2"/>
        <v>0.79717148893312095</v>
      </c>
      <c r="BO35" s="28">
        <v>-1.76</v>
      </c>
      <c r="BP35" s="28">
        <v>0.32</v>
      </c>
      <c r="BQ35" s="28">
        <v>1.1499999999999999</v>
      </c>
      <c r="BR35" s="28">
        <v>1.84</v>
      </c>
      <c r="BS35" s="28">
        <v>0.3</v>
      </c>
    </row>
    <row r="36" spans="1:71">
      <c r="A36" s="28" t="s">
        <v>405</v>
      </c>
      <c r="B36" s="128" t="s">
        <v>404</v>
      </c>
      <c r="C36" s="129">
        <f t="shared" si="5"/>
        <v>1.1221055197482517</v>
      </c>
      <c r="D36" s="129">
        <f t="shared" si="3"/>
        <v>0.79717148893312095</v>
      </c>
      <c r="E36" s="129">
        <f t="shared" si="4"/>
        <v>3.418306004175176</v>
      </c>
      <c r="I36" s="52" t="s">
        <v>408</v>
      </c>
      <c r="J36" s="52">
        <v>3.4</v>
      </c>
      <c r="K36" s="52"/>
      <c r="L36" s="52" t="s">
        <v>408</v>
      </c>
      <c r="M36" s="52">
        <v>11.37</v>
      </c>
      <c r="N36" s="52"/>
      <c r="O36" s="52" t="s">
        <v>408</v>
      </c>
      <c r="P36" s="52">
        <v>2.48</v>
      </c>
      <c r="W36" s="28" t="s">
        <v>408</v>
      </c>
      <c r="X36" s="99">
        <f t="shared" si="0"/>
        <v>1.473034273028593</v>
      </c>
      <c r="Y36" s="28">
        <v>-1.76</v>
      </c>
      <c r="Z36" s="28">
        <v>0.31</v>
      </c>
      <c r="AA36" s="28">
        <v>0.89</v>
      </c>
      <c r="AB36" s="28">
        <v>1.81</v>
      </c>
      <c r="AC36" s="28">
        <v>0.3</v>
      </c>
      <c r="AG36" s="128" t="s">
        <v>406</v>
      </c>
      <c r="AH36" s="246">
        <v>188714.32199999999</v>
      </c>
      <c r="AI36" s="128">
        <v>171680.052</v>
      </c>
      <c r="AJ36" s="128">
        <v>708159.92200000002</v>
      </c>
      <c r="AK36" s="128">
        <v>28066.741000000002</v>
      </c>
      <c r="AL36" s="128">
        <v>26260.364000000001</v>
      </c>
      <c r="AM36" s="128">
        <v>67019.620999999999</v>
      </c>
      <c r="AN36" s="128">
        <v>1189901.0220000001</v>
      </c>
      <c r="AP36" s="402" t="s">
        <v>450</v>
      </c>
      <c r="AR36" s="28">
        <v>0</v>
      </c>
      <c r="AS36" s="28">
        <v>1</v>
      </c>
      <c r="AT36" s="28">
        <v>26</v>
      </c>
      <c r="AU36" s="28" t="s">
        <v>408</v>
      </c>
      <c r="AV36" s="28" t="s">
        <v>407</v>
      </c>
      <c r="AW36" s="28">
        <v>26</v>
      </c>
      <c r="AX36" s="28" t="s">
        <v>408</v>
      </c>
      <c r="AY36" s="28" t="s">
        <v>407</v>
      </c>
      <c r="BE36" s="28" t="s">
        <v>408</v>
      </c>
      <c r="BF36" s="99">
        <f t="shared" si="1"/>
        <v>4.9259999071573821</v>
      </c>
      <c r="BG36" s="28">
        <v>0.24</v>
      </c>
      <c r="BH36" s="28">
        <v>0.28000000000000003</v>
      </c>
      <c r="BI36" s="28">
        <v>0.44</v>
      </c>
      <c r="BJ36" s="28">
        <v>0.48</v>
      </c>
      <c r="BK36" s="28">
        <v>0.3</v>
      </c>
      <c r="BM36" s="28" t="s">
        <v>408</v>
      </c>
      <c r="BN36" s="99">
        <f t="shared" si="2"/>
        <v>1.0744485285620324</v>
      </c>
      <c r="BO36" s="28">
        <v>-1.83</v>
      </c>
      <c r="BP36" s="28">
        <v>0.32</v>
      </c>
      <c r="BQ36" s="28">
        <v>1.19</v>
      </c>
      <c r="BR36" s="28">
        <v>1.94</v>
      </c>
      <c r="BS36" s="28">
        <v>0.3</v>
      </c>
    </row>
    <row r="37" spans="1:71">
      <c r="A37" s="28" t="s">
        <v>372</v>
      </c>
      <c r="B37" s="128" t="s">
        <v>371</v>
      </c>
      <c r="C37" s="129">
        <f t="shared" si="5"/>
        <v>1.3300632994699353</v>
      </c>
      <c r="D37" s="129">
        <f t="shared" si="3"/>
        <v>0.80583639642152438</v>
      </c>
      <c r="E37" s="129">
        <f t="shared" si="4"/>
        <v>3.1496938720346677</v>
      </c>
      <c r="I37" s="52" t="s">
        <v>411</v>
      </c>
      <c r="J37" s="52">
        <v>10.26</v>
      </c>
      <c r="K37" s="52"/>
      <c r="L37" s="52" t="s">
        <v>411</v>
      </c>
      <c r="M37" s="52">
        <v>18.97</v>
      </c>
      <c r="N37" s="52"/>
      <c r="O37" s="52" t="s">
        <v>411</v>
      </c>
      <c r="P37" s="52">
        <v>3</v>
      </c>
      <c r="W37" s="28" t="s">
        <v>411</v>
      </c>
      <c r="X37" s="99">
        <f t="shared" si="0"/>
        <v>4.4450975415509886</v>
      </c>
      <c r="Y37" s="28">
        <v>-1.66</v>
      </c>
      <c r="Z37" s="28">
        <v>-7.0000000000000007E-2</v>
      </c>
      <c r="AA37" s="28">
        <v>0.1</v>
      </c>
      <c r="AB37" s="28">
        <v>1.36</v>
      </c>
      <c r="AC37" s="28">
        <v>-0.22</v>
      </c>
      <c r="AG37" s="128" t="s">
        <v>409</v>
      </c>
      <c r="AH37" s="246">
        <v>26806.04</v>
      </c>
      <c r="AI37" s="128">
        <v>27765.932000000001</v>
      </c>
      <c r="AJ37" s="128">
        <v>257362.42199999999</v>
      </c>
      <c r="AK37" s="128">
        <v>3591.047</v>
      </c>
      <c r="AL37" s="128">
        <v>3315.84</v>
      </c>
      <c r="AM37" s="128">
        <v>12819.883</v>
      </c>
      <c r="AN37" s="128">
        <v>331661.16399999999</v>
      </c>
      <c r="AR37" s="28">
        <v>0</v>
      </c>
      <c r="AS37" s="28">
        <v>0</v>
      </c>
      <c r="AT37" s="28">
        <v>27</v>
      </c>
      <c r="AU37" s="28" t="s">
        <v>411</v>
      </c>
      <c r="AV37" s="28" t="s">
        <v>410</v>
      </c>
      <c r="AW37" s="28">
        <v>27</v>
      </c>
      <c r="AX37" s="28" t="s">
        <v>411</v>
      </c>
      <c r="AY37" s="28" t="s">
        <v>410</v>
      </c>
      <c r="BE37" s="28" t="s">
        <v>411</v>
      </c>
      <c r="BF37" s="99">
        <f t="shared" si="1"/>
        <v>8.2186647527507084</v>
      </c>
      <c r="BG37" s="28">
        <v>0.15</v>
      </c>
      <c r="BH37" s="28">
        <v>-0.62</v>
      </c>
      <c r="BI37" s="28">
        <v>-0.06</v>
      </c>
      <c r="BJ37" s="28">
        <v>-0.06</v>
      </c>
      <c r="BK37" s="28">
        <v>-0.53</v>
      </c>
      <c r="BM37" s="28" t="s">
        <v>411</v>
      </c>
      <c r="BN37" s="99">
        <f t="shared" si="2"/>
        <v>1.2997361232605233</v>
      </c>
      <c r="BO37" s="28">
        <v>-1.78</v>
      </c>
      <c r="BP37" s="28">
        <v>0.2</v>
      </c>
      <c r="BQ37" s="28">
        <v>0.99</v>
      </c>
      <c r="BR37" s="28">
        <v>1.72</v>
      </c>
      <c r="BS37" s="28">
        <v>0.21</v>
      </c>
    </row>
    <row r="38" spans="1:71">
      <c r="A38" s="28" t="s">
        <v>402</v>
      </c>
      <c r="B38" s="128" t="s">
        <v>401</v>
      </c>
      <c r="C38" s="129">
        <f t="shared" si="5"/>
        <v>0.94014246249177846</v>
      </c>
      <c r="D38" s="129">
        <f t="shared" si="3"/>
        <v>0.81883375765412958</v>
      </c>
      <c r="E38" s="129">
        <f t="shared" si="4"/>
        <v>3.219013131941896</v>
      </c>
      <c r="I38" s="52" t="s">
        <v>414</v>
      </c>
      <c r="J38" s="52">
        <v>15.04</v>
      </c>
      <c r="K38" s="52"/>
      <c r="L38" s="52" t="s">
        <v>414</v>
      </c>
      <c r="M38" s="52">
        <v>16.73</v>
      </c>
      <c r="N38" s="52"/>
      <c r="O38" s="52" t="s">
        <v>414</v>
      </c>
      <c r="P38" s="52">
        <v>3.45</v>
      </c>
      <c r="W38" s="28" t="s">
        <v>414</v>
      </c>
      <c r="X38" s="99">
        <f t="shared" si="0"/>
        <v>6.5160104312794234</v>
      </c>
      <c r="Y38" s="28">
        <v>-1.77</v>
      </c>
      <c r="Z38" s="28">
        <v>-0.32</v>
      </c>
      <c r="AA38" s="28">
        <v>-0.34</v>
      </c>
      <c r="AB38" s="28">
        <v>0.85</v>
      </c>
      <c r="AC38" s="28">
        <v>-0.37</v>
      </c>
      <c r="AG38" s="128" t="s">
        <v>412</v>
      </c>
      <c r="AH38" s="246">
        <v>115801.80100000001</v>
      </c>
      <c r="AI38" s="128">
        <v>156967.72200000001</v>
      </c>
      <c r="AJ38" s="128">
        <v>523939.484</v>
      </c>
      <c r="AK38" s="128">
        <v>15705.191000000001</v>
      </c>
      <c r="AL38" s="128">
        <v>10590.906999999999</v>
      </c>
      <c r="AM38" s="128">
        <v>65379.915999999997</v>
      </c>
      <c r="AN38" s="128">
        <v>888385.02099999995</v>
      </c>
      <c r="AR38" s="28">
        <v>0</v>
      </c>
      <c r="AS38" s="28">
        <v>0</v>
      </c>
      <c r="AT38" s="28">
        <v>28</v>
      </c>
      <c r="AU38" s="28" t="s">
        <v>414</v>
      </c>
      <c r="AV38" s="28" t="s">
        <v>413</v>
      </c>
      <c r="AW38" s="28">
        <v>28</v>
      </c>
      <c r="AX38" s="28" t="s">
        <v>414</v>
      </c>
      <c r="AY38" s="28" t="s">
        <v>413</v>
      </c>
      <c r="BE38" s="28" t="s">
        <v>414</v>
      </c>
      <c r="BF38" s="99">
        <f t="shared" si="1"/>
        <v>7.2481951140495182</v>
      </c>
      <c r="BG38" s="28">
        <v>0.01</v>
      </c>
      <c r="BH38" s="28">
        <v>-0.56999999999999995</v>
      </c>
      <c r="BI38" s="28">
        <v>-0.44</v>
      </c>
      <c r="BJ38" s="28">
        <v>-0.35</v>
      </c>
      <c r="BK38" s="28">
        <v>-0.94</v>
      </c>
      <c r="BM38" s="28" t="s">
        <v>414</v>
      </c>
      <c r="BN38" s="99">
        <f t="shared" si="2"/>
        <v>1.4946965417496016</v>
      </c>
      <c r="BO38" s="28">
        <v>-1.85</v>
      </c>
      <c r="BP38" s="28">
        <v>0.14000000000000001</v>
      </c>
      <c r="BQ38" s="28">
        <v>0.98</v>
      </c>
      <c r="BR38" s="28">
        <v>1.65</v>
      </c>
      <c r="BS38" s="28">
        <v>0.1</v>
      </c>
    </row>
    <row r="39" spans="1:71">
      <c r="A39" s="28" t="s">
        <v>378</v>
      </c>
      <c r="B39" s="128" t="s">
        <v>377</v>
      </c>
      <c r="C39" s="129">
        <f t="shared" si="5"/>
        <v>0.16463324227966628</v>
      </c>
      <c r="D39" s="129">
        <f t="shared" si="3"/>
        <v>5.6321898674622679E-2</v>
      </c>
      <c r="E39" s="129">
        <f t="shared" si="4"/>
        <v>0.2469498634194994</v>
      </c>
      <c r="I39" s="52" t="s">
        <v>417</v>
      </c>
      <c r="J39" s="52">
        <v>15.41</v>
      </c>
      <c r="K39" s="52"/>
      <c r="L39" s="52" t="s">
        <v>417</v>
      </c>
      <c r="M39" s="52">
        <v>17.579999999999998</v>
      </c>
      <c r="N39" s="52"/>
      <c r="O39" s="52" t="s">
        <v>417</v>
      </c>
      <c r="P39" s="52">
        <v>2.97</v>
      </c>
      <c r="W39" s="28" t="s">
        <v>417</v>
      </c>
      <c r="X39" s="99">
        <f t="shared" si="0"/>
        <v>6.6763112198148882</v>
      </c>
      <c r="Y39" s="28">
        <v>-1.46</v>
      </c>
      <c r="Z39" s="28">
        <v>-0.32</v>
      </c>
      <c r="AA39" s="28">
        <v>-0.35</v>
      </c>
      <c r="AB39" s="28">
        <v>1.06</v>
      </c>
      <c r="AC39" s="28">
        <v>-0.41</v>
      </c>
      <c r="AG39" s="128" t="s">
        <v>415</v>
      </c>
      <c r="AH39" s="246">
        <v>46353.235000000001</v>
      </c>
      <c r="AI39" s="128">
        <v>39056.154999999999</v>
      </c>
      <c r="AJ39" s="128">
        <v>199229.33600000001</v>
      </c>
      <c r="AK39" s="128">
        <v>5723.4219999999996</v>
      </c>
      <c r="AL39" s="128">
        <v>4974.9059999999999</v>
      </c>
      <c r="AM39" s="128">
        <v>20743.280999999999</v>
      </c>
      <c r="AN39" s="128">
        <v>316080.33500000002</v>
      </c>
      <c r="AR39" s="28">
        <v>0</v>
      </c>
      <c r="AS39" s="28">
        <v>0</v>
      </c>
      <c r="AT39" s="28">
        <v>29</v>
      </c>
      <c r="AU39" s="28" t="s">
        <v>417</v>
      </c>
      <c r="AV39" s="28" t="s">
        <v>416</v>
      </c>
      <c r="AW39" s="28">
        <v>29</v>
      </c>
      <c r="AX39" s="28" t="s">
        <v>417</v>
      </c>
      <c r="AY39" s="28" t="s">
        <v>416</v>
      </c>
      <c r="BE39" s="28" t="s">
        <v>417</v>
      </c>
      <c r="BF39" s="99">
        <f t="shared" si="1"/>
        <v>7.6164536823066653</v>
      </c>
      <c r="BG39" s="28">
        <v>7.0000000000000007E-2</v>
      </c>
      <c r="BH39" s="28">
        <v>-0.55000000000000004</v>
      </c>
      <c r="BI39" s="28">
        <v>-0.4</v>
      </c>
      <c r="BJ39" s="28">
        <v>-0.37</v>
      </c>
      <c r="BK39" s="28">
        <v>-0.76</v>
      </c>
      <c r="BM39" s="28" t="s">
        <v>417</v>
      </c>
      <c r="BN39" s="99">
        <f t="shared" si="2"/>
        <v>1.286738762027918</v>
      </c>
      <c r="BO39" s="28">
        <v>-1.8</v>
      </c>
      <c r="BP39" s="28">
        <v>0.15</v>
      </c>
      <c r="BQ39" s="28">
        <v>1.1000000000000001</v>
      </c>
      <c r="BR39" s="28">
        <v>1.74</v>
      </c>
      <c r="BS39" s="28">
        <v>0.19</v>
      </c>
    </row>
    <row r="40" spans="1:71">
      <c r="A40" s="28" t="s">
        <v>426</v>
      </c>
      <c r="B40" s="128" t="s">
        <v>425</v>
      </c>
      <c r="C40" s="129">
        <f t="shared" si="5"/>
        <v>0.24261740967529766</v>
      </c>
      <c r="D40" s="129">
        <f t="shared" si="3"/>
        <v>0.21662268721008721</v>
      </c>
      <c r="E40" s="129">
        <f t="shared" si="4"/>
        <v>0.35959366076874472</v>
      </c>
      <c r="I40" s="52" t="s">
        <v>420</v>
      </c>
      <c r="J40" s="52">
        <v>3.74</v>
      </c>
      <c r="K40" s="52"/>
      <c r="L40" s="52" t="s">
        <v>420</v>
      </c>
      <c r="M40" s="52">
        <v>10.81</v>
      </c>
      <c r="N40" s="52"/>
      <c r="O40" s="52" t="s">
        <v>420</v>
      </c>
      <c r="P40" s="52">
        <v>2.44</v>
      </c>
      <c r="W40" s="28" t="s">
        <v>420</v>
      </c>
      <c r="X40" s="99">
        <f t="shared" si="0"/>
        <v>1.6203377003314523</v>
      </c>
      <c r="Y40" s="28">
        <v>-1.58</v>
      </c>
      <c r="Z40" s="28">
        <v>0.25</v>
      </c>
      <c r="AA40" s="28">
        <v>0.9</v>
      </c>
      <c r="AB40" s="28">
        <v>1.83</v>
      </c>
      <c r="AC40" s="28">
        <v>0.24</v>
      </c>
      <c r="AG40" s="128" t="s">
        <v>418</v>
      </c>
      <c r="AH40" s="246">
        <v>5036.3549999999996</v>
      </c>
      <c r="AI40" s="128">
        <v>6175.0240000000003</v>
      </c>
      <c r="AJ40" s="128">
        <v>37834.9</v>
      </c>
      <c r="AK40" s="128">
        <v>455.96699999999998</v>
      </c>
      <c r="AL40" s="128">
        <v>466.30799999999999</v>
      </c>
      <c r="AM40" s="128">
        <v>5093.2219999999998</v>
      </c>
      <c r="AN40" s="128">
        <v>55061.775999999998</v>
      </c>
      <c r="AR40" s="28">
        <v>0</v>
      </c>
      <c r="AS40" s="28">
        <v>0</v>
      </c>
      <c r="AT40" s="28">
        <v>30</v>
      </c>
      <c r="AU40" s="28" t="s">
        <v>420</v>
      </c>
      <c r="AV40" s="28" t="s">
        <v>419</v>
      </c>
      <c r="AW40" s="28">
        <v>30</v>
      </c>
      <c r="AX40" s="28" t="s">
        <v>420</v>
      </c>
      <c r="AY40" s="28" t="s">
        <v>419</v>
      </c>
      <c r="BE40" s="28" t="s">
        <v>420</v>
      </c>
      <c r="BF40" s="99">
        <f t="shared" si="1"/>
        <v>4.6833824974820857</v>
      </c>
      <c r="BG40" s="28">
        <v>0.36</v>
      </c>
      <c r="BH40" s="28">
        <v>0.08</v>
      </c>
      <c r="BI40" s="28">
        <v>0.06</v>
      </c>
      <c r="BJ40" s="28">
        <v>0.15</v>
      </c>
      <c r="BK40" s="28">
        <v>-0.13</v>
      </c>
      <c r="BM40" s="28" t="s">
        <v>420</v>
      </c>
      <c r="BN40" s="99">
        <f t="shared" si="2"/>
        <v>1.0571187135852256</v>
      </c>
      <c r="BO40" s="28">
        <v>-1.78</v>
      </c>
      <c r="BP40" s="28">
        <v>0.3</v>
      </c>
      <c r="BQ40" s="28">
        <v>1.17</v>
      </c>
      <c r="BR40" s="28">
        <v>1.97</v>
      </c>
      <c r="BS40" s="28">
        <v>0.28999999999999998</v>
      </c>
    </row>
    <row r="41" spans="1:71">
      <c r="A41" s="28" t="s">
        <v>396</v>
      </c>
      <c r="B41" s="128" t="s">
        <v>395</v>
      </c>
      <c r="C41" s="129">
        <f t="shared" si="5"/>
        <v>0.89248547130555922</v>
      </c>
      <c r="D41" s="129">
        <f t="shared" si="3"/>
        <v>0.81016885016572615</v>
      </c>
      <c r="E41" s="129">
        <f t="shared" si="4"/>
        <v>5.2466014842283117</v>
      </c>
      <c r="I41" s="52" t="s">
        <v>423</v>
      </c>
      <c r="J41" s="52">
        <v>2.7</v>
      </c>
      <c r="K41" s="52"/>
      <c r="L41" s="52" t="s">
        <v>423</v>
      </c>
      <c r="M41" s="52">
        <v>6.17</v>
      </c>
      <c r="N41" s="52"/>
      <c r="O41" s="52" t="s">
        <v>423</v>
      </c>
      <c r="P41" s="52">
        <v>2.2400000000000002</v>
      </c>
      <c r="W41" s="28" t="s">
        <v>423</v>
      </c>
      <c r="X41" s="99">
        <f t="shared" si="0"/>
        <v>1.1697625109344709</v>
      </c>
      <c r="Y41" s="28">
        <v>-1.57</v>
      </c>
      <c r="Z41" s="28">
        <v>0.25</v>
      </c>
      <c r="AA41" s="28">
        <v>0.75</v>
      </c>
      <c r="AB41" s="28">
        <v>1.5</v>
      </c>
      <c r="AC41" s="28">
        <v>0.2</v>
      </c>
      <c r="AG41" s="128" t="s">
        <v>421</v>
      </c>
      <c r="AH41" s="246">
        <v>33241.603999999999</v>
      </c>
      <c r="AI41" s="128">
        <v>44203.885999999999</v>
      </c>
      <c r="AJ41" s="128">
        <v>80100.047000000006</v>
      </c>
      <c r="AK41" s="128">
        <v>4139.2790000000005</v>
      </c>
      <c r="AL41" s="128">
        <v>5314.5640000000003</v>
      </c>
      <c r="AM41" s="128">
        <v>10581.976000000001</v>
      </c>
      <c r="AN41" s="128">
        <v>177581.356</v>
      </c>
      <c r="AR41" s="28">
        <v>0</v>
      </c>
      <c r="AS41" s="28">
        <v>0</v>
      </c>
      <c r="AT41" s="28">
        <v>31</v>
      </c>
      <c r="AU41" s="28" t="s">
        <v>423</v>
      </c>
      <c r="AV41" s="28" t="s">
        <v>422</v>
      </c>
      <c r="AW41" s="28">
        <v>31</v>
      </c>
      <c r="AX41" s="28" t="s">
        <v>423</v>
      </c>
      <c r="AY41" s="28" t="s">
        <v>422</v>
      </c>
      <c r="BE41" s="28" t="s">
        <v>423</v>
      </c>
      <c r="BF41" s="99">
        <f t="shared" si="1"/>
        <v>2.6731239601724761</v>
      </c>
      <c r="BG41" s="28">
        <v>0.34</v>
      </c>
      <c r="BH41" s="28">
        <v>0.14000000000000001</v>
      </c>
      <c r="BI41" s="28">
        <v>0.46</v>
      </c>
      <c r="BJ41" s="28">
        <v>0.46</v>
      </c>
      <c r="BK41" s="28">
        <v>0.08</v>
      </c>
      <c r="BM41" s="28" t="s">
        <v>423</v>
      </c>
      <c r="BN41" s="99">
        <f t="shared" si="2"/>
        <v>0.97046963870119063</v>
      </c>
      <c r="BO41" s="28">
        <v>-1.74</v>
      </c>
      <c r="BP41" s="28">
        <v>0.28999999999999998</v>
      </c>
      <c r="BQ41" s="28">
        <v>1.1599999999999999</v>
      </c>
      <c r="BR41" s="28">
        <v>1.6</v>
      </c>
      <c r="BS41" s="28">
        <v>0.28000000000000003</v>
      </c>
    </row>
    <row r="42" spans="1:71">
      <c r="A42" s="28" t="s">
        <v>476</v>
      </c>
      <c r="B42" s="128" t="s">
        <v>27</v>
      </c>
      <c r="C42" s="129">
        <f t="shared" si="5"/>
        <v>0.9358100087475768</v>
      </c>
      <c r="D42" s="129">
        <f t="shared" si="3"/>
        <v>0.9358100087475768</v>
      </c>
      <c r="E42" s="129">
        <f t="shared" si="4"/>
        <v>-1.7329814976806978E-2</v>
      </c>
      <c r="I42" s="52" t="s">
        <v>426</v>
      </c>
      <c r="J42" s="52">
        <v>0.56000000000000005</v>
      </c>
      <c r="K42" s="52"/>
      <c r="L42" s="52" t="s">
        <v>426</v>
      </c>
      <c r="M42" s="52">
        <v>0.83</v>
      </c>
      <c r="N42" s="52"/>
      <c r="O42" s="52" t="s">
        <v>426</v>
      </c>
      <c r="P42" s="52">
        <v>0.5</v>
      </c>
      <c r="W42" s="28" t="s">
        <v>426</v>
      </c>
      <c r="X42" s="99">
        <f t="shared" si="0"/>
        <v>0.24261740967529766</v>
      </c>
      <c r="Y42" s="28">
        <v>-0.42</v>
      </c>
      <c r="Z42" s="28">
        <v>0.22</v>
      </c>
      <c r="AA42" s="28">
        <v>0.69</v>
      </c>
      <c r="AB42" s="28">
        <v>0.62</v>
      </c>
      <c r="AC42" s="28">
        <v>0.21</v>
      </c>
      <c r="AG42" s="128" t="s">
        <v>424</v>
      </c>
      <c r="AH42" s="246">
        <v>137212.217</v>
      </c>
      <c r="AI42" s="128">
        <v>61576.807999999997</v>
      </c>
      <c r="AJ42" s="128">
        <v>447512.96899999998</v>
      </c>
      <c r="AK42" s="128">
        <v>20198.314999999999</v>
      </c>
      <c r="AL42" s="128">
        <v>16003.584000000001</v>
      </c>
      <c r="AM42" s="128">
        <v>51398.591999999997</v>
      </c>
      <c r="AN42" s="128">
        <v>733902.48499999999</v>
      </c>
      <c r="AR42" s="28">
        <v>1</v>
      </c>
      <c r="AS42" s="28">
        <v>0</v>
      </c>
      <c r="AT42" s="28">
        <v>32</v>
      </c>
      <c r="AU42" s="28" t="s">
        <v>426</v>
      </c>
      <c r="AV42" s="28" t="s">
        <v>425</v>
      </c>
      <c r="AW42" s="28">
        <v>32</v>
      </c>
      <c r="AX42" s="28" t="s">
        <v>426</v>
      </c>
      <c r="AY42" s="28" t="s">
        <v>425</v>
      </c>
      <c r="BE42" s="28" t="s">
        <v>426</v>
      </c>
      <c r="BF42" s="99">
        <f t="shared" si="1"/>
        <v>0.35959366076874472</v>
      </c>
      <c r="BG42" s="28">
        <v>0.16</v>
      </c>
      <c r="BH42" s="28">
        <v>0.2</v>
      </c>
      <c r="BI42" s="28">
        <v>0.26</v>
      </c>
      <c r="BJ42" s="28">
        <v>0.27</v>
      </c>
      <c r="BK42" s="28">
        <v>0.18</v>
      </c>
      <c r="BM42" s="28" t="s">
        <v>426</v>
      </c>
      <c r="BN42" s="99">
        <f t="shared" si="2"/>
        <v>0.21662268721008721</v>
      </c>
      <c r="BO42" s="28">
        <v>-0.48</v>
      </c>
      <c r="BP42" s="28">
        <v>0.23</v>
      </c>
      <c r="BQ42" s="28">
        <v>0.73</v>
      </c>
      <c r="BR42" s="28">
        <v>0.67</v>
      </c>
      <c r="BS42" s="28">
        <v>0.22</v>
      </c>
    </row>
    <row r="43" spans="1:71">
      <c r="A43" s="28" t="s">
        <v>393</v>
      </c>
      <c r="B43" s="128" t="s">
        <v>392</v>
      </c>
      <c r="C43" s="129">
        <f t="shared" si="5"/>
        <v>0.94014246249177846</v>
      </c>
      <c r="D43" s="129">
        <f t="shared" si="3"/>
        <v>0.56755144049042849</v>
      </c>
      <c r="E43" s="129">
        <f t="shared" si="4"/>
        <v>3.1496938720346677</v>
      </c>
      <c r="I43" s="52" t="s">
        <v>429</v>
      </c>
      <c r="J43" s="52">
        <v>3.06</v>
      </c>
      <c r="K43" s="52"/>
      <c r="L43" s="52" t="s">
        <v>429</v>
      </c>
      <c r="M43" s="52">
        <v>8.24</v>
      </c>
      <c r="N43" s="52"/>
      <c r="O43" s="52" t="s">
        <v>429</v>
      </c>
      <c r="P43" s="52">
        <v>2.0699999999999998</v>
      </c>
      <c r="W43" s="28" t="s">
        <v>429</v>
      </c>
      <c r="X43" s="99">
        <f t="shared" ref="X43:X75" si="6">$B$9*J43/((SUMPRODUCT($J$11:$J$75,$AH$11:$AH$75)/SUM($AH$11:$AH$75)))</f>
        <v>1.3257308457257337</v>
      </c>
      <c r="Y43" s="28">
        <v>-1.0900000000000001</v>
      </c>
      <c r="Z43" s="28">
        <v>0.19</v>
      </c>
      <c r="AA43" s="28">
        <v>0.57999999999999996</v>
      </c>
      <c r="AB43" s="28">
        <v>1.38</v>
      </c>
      <c r="AC43" s="28">
        <v>0.11</v>
      </c>
      <c r="AG43" s="128" t="s">
        <v>427</v>
      </c>
      <c r="AH43" s="246">
        <v>73597.544999999998</v>
      </c>
      <c r="AI43" s="128">
        <v>36229.775000000001</v>
      </c>
      <c r="AJ43" s="128">
        <v>306809.359</v>
      </c>
      <c r="AK43" s="128">
        <v>8049.2790000000005</v>
      </c>
      <c r="AL43" s="128">
        <v>24815.428</v>
      </c>
      <c r="AM43" s="128">
        <v>32646.14</v>
      </c>
      <c r="AN43" s="128">
        <v>482147.527</v>
      </c>
      <c r="AR43" s="28">
        <v>0</v>
      </c>
      <c r="AS43" s="28">
        <v>0</v>
      </c>
      <c r="AT43" s="28">
        <v>33</v>
      </c>
      <c r="AU43" s="28" t="s">
        <v>429</v>
      </c>
      <c r="AV43" s="28" t="s">
        <v>428</v>
      </c>
      <c r="AW43" s="28">
        <v>33</v>
      </c>
      <c r="AX43" s="28" t="s">
        <v>429</v>
      </c>
      <c r="AY43" s="28" t="s">
        <v>428</v>
      </c>
      <c r="BE43" s="28" t="s">
        <v>429</v>
      </c>
      <c r="BF43" s="99">
        <f t="shared" ref="BF43:BF75" si="7">M43*$B$9/((SUMPRODUCT($J$11:$J$75,$AH$11:$AH$75)/SUM($AH$11:$AH$75)))</f>
        <v>3.5699418852222369</v>
      </c>
      <c r="BG43" s="28">
        <v>0.27</v>
      </c>
      <c r="BH43" s="28">
        <v>0.1</v>
      </c>
      <c r="BI43" s="28">
        <v>0.44</v>
      </c>
      <c r="BJ43" s="28">
        <v>0.36</v>
      </c>
      <c r="BK43" s="28">
        <v>0.03</v>
      </c>
      <c r="BM43" s="28" t="s">
        <v>429</v>
      </c>
      <c r="BN43" s="99">
        <f t="shared" ref="BN43:BN75" si="8">P43*$B$9/((SUMPRODUCT($J$11:$J$75,$AH$11:$AH$75)/SUM($AH$11:$AH$75)))</f>
        <v>0.89681792504976099</v>
      </c>
      <c r="BO43" s="28">
        <v>-1.62</v>
      </c>
      <c r="BP43" s="28">
        <v>0.26</v>
      </c>
      <c r="BQ43" s="28">
        <v>1.03</v>
      </c>
      <c r="BR43" s="28">
        <v>1.62</v>
      </c>
      <c r="BS43" s="28">
        <v>0.24</v>
      </c>
    </row>
    <row r="44" spans="1:71">
      <c r="A44" s="28" t="s">
        <v>474</v>
      </c>
      <c r="B44" s="128" t="s">
        <v>473</v>
      </c>
      <c r="C44" s="129">
        <f t="shared" si="5"/>
        <v>0.83616357263093666</v>
      </c>
      <c r="D44" s="129">
        <f t="shared" ref="D44:D76" si="9">INDEX($BN$11:$BN$75,MATCH(A44,$BM$11:$BM$75,0))</f>
        <v>0.83616357263093666</v>
      </c>
      <c r="E44" s="129">
        <f t="shared" ref="E44:E76" si="10">INDEX($BF$11:$BF$75,MATCH(A44,$BE$11:$BE$75,0))</f>
        <v>7.7984167395631382E-2</v>
      </c>
      <c r="I44" s="52" t="s">
        <v>432</v>
      </c>
      <c r="J44" s="52">
        <v>1.04</v>
      </c>
      <c r="K44" s="52"/>
      <c r="L44" s="52" t="s">
        <v>432</v>
      </c>
      <c r="M44" s="52">
        <v>0.64</v>
      </c>
      <c r="N44" s="52"/>
      <c r="O44" s="52" t="s">
        <v>432</v>
      </c>
      <c r="P44" s="52">
        <v>1.43</v>
      </c>
      <c r="W44" s="28" t="s">
        <v>432</v>
      </c>
      <c r="X44" s="99">
        <f t="shared" si="6"/>
        <v>0.45057518939698143</v>
      </c>
      <c r="Y44" s="28">
        <v>-1.61</v>
      </c>
      <c r="Z44" s="28">
        <v>0.27</v>
      </c>
      <c r="AA44" s="28">
        <v>0.5</v>
      </c>
      <c r="AB44" s="28">
        <v>0.92</v>
      </c>
      <c r="AC44" s="28">
        <v>0.24</v>
      </c>
      <c r="AG44" s="128" t="s">
        <v>430</v>
      </c>
      <c r="AH44" s="246">
        <v>178150.992</v>
      </c>
      <c r="AI44" s="128">
        <v>81744.357000000004</v>
      </c>
      <c r="AJ44" s="128">
        <v>200858.95300000001</v>
      </c>
      <c r="AK44" s="128">
        <v>6145.2359999999999</v>
      </c>
      <c r="AL44" s="128">
        <v>2787.1619999999998</v>
      </c>
      <c r="AM44" s="128">
        <v>20033.620999999999</v>
      </c>
      <c r="AN44" s="128">
        <v>489720.32199999999</v>
      </c>
      <c r="AR44" s="28">
        <v>0</v>
      </c>
      <c r="AS44" s="28">
        <v>0</v>
      </c>
      <c r="AT44" s="28">
        <v>34</v>
      </c>
      <c r="AU44" s="28" t="s">
        <v>432</v>
      </c>
      <c r="AV44" s="28" t="s">
        <v>431</v>
      </c>
      <c r="AW44" s="28">
        <v>34</v>
      </c>
      <c r="AX44" s="28" t="s">
        <v>432</v>
      </c>
      <c r="AY44" s="28" t="s">
        <v>431</v>
      </c>
      <c r="BE44" s="28" t="s">
        <v>432</v>
      </c>
      <c r="BF44" s="99">
        <f t="shared" si="7"/>
        <v>0.27727703962891165</v>
      </c>
      <c r="BG44" s="28">
        <v>0.28000000000000003</v>
      </c>
      <c r="BH44" s="28">
        <v>0.25</v>
      </c>
      <c r="BI44" s="28">
        <v>0.32</v>
      </c>
      <c r="BJ44" s="28">
        <v>0.21</v>
      </c>
      <c r="BK44" s="28">
        <v>0.19</v>
      </c>
      <c r="BM44" s="28" t="s">
        <v>432</v>
      </c>
      <c r="BN44" s="99">
        <f t="shared" si="8"/>
        <v>0.6195408854208494</v>
      </c>
      <c r="BO44" s="28">
        <v>-1.73</v>
      </c>
      <c r="BP44" s="28">
        <v>0.31</v>
      </c>
      <c r="BQ44" s="28">
        <v>1.1000000000000001</v>
      </c>
      <c r="BR44" s="28">
        <v>1.1599999999999999</v>
      </c>
      <c r="BS44" s="28">
        <v>0.28000000000000003</v>
      </c>
    </row>
    <row r="45" spans="1:71">
      <c r="A45" s="28" t="s">
        <v>387</v>
      </c>
      <c r="B45" s="128" t="s">
        <v>386</v>
      </c>
      <c r="C45" s="129">
        <f t="shared" si="5"/>
        <v>0.57188389423463026</v>
      </c>
      <c r="D45" s="129">
        <f t="shared" si="9"/>
        <v>0.56321898674622672</v>
      </c>
      <c r="E45" s="129">
        <f t="shared" si="10"/>
        <v>0.71918732153748943</v>
      </c>
      <c r="I45" s="52" t="s">
        <v>435</v>
      </c>
      <c r="J45" s="52">
        <v>6.41</v>
      </c>
      <c r="K45" s="52"/>
      <c r="L45" s="52" t="s">
        <v>435</v>
      </c>
      <c r="M45" s="52">
        <v>13.64</v>
      </c>
      <c r="N45" s="52"/>
      <c r="O45" s="52" t="s">
        <v>435</v>
      </c>
      <c r="P45" s="52">
        <v>2.59</v>
      </c>
      <c r="W45" s="28" t="s">
        <v>435</v>
      </c>
      <c r="X45" s="99">
        <f t="shared" si="6"/>
        <v>2.7771028500333181</v>
      </c>
      <c r="Y45" s="28">
        <v>-1.21</v>
      </c>
      <c r="Z45" s="28">
        <v>0.16</v>
      </c>
      <c r="AA45" s="28">
        <v>0.56000000000000005</v>
      </c>
      <c r="AB45" s="28">
        <v>1.21</v>
      </c>
      <c r="AC45" s="28">
        <v>0.04</v>
      </c>
      <c r="AG45" s="128" t="s">
        <v>433</v>
      </c>
      <c r="AH45" s="246">
        <v>41614.857000000004</v>
      </c>
      <c r="AI45" s="128">
        <v>8572.4529999999995</v>
      </c>
      <c r="AJ45" s="128">
        <v>108833.004</v>
      </c>
      <c r="AK45" s="128">
        <v>4790.3909999999996</v>
      </c>
      <c r="AL45" s="128">
        <v>6955.116</v>
      </c>
      <c r="AM45" s="128">
        <v>9669.8269999999993</v>
      </c>
      <c r="AN45" s="128">
        <v>180435.649</v>
      </c>
      <c r="AR45" s="28">
        <v>0</v>
      </c>
      <c r="AS45" s="28">
        <v>0</v>
      </c>
      <c r="AT45" s="28">
        <v>35</v>
      </c>
      <c r="AU45" s="28" t="s">
        <v>435</v>
      </c>
      <c r="AV45" s="28" t="s">
        <v>434</v>
      </c>
      <c r="AW45" s="28">
        <v>35</v>
      </c>
      <c r="AX45" s="28" t="s">
        <v>435</v>
      </c>
      <c r="AY45" s="28" t="s">
        <v>434</v>
      </c>
      <c r="BE45" s="28" t="s">
        <v>435</v>
      </c>
      <c r="BF45" s="99">
        <f t="shared" si="7"/>
        <v>5.9094669070911792</v>
      </c>
      <c r="BG45" s="28">
        <v>0.27</v>
      </c>
      <c r="BH45" s="28">
        <v>-0.02</v>
      </c>
      <c r="BI45" s="28">
        <v>0.27</v>
      </c>
      <c r="BJ45" s="28">
        <v>0.32</v>
      </c>
      <c r="BK45" s="28">
        <v>-0.15</v>
      </c>
      <c r="BM45" s="28" t="s">
        <v>435</v>
      </c>
      <c r="BN45" s="99">
        <f t="shared" si="8"/>
        <v>1.1221055197482517</v>
      </c>
      <c r="BO45" s="28">
        <v>-1.63</v>
      </c>
      <c r="BP45" s="28">
        <v>0.27</v>
      </c>
      <c r="BQ45" s="28">
        <v>1</v>
      </c>
      <c r="BR45" s="28">
        <v>1.55</v>
      </c>
      <c r="BS45" s="28">
        <v>0.26</v>
      </c>
    </row>
    <row r="46" spans="1:71">
      <c r="A46" s="28" t="s">
        <v>494</v>
      </c>
      <c r="B46" s="411" t="s">
        <v>1862</v>
      </c>
      <c r="C46" s="129">
        <f t="shared" si="5"/>
        <v>0.79717148893312095</v>
      </c>
      <c r="D46" s="129">
        <f t="shared" si="9"/>
        <v>0.79717148893312095</v>
      </c>
      <c r="E46" s="129">
        <f t="shared" si="10"/>
        <v>-3.8992083697815691E-2</v>
      </c>
      <c r="I46" s="52" t="s">
        <v>438</v>
      </c>
      <c r="J46" s="52">
        <v>6.01</v>
      </c>
      <c r="K46" s="52"/>
      <c r="L46" s="52" t="s">
        <v>438</v>
      </c>
      <c r="M46" s="52">
        <v>12.65</v>
      </c>
      <c r="N46" s="52"/>
      <c r="O46" s="52" t="s">
        <v>438</v>
      </c>
      <c r="P46" s="52">
        <v>2.0499999999999998</v>
      </c>
      <c r="W46" s="28" t="s">
        <v>438</v>
      </c>
      <c r="X46" s="99">
        <f t="shared" si="6"/>
        <v>2.6038047002652482</v>
      </c>
      <c r="Y46" s="28">
        <v>-1.62</v>
      </c>
      <c r="Z46" s="28">
        <v>0.14000000000000001</v>
      </c>
      <c r="AA46" s="28">
        <v>0.45</v>
      </c>
      <c r="AB46" s="28">
        <v>1.29</v>
      </c>
      <c r="AC46" s="28">
        <v>-0.08</v>
      </c>
      <c r="AG46" s="128" t="s">
        <v>436</v>
      </c>
      <c r="AH46" s="246">
        <v>11419.288</v>
      </c>
      <c r="AI46" s="128">
        <v>7859.5619999999999</v>
      </c>
      <c r="AJ46" s="128">
        <v>64125.341999999997</v>
      </c>
      <c r="AK46" s="128">
        <v>1787.54</v>
      </c>
      <c r="AL46" s="128">
        <v>1460.3050000000001</v>
      </c>
      <c r="AM46" s="128">
        <v>3990.7170000000001</v>
      </c>
      <c r="AN46" s="128">
        <v>90642.754000000001</v>
      </c>
      <c r="AR46" s="28">
        <v>0</v>
      </c>
      <c r="AS46" s="28">
        <v>0</v>
      </c>
      <c r="AT46" s="28">
        <v>36</v>
      </c>
      <c r="AU46" s="28" t="s">
        <v>438</v>
      </c>
      <c r="AV46" s="28" t="s">
        <v>437</v>
      </c>
      <c r="AW46" s="28">
        <v>36</v>
      </c>
      <c r="AX46" s="28" t="s">
        <v>438</v>
      </c>
      <c r="AY46" s="28" t="s">
        <v>437</v>
      </c>
      <c r="BE46" s="28" t="s">
        <v>438</v>
      </c>
      <c r="BF46" s="99">
        <f t="shared" si="7"/>
        <v>5.480553986415206</v>
      </c>
      <c r="BG46" s="28">
        <v>0.22</v>
      </c>
      <c r="BH46" s="28">
        <v>-0.2</v>
      </c>
      <c r="BI46" s="28">
        <v>0.09</v>
      </c>
      <c r="BJ46" s="28">
        <v>7.0000000000000007E-2</v>
      </c>
      <c r="BK46" s="28">
        <v>-0.49</v>
      </c>
      <c r="BM46" s="28" t="s">
        <v>438</v>
      </c>
      <c r="BN46" s="99">
        <f t="shared" si="8"/>
        <v>0.88815301756135745</v>
      </c>
      <c r="BO46" s="28">
        <v>-1.75</v>
      </c>
      <c r="BP46" s="28">
        <v>0.28999999999999998</v>
      </c>
      <c r="BQ46" s="28">
        <v>1.1499999999999999</v>
      </c>
      <c r="BR46" s="28">
        <v>1.58</v>
      </c>
      <c r="BS46" s="28">
        <v>0.26</v>
      </c>
    </row>
    <row r="47" spans="1:71">
      <c r="A47" s="28" t="s">
        <v>488</v>
      </c>
      <c r="B47" s="128" t="s">
        <v>487</v>
      </c>
      <c r="C47" s="129">
        <f t="shared" si="5"/>
        <v>0.58054880172303369</v>
      </c>
      <c r="D47" s="129">
        <f t="shared" si="9"/>
        <v>0.58921370921143723</v>
      </c>
      <c r="E47" s="129">
        <f t="shared" si="10"/>
        <v>-3.8992083697815691E-2</v>
      </c>
      <c r="I47" s="52" t="s">
        <v>441</v>
      </c>
      <c r="J47" s="52">
        <v>6.81</v>
      </c>
      <c r="K47" s="52"/>
      <c r="L47" s="52" t="s">
        <v>441</v>
      </c>
      <c r="M47" s="52">
        <v>16.23</v>
      </c>
      <c r="N47" s="52"/>
      <c r="O47" s="52" t="s">
        <v>441</v>
      </c>
      <c r="P47" s="52">
        <v>3.29</v>
      </c>
      <c r="W47" s="28" t="s">
        <v>441</v>
      </c>
      <c r="X47" s="99">
        <f t="shared" si="6"/>
        <v>2.9504009998013876</v>
      </c>
      <c r="Y47" s="28">
        <v>-0.66</v>
      </c>
      <c r="Z47" s="28">
        <v>0.17</v>
      </c>
      <c r="AA47" s="28">
        <v>0.83</v>
      </c>
      <c r="AB47" s="28">
        <v>1.02</v>
      </c>
      <c r="AC47" s="28">
        <v>-0.13</v>
      </c>
      <c r="AG47" s="128" t="s">
        <v>439</v>
      </c>
      <c r="AH47" s="246">
        <v>686.12199999999996</v>
      </c>
      <c r="AI47" s="128">
        <v>121.571</v>
      </c>
      <c r="AJ47" s="128">
        <v>11645.214</v>
      </c>
      <c r="AK47" s="128">
        <v>54.51</v>
      </c>
      <c r="AL47" s="128">
        <v>28.248000000000001</v>
      </c>
      <c r="AM47" s="128">
        <v>1546.4280000000001</v>
      </c>
      <c r="AN47" s="128">
        <v>14082.093000000001</v>
      </c>
      <c r="AR47" s="28">
        <v>0</v>
      </c>
      <c r="AS47" s="28">
        <v>0</v>
      </c>
      <c r="AT47" s="28">
        <v>37</v>
      </c>
      <c r="AU47" s="28" t="s">
        <v>441</v>
      </c>
      <c r="AV47" s="28" t="s">
        <v>440</v>
      </c>
      <c r="AW47" s="28">
        <v>37</v>
      </c>
      <c r="AX47" s="28" t="s">
        <v>441</v>
      </c>
      <c r="AY47" s="28" t="s">
        <v>440</v>
      </c>
      <c r="BE47" s="28" t="s">
        <v>441</v>
      </c>
      <c r="BF47" s="99">
        <f t="shared" si="7"/>
        <v>7.0315724268394302</v>
      </c>
      <c r="BG47" s="28">
        <v>0.2</v>
      </c>
      <c r="BH47" s="28">
        <v>0.03</v>
      </c>
      <c r="BI47" s="28">
        <v>0.3</v>
      </c>
      <c r="BJ47" s="28">
        <v>0.32</v>
      </c>
      <c r="BK47" s="28">
        <v>-0.34</v>
      </c>
      <c r="BM47" s="28" t="s">
        <v>441</v>
      </c>
      <c r="BN47" s="99">
        <f t="shared" si="8"/>
        <v>1.425377281842374</v>
      </c>
      <c r="BO47" s="28">
        <v>-1.48</v>
      </c>
      <c r="BP47" s="28">
        <v>0.27</v>
      </c>
      <c r="BQ47" s="28">
        <v>1.03</v>
      </c>
      <c r="BR47" s="28">
        <v>1.62</v>
      </c>
      <c r="BS47" s="28">
        <v>0.2</v>
      </c>
    </row>
    <row r="48" spans="1:71">
      <c r="A48" s="28" t="s">
        <v>485</v>
      </c>
      <c r="B48" s="128" t="s">
        <v>484</v>
      </c>
      <c r="C48" s="129">
        <f t="shared" si="5"/>
        <v>0.593546162955639</v>
      </c>
      <c r="D48" s="129">
        <f t="shared" si="9"/>
        <v>0.59787861669984066</v>
      </c>
      <c r="E48" s="129">
        <f t="shared" si="10"/>
        <v>3.0327176209412207E-2</v>
      </c>
      <c r="I48" s="52" t="s">
        <v>444</v>
      </c>
      <c r="J48" s="52">
        <v>12.06</v>
      </c>
      <c r="K48" s="52"/>
      <c r="L48" s="52" t="s">
        <v>444</v>
      </c>
      <c r="M48" s="52">
        <v>16.88</v>
      </c>
      <c r="N48" s="52"/>
      <c r="O48" s="52" t="s">
        <v>444</v>
      </c>
      <c r="P48" s="52">
        <v>5.04</v>
      </c>
      <c r="W48" s="28" t="s">
        <v>444</v>
      </c>
      <c r="X48" s="99">
        <f t="shared" si="6"/>
        <v>5.2249392155073036</v>
      </c>
      <c r="Y48" s="28">
        <v>0.14000000000000001</v>
      </c>
      <c r="Z48" s="28">
        <v>0.26</v>
      </c>
      <c r="AA48" s="28">
        <v>0.59</v>
      </c>
      <c r="AB48" s="28">
        <v>1.43</v>
      </c>
      <c r="AC48" s="28">
        <v>0.15</v>
      </c>
      <c r="AG48" s="128" t="s">
        <v>442</v>
      </c>
      <c r="AH48" s="246">
        <v>113.059</v>
      </c>
      <c r="AI48" s="128">
        <v>5321.7219999999998</v>
      </c>
      <c r="AJ48" s="128">
        <v>10579.463</v>
      </c>
      <c r="AK48" s="128">
        <v>394.96800000000002</v>
      </c>
      <c r="AL48" s="128">
        <v>44.997999999999998</v>
      </c>
      <c r="AM48" s="128">
        <v>1166.0540000000001</v>
      </c>
      <c r="AN48" s="128">
        <v>17620.262999999999</v>
      </c>
      <c r="AR48" s="28">
        <v>0</v>
      </c>
      <c r="AS48" s="28">
        <v>0</v>
      </c>
      <c r="AT48" s="28">
        <v>38</v>
      </c>
      <c r="AU48" s="28" t="s">
        <v>444</v>
      </c>
      <c r="AV48" s="28" t="s">
        <v>443</v>
      </c>
      <c r="AW48" s="28">
        <v>38</v>
      </c>
      <c r="AX48" s="28" t="s">
        <v>444</v>
      </c>
      <c r="AY48" s="28" t="s">
        <v>443</v>
      </c>
      <c r="BE48" s="28" t="s">
        <v>444</v>
      </c>
      <c r="BF48" s="99">
        <f t="shared" si="7"/>
        <v>7.3131819202125437</v>
      </c>
      <c r="BG48" s="28">
        <v>0.16</v>
      </c>
      <c r="BH48" s="28">
        <v>0.25</v>
      </c>
      <c r="BI48" s="28">
        <v>0.33</v>
      </c>
      <c r="BJ48" s="28">
        <v>0.41</v>
      </c>
      <c r="BK48" s="28">
        <v>0.13</v>
      </c>
      <c r="BM48" s="28" t="s">
        <v>444</v>
      </c>
      <c r="BN48" s="99">
        <f t="shared" si="8"/>
        <v>2.183556687077679</v>
      </c>
      <c r="BO48" s="28">
        <v>-1.37</v>
      </c>
      <c r="BP48" s="28">
        <v>0.28999999999999998</v>
      </c>
      <c r="BQ48" s="28">
        <v>0.84</v>
      </c>
      <c r="BR48" s="28">
        <v>1.5</v>
      </c>
      <c r="BS48" s="28">
        <v>0.24</v>
      </c>
    </row>
    <row r="49" spans="1:71">
      <c r="A49" s="28" t="s">
        <v>339</v>
      </c>
      <c r="B49" s="128" t="s">
        <v>338</v>
      </c>
      <c r="C49" s="129">
        <f t="shared" si="5"/>
        <v>0.69752505281648081</v>
      </c>
      <c r="D49" s="129">
        <f t="shared" si="9"/>
        <v>0.60221107044404232</v>
      </c>
      <c r="E49" s="129">
        <f t="shared" si="10"/>
        <v>1.9842638148443987</v>
      </c>
      <c r="I49" s="52" t="s">
        <v>447</v>
      </c>
      <c r="J49" s="52">
        <v>11.59</v>
      </c>
      <c r="K49" s="52"/>
      <c r="L49" s="52" t="s">
        <v>447</v>
      </c>
      <c r="M49" s="52">
        <v>38.47</v>
      </c>
      <c r="N49" s="52"/>
      <c r="O49" s="52" t="s">
        <v>447</v>
      </c>
      <c r="P49" s="52">
        <v>3.19</v>
      </c>
      <c r="W49" s="28" t="s">
        <v>447</v>
      </c>
      <c r="X49" s="99">
        <f t="shared" si="6"/>
        <v>5.0213138895298215</v>
      </c>
      <c r="Y49" s="28">
        <v>-1.48</v>
      </c>
      <c r="Z49" s="28">
        <v>0.09</v>
      </c>
      <c r="AA49" s="28">
        <v>0.48</v>
      </c>
      <c r="AB49" s="28">
        <v>1.44</v>
      </c>
      <c r="AC49" s="28">
        <v>-0.03</v>
      </c>
      <c r="AG49" s="128" t="s">
        <v>445</v>
      </c>
      <c r="AH49" s="246">
        <v>18103.241999999998</v>
      </c>
      <c r="AI49" s="128">
        <v>9242.0990000000002</v>
      </c>
      <c r="AJ49" s="128">
        <v>60071.85</v>
      </c>
      <c r="AK49" s="128">
        <v>1906.7080000000001</v>
      </c>
      <c r="AL49" s="128">
        <v>3982.5430000000001</v>
      </c>
      <c r="AM49" s="128">
        <v>6246.9380000000001</v>
      </c>
      <c r="AN49" s="128">
        <v>99553.379000000001</v>
      </c>
      <c r="AR49" s="28">
        <v>0</v>
      </c>
      <c r="AS49" s="28">
        <v>0</v>
      </c>
      <c r="AT49" s="28">
        <v>39</v>
      </c>
      <c r="AU49" s="28" t="s">
        <v>447</v>
      </c>
      <c r="AV49" s="28" t="s">
        <v>446</v>
      </c>
      <c r="AW49" s="28">
        <v>39</v>
      </c>
      <c r="AX49" s="28" t="s">
        <v>447</v>
      </c>
      <c r="AY49" s="28" t="s">
        <v>446</v>
      </c>
      <c r="BE49" s="28" t="s">
        <v>447</v>
      </c>
      <c r="BF49" s="99">
        <f t="shared" si="7"/>
        <v>16.666949553944111</v>
      </c>
      <c r="BG49" s="28">
        <v>0.22</v>
      </c>
      <c r="BH49" s="28">
        <v>-0.15</v>
      </c>
      <c r="BI49" s="28">
        <v>0.16</v>
      </c>
      <c r="BJ49" s="28">
        <v>0.24</v>
      </c>
      <c r="BK49" s="28">
        <v>-0.41</v>
      </c>
      <c r="BM49" s="28" t="s">
        <v>447</v>
      </c>
      <c r="BN49" s="99">
        <f t="shared" si="8"/>
        <v>1.3820527444003565</v>
      </c>
      <c r="BO49" s="28">
        <v>-1.69</v>
      </c>
      <c r="BP49" s="28">
        <v>0.28000000000000003</v>
      </c>
      <c r="BQ49" s="28">
        <v>1.17</v>
      </c>
      <c r="BR49" s="28">
        <v>1.7</v>
      </c>
      <c r="BS49" s="28">
        <v>0.26</v>
      </c>
    </row>
    <row r="50" spans="1:71">
      <c r="A50" s="28" t="s">
        <v>521</v>
      </c>
      <c r="B50" s="128" t="s">
        <v>1863</v>
      </c>
      <c r="C50" s="129">
        <f t="shared" si="5"/>
        <v>0.66286542286286687</v>
      </c>
      <c r="D50" s="129">
        <f t="shared" si="9"/>
        <v>0.66286542286286687</v>
      </c>
      <c r="E50" s="129">
        <f t="shared" si="10"/>
        <v>-5.6321898674622679E-2</v>
      </c>
      <c r="I50" s="52" t="s">
        <v>450</v>
      </c>
      <c r="J50" s="52">
        <v>12.22</v>
      </c>
      <c r="K50" s="52"/>
      <c r="L50" s="52" t="s">
        <v>450</v>
      </c>
      <c r="M50" s="52">
        <v>14.25</v>
      </c>
      <c r="N50" s="52"/>
      <c r="O50" s="52" t="s">
        <v>450</v>
      </c>
      <c r="P50" s="52">
        <v>2.4900000000000002</v>
      </c>
      <c r="W50" s="28" t="s">
        <v>450</v>
      </c>
      <c r="X50" s="99">
        <f t="shared" si="6"/>
        <v>5.2942584754145319</v>
      </c>
      <c r="Y50" s="28">
        <v>-0.32</v>
      </c>
      <c r="Z50" s="28">
        <v>-0.09</v>
      </c>
      <c r="AA50" s="28">
        <v>0.31</v>
      </c>
      <c r="AB50" s="28">
        <v>0.32</v>
      </c>
      <c r="AC50" s="28">
        <v>-0.18</v>
      </c>
      <c r="AG50" s="128" t="s">
        <v>448</v>
      </c>
      <c r="AH50" s="246">
        <v>95229.497000000003</v>
      </c>
      <c r="AI50" s="128">
        <v>194413.32399999999</v>
      </c>
      <c r="AJ50" s="128">
        <v>359731.18800000002</v>
      </c>
      <c r="AK50" s="128">
        <v>8579.5049999999992</v>
      </c>
      <c r="AL50" s="128">
        <v>7850.6469999999999</v>
      </c>
      <c r="AM50" s="128">
        <v>55002.108999999997</v>
      </c>
      <c r="AN50" s="128">
        <v>720806.27</v>
      </c>
      <c r="AR50" s="28">
        <v>0</v>
      </c>
      <c r="AS50" s="28">
        <v>0</v>
      </c>
      <c r="AT50" s="28">
        <v>40</v>
      </c>
      <c r="AU50" s="28" t="s">
        <v>450</v>
      </c>
      <c r="AV50" s="28" t="s">
        <v>449</v>
      </c>
      <c r="AW50" s="28">
        <v>40</v>
      </c>
      <c r="AX50" s="28" t="s">
        <v>450</v>
      </c>
      <c r="AY50" s="28" t="s">
        <v>449</v>
      </c>
      <c r="BE50" s="28" t="s">
        <v>450</v>
      </c>
      <c r="BF50" s="99">
        <f t="shared" si="7"/>
        <v>6.1737465854874856</v>
      </c>
      <c r="BG50" s="28">
        <v>0.1</v>
      </c>
      <c r="BH50" s="28">
        <v>-0.25</v>
      </c>
      <c r="BI50" s="28">
        <v>0.28000000000000003</v>
      </c>
      <c r="BJ50" s="28">
        <v>0.12</v>
      </c>
      <c r="BK50" s="28">
        <v>-0.31</v>
      </c>
      <c r="BM50" s="28" t="s">
        <v>450</v>
      </c>
      <c r="BN50" s="99">
        <f t="shared" si="8"/>
        <v>1.0787809823062344</v>
      </c>
      <c r="BO50" s="28">
        <v>-1.36</v>
      </c>
      <c r="BP50" s="28">
        <v>0.16</v>
      </c>
      <c r="BQ50" s="28">
        <v>1.01</v>
      </c>
      <c r="BR50" s="28">
        <v>0.88</v>
      </c>
      <c r="BS50" s="28">
        <v>0.09</v>
      </c>
    </row>
    <row r="51" spans="1:71">
      <c r="A51" s="28" t="s">
        <v>363</v>
      </c>
      <c r="B51" s="128" t="s">
        <v>362</v>
      </c>
      <c r="C51" s="129">
        <f t="shared" si="5"/>
        <v>0.68019523783967384</v>
      </c>
      <c r="D51" s="129">
        <f t="shared" si="9"/>
        <v>0.68452769158387561</v>
      </c>
      <c r="E51" s="129">
        <f t="shared" si="10"/>
        <v>2.1662268721008723E-2</v>
      </c>
      <c r="I51" s="52" t="s">
        <v>453</v>
      </c>
      <c r="J51" s="52">
        <v>13.07</v>
      </c>
      <c r="K51" s="52"/>
      <c r="L51" s="52" t="s">
        <v>453</v>
      </c>
      <c r="M51" s="52">
        <v>18.899999999999999</v>
      </c>
      <c r="N51" s="52"/>
      <c r="O51" s="52" t="s">
        <v>453</v>
      </c>
      <c r="P51" s="52">
        <v>3.92</v>
      </c>
      <c r="W51" s="28" t="s">
        <v>453</v>
      </c>
      <c r="X51" s="99">
        <f t="shared" si="6"/>
        <v>5.6625170436716799</v>
      </c>
      <c r="Y51" s="28">
        <v>-1.56</v>
      </c>
      <c r="Z51" s="28">
        <v>-0.1</v>
      </c>
      <c r="AA51" s="28">
        <v>0.3</v>
      </c>
      <c r="AB51" s="28">
        <v>1.21</v>
      </c>
      <c r="AC51" s="28">
        <v>-0.23</v>
      </c>
      <c r="AG51" s="128" t="s">
        <v>451</v>
      </c>
      <c r="AH51" s="246">
        <v>62008.213000000003</v>
      </c>
      <c r="AI51" s="128">
        <v>57778.082999999999</v>
      </c>
      <c r="AJ51" s="128">
        <v>103428.352</v>
      </c>
      <c r="AK51" s="128">
        <v>8090.4489999999996</v>
      </c>
      <c r="AL51" s="128">
        <v>5426.0129999999999</v>
      </c>
      <c r="AM51" s="128">
        <v>23065.574000000001</v>
      </c>
      <c r="AN51" s="128">
        <v>259796.68400000001</v>
      </c>
      <c r="AR51" s="28">
        <v>0</v>
      </c>
      <c r="AS51" s="28">
        <v>0</v>
      </c>
      <c r="AT51" s="28">
        <v>41</v>
      </c>
      <c r="AU51" s="28" t="s">
        <v>453</v>
      </c>
      <c r="AV51" s="28" t="s">
        <v>452</v>
      </c>
      <c r="AW51" s="28">
        <v>41</v>
      </c>
      <c r="AX51" s="28" t="s">
        <v>453</v>
      </c>
      <c r="AY51" s="28" t="s">
        <v>452</v>
      </c>
      <c r="BE51" s="28" t="s">
        <v>453</v>
      </c>
      <c r="BF51" s="99">
        <f t="shared" si="7"/>
        <v>8.1883375765412953</v>
      </c>
      <c r="BG51" s="28">
        <v>0.23</v>
      </c>
      <c r="BH51" s="28">
        <v>-0.26</v>
      </c>
      <c r="BI51" s="28">
        <v>0.26</v>
      </c>
      <c r="BJ51" s="28">
        <v>0.31</v>
      </c>
      <c r="BK51" s="28">
        <v>-0.36</v>
      </c>
      <c r="BM51" s="28" t="s">
        <v>453</v>
      </c>
      <c r="BN51" s="99">
        <f t="shared" si="8"/>
        <v>1.6983218677270835</v>
      </c>
      <c r="BO51" s="28">
        <v>-1.69</v>
      </c>
      <c r="BP51" s="28">
        <v>0.23</v>
      </c>
      <c r="BQ51" s="28">
        <v>0.94</v>
      </c>
      <c r="BR51" s="28">
        <v>1.61</v>
      </c>
      <c r="BS51" s="28">
        <v>0.2</v>
      </c>
    </row>
    <row r="52" spans="1:71">
      <c r="A52" s="28" t="s">
        <v>384</v>
      </c>
      <c r="B52" s="128" t="s">
        <v>383</v>
      </c>
      <c r="C52" s="129">
        <f t="shared" si="5"/>
        <v>0.43757782816437613</v>
      </c>
      <c r="D52" s="129">
        <f t="shared" si="9"/>
        <v>0.16463324227966628</v>
      </c>
      <c r="E52" s="129">
        <f t="shared" si="10"/>
        <v>2.4521688192181874</v>
      </c>
      <c r="I52" s="52" t="s">
        <v>456</v>
      </c>
      <c r="J52" s="52">
        <v>9.57</v>
      </c>
      <c r="K52" s="52"/>
      <c r="L52" s="52" t="s">
        <v>456</v>
      </c>
      <c r="M52" s="52">
        <v>18.829999999999998</v>
      </c>
      <c r="N52" s="52"/>
      <c r="O52" s="52" t="s">
        <v>456</v>
      </c>
      <c r="P52" s="52">
        <v>4.26</v>
      </c>
      <c r="W52" s="28" t="s">
        <v>456</v>
      </c>
      <c r="X52" s="99">
        <f t="shared" si="6"/>
        <v>4.1461582332010689</v>
      </c>
      <c r="Y52" s="28">
        <v>-1.24</v>
      </c>
      <c r="Z52" s="28">
        <v>0.12</v>
      </c>
      <c r="AA52" s="28">
        <v>0.62</v>
      </c>
      <c r="AB52" s="28">
        <v>0.76</v>
      </c>
      <c r="AC52" s="28">
        <v>0.1</v>
      </c>
      <c r="AG52" s="128" t="s">
        <v>454</v>
      </c>
      <c r="AH52" s="246">
        <v>10243.248</v>
      </c>
      <c r="AI52" s="128">
        <v>8289.7209999999995</v>
      </c>
      <c r="AJ52" s="128">
        <v>124700.94100000001</v>
      </c>
      <c r="AK52" s="128">
        <v>3521.5140000000001</v>
      </c>
      <c r="AL52" s="128">
        <v>622.31500000000005</v>
      </c>
      <c r="AM52" s="128">
        <v>13583.361000000001</v>
      </c>
      <c r="AN52" s="128">
        <v>160961.1</v>
      </c>
      <c r="AQ52" s="28">
        <v>10</v>
      </c>
      <c r="AR52" s="28">
        <v>0</v>
      </c>
      <c r="AS52" s="28">
        <v>0</v>
      </c>
      <c r="AT52" s="28">
        <v>42</v>
      </c>
      <c r="AU52" s="28" t="s">
        <v>456</v>
      </c>
      <c r="AV52" s="28" t="s">
        <v>455</v>
      </c>
      <c r="AW52" s="28">
        <v>42</v>
      </c>
      <c r="AX52" s="28" t="s">
        <v>456</v>
      </c>
      <c r="AY52" s="28" t="s">
        <v>455</v>
      </c>
      <c r="BE52" s="28" t="s">
        <v>456</v>
      </c>
      <c r="BF52" s="99">
        <f t="shared" si="7"/>
        <v>8.1580104003318823</v>
      </c>
      <c r="BG52" s="28">
        <v>0.28999999999999998</v>
      </c>
      <c r="BH52" s="28">
        <v>-0.03</v>
      </c>
      <c r="BI52" s="28">
        <v>0.47</v>
      </c>
      <c r="BJ52" s="28">
        <v>0.31</v>
      </c>
      <c r="BK52" s="28">
        <v>0.03</v>
      </c>
      <c r="BM52" s="28" t="s">
        <v>456</v>
      </c>
      <c r="BN52" s="99">
        <f t="shared" si="8"/>
        <v>1.845625295029943</v>
      </c>
      <c r="BO52" s="28">
        <v>-1.71</v>
      </c>
      <c r="BP52" s="28">
        <v>0.26</v>
      </c>
      <c r="BQ52" s="28">
        <v>1.1000000000000001</v>
      </c>
      <c r="BR52" s="28">
        <v>1.73</v>
      </c>
      <c r="BS52" s="28">
        <v>0.24</v>
      </c>
    </row>
    <row r="53" spans="1:71">
      <c r="A53" s="28" t="s">
        <v>333</v>
      </c>
      <c r="B53" s="128" t="s">
        <v>332</v>
      </c>
      <c r="C53" s="129">
        <f t="shared" si="5"/>
        <v>0.67153033035127041</v>
      </c>
      <c r="D53" s="129">
        <f t="shared" si="9"/>
        <v>0.4938997268389988</v>
      </c>
      <c r="E53" s="129">
        <f t="shared" si="10"/>
        <v>4.4537624490393926</v>
      </c>
      <c r="I53" s="52" t="s">
        <v>459</v>
      </c>
      <c r="J53" s="52">
        <v>12.22</v>
      </c>
      <c r="K53" s="52"/>
      <c r="L53" s="52" t="s">
        <v>459</v>
      </c>
      <c r="M53" s="52">
        <v>22.55</v>
      </c>
      <c r="N53" s="52"/>
      <c r="O53" s="52" t="s">
        <v>459</v>
      </c>
      <c r="P53" s="52">
        <v>5.65</v>
      </c>
      <c r="W53" s="28" t="s">
        <v>459</v>
      </c>
      <c r="X53" s="99">
        <f t="shared" si="6"/>
        <v>5.2942584754145319</v>
      </c>
      <c r="Y53" s="28">
        <v>-1.44</v>
      </c>
      <c r="Z53" s="28">
        <v>0.21</v>
      </c>
      <c r="AA53" s="28">
        <v>0.69</v>
      </c>
      <c r="AB53" s="28">
        <v>1.03</v>
      </c>
      <c r="AC53" s="28">
        <v>0.23</v>
      </c>
      <c r="AG53" s="128" t="s">
        <v>457</v>
      </c>
      <c r="AH53" s="246">
        <v>237456.42199999999</v>
      </c>
      <c r="AI53" s="128">
        <v>156340.90599999999</v>
      </c>
      <c r="AJ53" s="128">
        <v>630467.81299999997</v>
      </c>
      <c r="AK53" s="128">
        <v>42918.771999999997</v>
      </c>
      <c r="AL53" s="128">
        <v>34409.516000000003</v>
      </c>
      <c r="AM53" s="128">
        <v>69611.826000000001</v>
      </c>
      <c r="AN53" s="128">
        <v>1171205.2549999999</v>
      </c>
      <c r="AQ53" s="28">
        <v>10</v>
      </c>
      <c r="AR53" s="28">
        <v>0</v>
      </c>
      <c r="AS53" s="28">
        <v>0</v>
      </c>
      <c r="AT53" s="28">
        <v>43</v>
      </c>
      <c r="AU53" s="28" t="s">
        <v>459</v>
      </c>
      <c r="AV53" s="28" t="s">
        <v>458</v>
      </c>
      <c r="AW53" s="28">
        <v>43</v>
      </c>
      <c r="AX53" s="28" t="s">
        <v>459</v>
      </c>
      <c r="AY53" s="28" t="s">
        <v>458</v>
      </c>
      <c r="BE53" s="28" t="s">
        <v>459</v>
      </c>
      <c r="BF53" s="99">
        <f t="shared" si="7"/>
        <v>9.7696831931749326</v>
      </c>
      <c r="BG53" s="28">
        <v>0.34</v>
      </c>
      <c r="BH53" s="28">
        <v>0.19</v>
      </c>
      <c r="BI53" s="28">
        <v>0.63</v>
      </c>
      <c r="BJ53" s="28">
        <v>0.43</v>
      </c>
      <c r="BK53" s="28">
        <v>0.22</v>
      </c>
      <c r="BM53" s="28" t="s">
        <v>459</v>
      </c>
      <c r="BN53" s="99">
        <f t="shared" si="8"/>
        <v>2.4478363654739854</v>
      </c>
      <c r="BO53" s="28">
        <v>-1.66</v>
      </c>
      <c r="BP53" s="28">
        <v>0.24</v>
      </c>
      <c r="BQ53" s="28">
        <v>0.92</v>
      </c>
      <c r="BR53" s="28">
        <v>1.27</v>
      </c>
      <c r="BS53" s="28">
        <v>0.25</v>
      </c>
    </row>
    <row r="54" spans="1:71">
      <c r="A54" s="28" t="s">
        <v>515</v>
      </c>
      <c r="B54" s="128" t="s">
        <v>1864</v>
      </c>
      <c r="C54" s="129">
        <f t="shared" si="5"/>
        <v>0.67153033035127041</v>
      </c>
      <c r="D54" s="129">
        <f t="shared" si="9"/>
        <v>0.67586278409547207</v>
      </c>
      <c r="E54" s="129">
        <f t="shared" si="10"/>
        <v>4.7656991186219182E-2</v>
      </c>
      <c r="I54" s="52" t="s">
        <v>462</v>
      </c>
      <c r="J54" s="52">
        <v>7.7</v>
      </c>
      <c r="K54" s="52"/>
      <c r="L54" s="52" t="s">
        <v>462</v>
      </c>
      <c r="M54" s="52">
        <v>13.54</v>
      </c>
      <c r="N54" s="52"/>
      <c r="O54" s="52" t="s">
        <v>462</v>
      </c>
      <c r="P54" s="52">
        <v>4.28</v>
      </c>
      <c r="W54" s="28" t="s">
        <v>462</v>
      </c>
      <c r="X54" s="99">
        <f t="shared" si="6"/>
        <v>3.3359893830353426</v>
      </c>
      <c r="Y54" s="28">
        <v>-1.47</v>
      </c>
      <c r="Z54" s="28">
        <v>0.19</v>
      </c>
      <c r="AA54" s="28">
        <v>0.73</v>
      </c>
      <c r="AB54" s="28">
        <v>0.38</v>
      </c>
      <c r="AC54" s="28">
        <v>0.21</v>
      </c>
      <c r="AG54" s="128" t="s">
        <v>460</v>
      </c>
      <c r="AH54" s="246">
        <v>21707.631000000001</v>
      </c>
      <c r="AI54" s="128">
        <v>21815.170999999998</v>
      </c>
      <c r="AJ54" s="128">
        <v>120392.637</v>
      </c>
      <c r="AK54" s="128">
        <v>2931.7579999999998</v>
      </c>
      <c r="AL54" s="128">
        <v>988.42200000000003</v>
      </c>
      <c r="AM54" s="128">
        <v>4166.0519999999997</v>
      </c>
      <c r="AN54" s="128">
        <v>172001.67</v>
      </c>
      <c r="AR54" s="28">
        <v>0</v>
      </c>
      <c r="AS54" s="28">
        <v>0</v>
      </c>
      <c r="AT54" s="28">
        <v>44</v>
      </c>
      <c r="AU54" s="28" t="s">
        <v>462</v>
      </c>
      <c r="AV54" s="28" t="s">
        <v>461</v>
      </c>
      <c r="AW54" s="28">
        <v>44</v>
      </c>
      <c r="AX54" s="28" t="s">
        <v>462</v>
      </c>
      <c r="AY54" s="28" t="s">
        <v>461</v>
      </c>
      <c r="BE54" s="28" t="s">
        <v>462</v>
      </c>
      <c r="BF54" s="99">
        <f t="shared" si="7"/>
        <v>5.866142369649161</v>
      </c>
      <c r="BG54" s="28">
        <v>0.25</v>
      </c>
      <c r="BH54" s="28">
        <v>0.1</v>
      </c>
      <c r="BI54" s="28">
        <v>0.27</v>
      </c>
      <c r="BJ54" s="28">
        <v>0.13</v>
      </c>
      <c r="BK54" s="28">
        <v>0.21</v>
      </c>
      <c r="BM54" s="28" t="s">
        <v>462</v>
      </c>
      <c r="BN54" s="99">
        <f t="shared" si="8"/>
        <v>1.8542902025183465</v>
      </c>
      <c r="BO54" s="28">
        <v>-1.68</v>
      </c>
      <c r="BP54" s="28">
        <v>0.26</v>
      </c>
      <c r="BQ54" s="28">
        <v>1.1000000000000001</v>
      </c>
      <c r="BR54" s="28">
        <v>1.19</v>
      </c>
      <c r="BS54" s="28">
        <v>0.23</v>
      </c>
    </row>
    <row r="55" spans="1:71">
      <c r="A55" s="28" t="s">
        <v>497</v>
      </c>
      <c r="B55" s="128" t="s">
        <v>496</v>
      </c>
      <c r="C55" s="129">
        <f t="shared" si="5"/>
        <v>0.68019523783967384</v>
      </c>
      <c r="D55" s="129">
        <f t="shared" si="9"/>
        <v>0.70618996030488423</v>
      </c>
      <c r="E55" s="129">
        <f t="shared" si="10"/>
        <v>8.664907488403489E-3</v>
      </c>
      <c r="I55" s="52" t="s">
        <v>465</v>
      </c>
      <c r="J55" s="52">
        <v>6.4</v>
      </c>
      <c r="K55" s="52"/>
      <c r="L55" s="52" t="s">
        <v>465</v>
      </c>
      <c r="M55" s="52">
        <v>19.66</v>
      </c>
      <c r="N55" s="52"/>
      <c r="O55" s="52" t="s">
        <v>465</v>
      </c>
      <c r="P55" s="52">
        <v>2.5</v>
      </c>
      <c r="W55" s="28" t="s">
        <v>465</v>
      </c>
      <c r="X55" s="99">
        <f t="shared" si="6"/>
        <v>2.7727703962891166</v>
      </c>
      <c r="Y55" s="28">
        <v>-1.22</v>
      </c>
      <c r="Z55" s="28">
        <v>7.0000000000000007E-2</v>
      </c>
      <c r="AA55" s="28">
        <v>0.12</v>
      </c>
      <c r="AB55" s="28">
        <v>1</v>
      </c>
      <c r="AC55" s="28">
        <v>-0.09</v>
      </c>
      <c r="AG55" s="128" t="s">
        <v>463</v>
      </c>
      <c r="AH55" s="246">
        <v>349668.96100000001</v>
      </c>
      <c r="AI55" s="128">
        <v>41997.042999999998</v>
      </c>
      <c r="AJ55" s="128">
        <v>342930.09399999998</v>
      </c>
      <c r="AK55" s="128">
        <v>16658.082999999999</v>
      </c>
      <c r="AL55" s="128">
        <v>10637.300999999999</v>
      </c>
      <c r="AM55" s="128">
        <v>35494.428</v>
      </c>
      <c r="AN55" s="128">
        <v>797385.91</v>
      </c>
      <c r="AR55" s="28">
        <v>0</v>
      </c>
      <c r="AS55" s="28">
        <v>0</v>
      </c>
      <c r="AT55" s="28">
        <v>45</v>
      </c>
      <c r="AU55" s="28" t="s">
        <v>465</v>
      </c>
      <c r="AV55" s="28" t="s">
        <v>464</v>
      </c>
      <c r="AW55" s="28">
        <v>45</v>
      </c>
      <c r="AX55" s="28" t="s">
        <v>465</v>
      </c>
      <c r="AY55" s="28" t="s">
        <v>464</v>
      </c>
      <c r="BE55" s="28" t="s">
        <v>465</v>
      </c>
      <c r="BF55" s="99">
        <f t="shared" si="7"/>
        <v>8.517604061100629</v>
      </c>
      <c r="BG55" s="28">
        <v>0.1</v>
      </c>
      <c r="BH55" s="28">
        <v>-0.16</v>
      </c>
      <c r="BI55" s="28">
        <v>-0.04</v>
      </c>
      <c r="BJ55" s="28">
        <v>-0.01</v>
      </c>
      <c r="BK55" s="28">
        <v>-0.3</v>
      </c>
      <c r="BM55" s="28" t="s">
        <v>465</v>
      </c>
      <c r="BN55" s="99">
        <f t="shared" si="8"/>
        <v>1.083113436050436</v>
      </c>
      <c r="BO55" s="28">
        <v>-1.89</v>
      </c>
      <c r="BP55" s="28">
        <v>0.26</v>
      </c>
      <c r="BQ55" s="28">
        <v>1.08</v>
      </c>
      <c r="BR55" s="28">
        <v>1.67</v>
      </c>
      <c r="BS55" s="28">
        <v>0.26</v>
      </c>
    </row>
    <row r="56" spans="1:71">
      <c r="A56" s="28" t="s">
        <v>491</v>
      </c>
      <c r="B56" s="128" t="s">
        <v>490</v>
      </c>
      <c r="C56" s="129">
        <f t="shared" si="5"/>
        <v>0.37259102200134997</v>
      </c>
      <c r="D56" s="129">
        <f t="shared" si="9"/>
        <v>0.4809023656063936</v>
      </c>
      <c r="E56" s="129">
        <f t="shared" si="10"/>
        <v>-2.5994722465210462E-2</v>
      </c>
      <c r="I56" s="52" t="s">
        <v>468</v>
      </c>
      <c r="J56" s="52">
        <v>1.19</v>
      </c>
      <c r="K56" s="52"/>
      <c r="L56" s="52" t="s">
        <v>468</v>
      </c>
      <c r="M56" s="52">
        <v>-1.27</v>
      </c>
      <c r="N56" s="52"/>
      <c r="O56" s="52" t="s">
        <v>468</v>
      </c>
      <c r="P56" s="52">
        <v>1.21</v>
      </c>
      <c r="W56" s="28" t="s">
        <v>468</v>
      </c>
      <c r="X56" s="99">
        <f t="shared" si="6"/>
        <v>0.51556199556000748</v>
      </c>
      <c r="Y56" s="28">
        <v>-1.63</v>
      </c>
      <c r="Z56" s="28">
        <v>0.27</v>
      </c>
      <c r="AA56" s="28">
        <v>1.25</v>
      </c>
      <c r="AB56" s="28">
        <v>1.31</v>
      </c>
      <c r="AC56" s="28">
        <v>0.23</v>
      </c>
      <c r="AG56" s="128" t="s">
        <v>466</v>
      </c>
      <c r="AH56" s="246">
        <v>148064.63200000001</v>
      </c>
      <c r="AI56" s="128">
        <v>85928.487999999998</v>
      </c>
      <c r="AJ56" s="128">
        <v>573192.18099999998</v>
      </c>
      <c r="AK56" s="128">
        <v>17170.98</v>
      </c>
      <c r="AL56" s="128">
        <v>5986.2430000000004</v>
      </c>
      <c r="AM56" s="128">
        <v>41943.832000000002</v>
      </c>
      <c r="AN56" s="128">
        <v>872286.35499999998</v>
      </c>
      <c r="AR56" s="28">
        <v>1</v>
      </c>
      <c r="AS56" s="28">
        <v>0</v>
      </c>
      <c r="AT56" s="28">
        <v>46</v>
      </c>
      <c r="AU56" s="28" t="s">
        <v>468</v>
      </c>
      <c r="AV56" s="28" t="s">
        <v>467</v>
      </c>
      <c r="AW56" s="28">
        <v>46</v>
      </c>
      <c r="AX56" s="28" t="s">
        <v>468</v>
      </c>
      <c r="AY56" s="28" t="s">
        <v>467</v>
      </c>
      <c r="BE56" s="28" t="s">
        <v>468</v>
      </c>
      <c r="BF56" s="99">
        <f t="shared" si="7"/>
        <v>-0.55022162551362153</v>
      </c>
      <c r="BG56" s="28">
        <v>-0.55000000000000004</v>
      </c>
      <c r="BH56" s="28">
        <v>0.25</v>
      </c>
      <c r="BI56" s="28">
        <v>0.33</v>
      </c>
      <c r="BJ56" s="28">
        <v>0.3</v>
      </c>
      <c r="BK56" s="28">
        <v>0.33</v>
      </c>
      <c r="BM56" s="28" t="s">
        <v>468</v>
      </c>
      <c r="BN56" s="99">
        <f t="shared" si="8"/>
        <v>0.52422690304841102</v>
      </c>
      <c r="BO56" s="28">
        <v>-1.64</v>
      </c>
      <c r="BP56" s="28">
        <v>0.27</v>
      </c>
      <c r="BQ56" s="28">
        <v>1.27</v>
      </c>
      <c r="BR56" s="28">
        <v>1.31</v>
      </c>
      <c r="BS56" s="28">
        <v>0.22</v>
      </c>
    </row>
    <row r="57" spans="1:71">
      <c r="A57" s="28" t="s">
        <v>468</v>
      </c>
      <c r="B57" s="128" t="s">
        <v>467</v>
      </c>
      <c r="C57" s="129">
        <f t="shared" si="5"/>
        <v>0.51556199556000748</v>
      </c>
      <c r="D57" s="129">
        <f t="shared" si="9"/>
        <v>0.52422690304841102</v>
      </c>
      <c r="E57" s="129">
        <f t="shared" si="10"/>
        <v>-0.55022162551362153</v>
      </c>
      <c r="I57" s="52" t="s">
        <v>471</v>
      </c>
      <c r="J57" s="52">
        <v>1.3</v>
      </c>
      <c r="K57" s="52"/>
      <c r="L57" s="52" t="s">
        <v>471</v>
      </c>
      <c r="M57" s="52">
        <v>0.11</v>
      </c>
      <c r="N57" s="52"/>
      <c r="O57" s="52" t="s">
        <v>471</v>
      </c>
      <c r="P57" s="52">
        <v>1.3</v>
      </c>
      <c r="W57" s="28" t="s">
        <v>471</v>
      </c>
      <c r="X57" s="99">
        <f t="shared" si="6"/>
        <v>0.56321898674622672</v>
      </c>
      <c r="Y57" s="28">
        <v>-0.94</v>
      </c>
      <c r="Z57" s="28">
        <v>0.33</v>
      </c>
      <c r="AA57" s="28">
        <v>1.31</v>
      </c>
      <c r="AB57" s="28">
        <v>0.19</v>
      </c>
      <c r="AC57" s="28">
        <v>0.3</v>
      </c>
      <c r="AG57" s="128" t="s">
        <v>469</v>
      </c>
      <c r="AH57" s="246">
        <v>15753.084999999999</v>
      </c>
      <c r="AI57" s="128">
        <v>3546.2579999999998</v>
      </c>
      <c r="AJ57" s="128">
        <v>35117.137999999999</v>
      </c>
      <c r="AK57" s="128">
        <v>1265.328</v>
      </c>
      <c r="AL57" s="128">
        <v>34.164000000000001</v>
      </c>
      <c r="AM57" s="128">
        <v>997.54399999999998</v>
      </c>
      <c r="AN57" s="128">
        <v>56713.517</v>
      </c>
      <c r="AR57" s="28">
        <v>1</v>
      </c>
      <c r="AS57" s="28">
        <v>0</v>
      </c>
      <c r="AT57" s="28">
        <v>47</v>
      </c>
      <c r="AU57" s="28" t="s">
        <v>471</v>
      </c>
      <c r="AV57" s="28" t="s">
        <v>470</v>
      </c>
      <c r="AW57" s="28">
        <v>47</v>
      </c>
      <c r="AX57" s="28" t="s">
        <v>471</v>
      </c>
      <c r="AY57" s="28" t="s">
        <v>470</v>
      </c>
      <c r="BE57" s="28" t="s">
        <v>471</v>
      </c>
      <c r="BF57" s="99">
        <f t="shared" si="7"/>
        <v>4.7656991186219182E-2</v>
      </c>
      <c r="BG57" s="28">
        <v>-0.3</v>
      </c>
      <c r="BH57" s="28">
        <v>0.28999999999999998</v>
      </c>
      <c r="BI57" s="28">
        <v>0.35</v>
      </c>
      <c r="BJ57" s="28">
        <v>0.35</v>
      </c>
      <c r="BK57" s="28">
        <v>0.31</v>
      </c>
      <c r="BM57" s="28" t="s">
        <v>471</v>
      </c>
      <c r="BN57" s="99">
        <f t="shared" si="8"/>
        <v>0.56321898674622672</v>
      </c>
      <c r="BO57" s="28">
        <v>-0.97</v>
      </c>
      <c r="BP57" s="28">
        <v>0.33</v>
      </c>
      <c r="BQ57" s="28">
        <v>1.31</v>
      </c>
      <c r="BR57" s="28">
        <v>0.19</v>
      </c>
      <c r="BS57" s="28">
        <v>0.3</v>
      </c>
    </row>
    <row r="58" spans="1:71">
      <c r="A58" s="28" t="s">
        <v>390</v>
      </c>
      <c r="B58" s="128" t="s">
        <v>389</v>
      </c>
      <c r="C58" s="129">
        <f t="shared" si="5"/>
        <v>0.61087597793244586</v>
      </c>
      <c r="D58" s="129">
        <f t="shared" si="9"/>
        <v>0.58488125546723546</v>
      </c>
      <c r="E58" s="129">
        <f t="shared" si="10"/>
        <v>1.5510184404242244</v>
      </c>
      <c r="I58" s="52" t="s">
        <v>474</v>
      </c>
      <c r="J58" s="52">
        <v>1.93</v>
      </c>
      <c r="K58" s="52"/>
      <c r="L58" s="52" t="s">
        <v>474</v>
      </c>
      <c r="M58" s="52">
        <v>0.18</v>
      </c>
      <c r="N58" s="52"/>
      <c r="O58" s="52" t="s">
        <v>474</v>
      </c>
      <c r="P58" s="52">
        <v>1.93</v>
      </c>
      <c r="W58" s="28" t="s">
        <v>474</v>
      </c>
      <c r="X58" s="99">
        <f t="shared" si="6"/>
        <v>0.83616357263093666</v>
      </c>
      <c r="Y58" s="28">
        <v>-2.02</v>
      </c>
      <c r="Z58" s="28">
        <v>0.34</v>
      </c>
      <c r="AA58" s="28">
        <v>1.39</v>
      </c>
      <c r="AB58" s="28">
        <v>2.0699999999999998</v>
      </c>
      <c r="AC58" s="28">
        <v>0.32</v>
      </c>
      <c r="AG58" s="128" t="s">
        <v>472</v>
      </c>
      <c r="AH58" s="246">
        <v>71486.506999999998</v>
      </c>
      <c r="AI58" s="128">
        <v>15847.28</v>
      </c>
      <c r="AJ58" s="128">
        <v>145879.06599999999</v>
      </c>
      <c r="AK58" s="128">
        <v>1027.1479999999999</v>
      </c>
      <c r="AL58" s="128">
        <v>2702.4580000000001</v>
      </c>
      <c r="AM58" s="128">
        <v>23322.309000000001</v>
      </c>
      <c r="AN58" s="128">
        <v>260264.76699999999</v>
      </c>
      <c r="AR58" s="28">
        <v>0</v>
      </c>
      <c r="AS58" s="28">
        <v>0</v>
      </c>
      <c r="AT58" s="28">
        <v>48</v>
      </c>
      <c r="AU58" s="28" t="s">
        <v>474</v>
      </c>
      <c r="AV58" s="28" t="s">
        <v>473</v>
      </c>
      <c r="AW58" s="28">
        <v>48</v>
      </c>
      <c r="AX58" s="28" t="s">
        <v>474</v>
      </c>
      <c r="AY58" s="28" t="s">
        <v>473</v>
      </c>
      <c r="BE58" s="28" t="s">
        <v>474</v>
      </c>
      <c r="BF58" s="99">
        <f t="shared" si="7"/>
        <v>7.7984167395631382E-2</v>
      </c>
      <c r="BG58" s="28">
        <v>-0.1</v>
      </c>
      <c r="BH58" s="28">
        <v>0.31</v>
      </c>
      <c r="BI58" s="28">
        <v>0.43</v>
      </c>
      <c r="BJ58" s="28">
        <v>0.43</v>
      </c>
      <c r="BK58" s="28">
        <v>0.27</v>
      </c>
      <c r="BM58" s="28" t="s">
        <v>474</v>
      </c>
      <c r="BN58" s="99">
        <f t="shared" si="8"/>
        <v>0.83616357263093666</v>
      </c>
      <c r="BO58" s="28">
        <v>-2.02</v>
      </c>
      <c r="BP58" s="28">
        <v>0.34</v>
      </c>
      <c r="BQ58" s="28">
        <v>1.39</v>
      </c>
      <c r="BR58" s="28">
        <v>2.0699999999999998</v>
      </c>
      <c r="BS58" s="28">
        <v>0.32</v>
      </c>
    </row>
    <row r="59" spans="1:71">
      <c r="A59" s="28" t="s">
        <v>482</v>
      </c>
      <c r="B59" s="128" t="s">
        <v>1865</v>
      </c>
      <c r="C59" s="129">
        <f t="shared" si="5"/>
        <v>0.58054880172303369</v>
      </c>
      <c r="D59" s="129">
        <f t="shared" si="9"/>
        <v>0.63253824665345459</v>
      </c>
      <c r="E59" s="129">
        <f t="shared" si="10"/>
        <v>3.0327176209412207E-2</v>
      </c>
      <c r="I59" s="52" t="s">
        <v>476</v>
      </c>
      <c r="J59" s="52">
        <v>2.16</v>
      </c>
      <c r="K59" s="52"/>
      <c r="L59" s="52" t="s">
        <v>476</v>
      </c>
      <c r="M59" s="52">
        <v>-0.04</v>
      </c>
      <c r="N59" s="52"/>
      <c r="O59" s="52" t="s">
        <v>476</v>
      </c>
      <c r="P59" s="52">
        <v>2.16</v>
      </c>
      <c r="W59" s="28" t="s">
        <v>476</v>
      </c>
      <c r="X59" s="99">
        <f t="shared" si="6"/>
        <v>0.9358100087475768</v>
      </c>
      <c r="Y59" s="28">
        <v>-1.84</v>
      </c>
      <c r="Z59" s="28">
        <v>0.3</v>
      </c>
      <c r="AA59" s="28">
        <v>1.33</v>
      </c>
      <c r="AB59" s="28">
        <v>2.09</v>
      </c>
      <c r="AC59" s="28">
        <v>0.28999999999999998</v>
      </c>
      <c r="AG59" s="128" t="s">
        <v>475</v>
      </c>
      <c r="AH59" s="246">
        <v>2094.3220000000001</v>
      </c>
      <c r="AI59" s="128">
        <v>783.09199999999998</v>
      </c>
      <c r="AJ59" s="128">
        <v>123481.444</v>
      </c>
      <c r="AK59" s="128">
        <v>657.48299999999995</v>
      </c>
      <c r="AL59" s="128">
        <v>106.568</v>
      </c>
      <c r="AM59" s="128">
        <v>6046.7960000000003</v>
      </c>
      <c r="AN59" s="128">
        <v>133169.70499999999</v>
      </c>
      <c r="AR59" s="28">
        <v>0</v>
      </c>
      <c r="AS59" s="28">
        <v>0</v>
      </c>
      <c r="AT59" s="28">
        <v>49</v>
      </c>
      <c r="AU59" s="28" t="s">
        <v>476</v>
      </c>
      <c r="AV59" s="28" t="s">
        <v>27</v>
      </c>
      <c r="AW59" s="28">
        <v>49</v>
      </c>
      <c r="AX59" s="28" t="s">
        <v>476</v>
      </c>
      <c r="AY59" s="28" t="s">
        <v>27</v>
      </c>
      <c r="BE59" s="28" t="s">
        <v>476</v>
      </c>
      <c r="BF59" s="99">
        <f t="shared" si="7"/>
        <v>-1.7329814976806978E-2</v>
      </c>
      <c r="BG59" s="28">
        <v>-0.77</v>
      </c>
      <c r="BH59" s="28">
        <v>0.01</v>
      </c>
      <c r="BI59" s="28">
        <v>0.17</v>
      </c>
      <c r="BJ59" s="28">
        <v>-0.42</v>
      </c>
      <c r="BK59" s="28">
        <v>-0.32</v>
      </c>
      <c r="BM59" s="28" t="s">
        <v>476</v>
      </c>
      <c r="BN59" s="99">
        <f t="shared" si="8"/>
        <v>0.9358100087475768</v>
      </c>
      <c r="BO59" s="28">
        <v>-1.85</v>
      </c>
      <c r="BP59" s="28">
        <v>0.3</v>
      </c>
      <c r="BQ59" s="28">
        <v>1.33</v>
      </c>
      <c r="BR59" s="28">
        <v>2.11</v>
      </c>
      <c r="BS59" s="28">
        <v>0.28999999999999998</v>
      </c>
    </row>
    <row r="60" spans="1:71">
      <c r="A60" s="28" t="s">
        <v>471</v>
      </c>
      <c r="B60" s="128" t="s">
        <v>470</v>
      </c>
      <c r="C60" s="129">
        <f t="shared" si="5"/>
        <v>0.56321898674622672</v>
      </c>
      <c r="D60" s="129">
        <f t="shared" si="9"/>
        <v>0.56321898674622672</v>
      </c>
      <c r="E60" s="129">
        <f t="shared" si="10"/>
        <v>4.7656991186219182E-2</v>
      </c>
      <c r="I60" s="52" t="s">
        <v>479</v>
      </c>
      <c r="J60" s="52">
        <v>1.46</v>
      </c>
      <c r="K60" s="52"/>
      <c r="L60" s="52" t="s">
        <v>479</v>
      </c>
      <c r="M60" s="52">
        <v>-0.82</v>
      </c>
      <c r="N60" s="52"/>
      <c r="O60" s="52" t="s">
        <v>479</v>
      </c>
      <c r="P60" s="52">
        <v>1.46</v>
      </c>
      <c r="W60" s="28" t="s">
        <v>479</v>
      </c>
      <c r="X60" s="99">
        <f t="shared" si="6"/>
        <v>0.63253824665345459</v>
      </c>
      <c r="Y60" s="28">
        <v>-2.14</v>
      </c>
      <c r="Z60" s="28">
        <v>0.34</v>
      </c>
      <c r="AA60" s="28">
        <v>1.37</v>
      </c>
      <c r="AB60" s="28">
        <v>2.25</v>
      </c>
      <c r="AC60" s="28">
        <v>0.32</v>
      </c>
      <c r="AG60" s="128" t="s">
        <v>477</v>
      </c>
      <c r="AH60" s="246">
        <v>1938648.733</v>
      </c>
      <c r="AI60" s="128">
        <v>319326.239</v>
      </c>
      <c r="AJ60" s="128">
        <v>3062551.7620000001</v>
      </c>
      <c r="AK60" s="128">
        <v>147595.36199999999</v>
      </c>
      <c r="AL60" s="128">
        <v>107280.867</v>
      </c>
      <c r="AM60" s="128">
        <v>300262.30800000002</v>
      </c>
      <c r="AN60" s="128">
        <v>5875665.2719999999</v>
      </c>
      <c r="AR60" s="28">
        <v>0</v>
      </c>
      <c r="AS60" s="28">
        <v>0</v>
      </c>
      <c r="AT60" s="28">
        <v>50</v>
      </c>
      <c r="AU60" s="28" t="s">
        <v>479</v>
      </c>
      <c r="AV60" s="28" t="s">
        <v>478</v>
      </c>
      <c r="AW60" s="28">
        <v>50</v>
      </c>
      <c r="AX60" s="28" t="s">
        <v>479</v>
      </c>
      <c r="AY60" s="28" t="s">
        <v>478</v>
      </c>
      <c r="BE60" s="28" t="s">
        <v>479</v>
      </c>
      <c r="BF60" s="99">
        <f t="shared" si="7"/>
        <v>-0.35526120702454295</v>
      </c>
      <c r="BG60" s="28">
        <v>-1.26</v>
      </c>
      <c r="BH60" s="28">
        <v>0.02</v>
      </c>
      <c r="BI60" s="28">
        <v>-0.21</v>
      </c>
      <c r="BJ60" s="28">
        <v>-0.04</v>
      </c>
      <c r="BK60" s="28">
        <v>-0.31</v>
      </c>
      <c r="BM60" s="28" t="s">
        <v>479</v>
      </c>
      <c r="BN60" s="99">
        <f t="shared" si="8"/>
        <v>0.63253824665345459</v>
      </c>
      <c r="BO60" s="28">
        <v>-2.14</v>
      </c>
      <c r="BP60" s="28">
        <v>0.34</v>
      </c>
      <c r="BQ60" s="28">
        <v>1.38</v>
      </c>
      <c r="BR60" s="28">
        <v>2.25</v>
      </c>
      <c r="BS60" s="28">
        <v>0.32</v>
      </c>
    </row>
    <row r="61" spans="1:71">
      <c r="A61" s="28" t="s">
        <v>512</v>
      </c>
      <c r="B61" s="128" t="s">
        <v>1866</v>
      </c>
      <c r="C61" s="129">
        <f t="shared" si="5"/>
        <v>0.62820579290925282</v>
      </c>
      <c r="D61" s="129">
        <f t="shared" si="9"/>
        <v>0.63253824665345459</v>
      </c>
      <c r="E61" s="129">
        <f t="shared" si="10"/>
        <v>-3.8992083697815691E-2</v>
      </c>
      <c r="I61" s="52" t="s">
        <v>482</v>
      </c>
      <c r="J61" s="52">
        <v>1.34</v>
      </c>
      <c r="K61" s="52"/>
      <c r="L61" s="52" t="s">
        <v>482</v>
      </c>
      <c r="M61" s="52">
        <v>7.0000000000000007E-2</v>
      </c>
      <c r="N61" s="52"/>
      <c r="O61" s="52" t="s">
        <v>482</v>
      </c>
      <c r="P61" s="52">
        <v>1.46</v>
      </c>
      <c r="W61" s="28" t="s">
        <v>482</v>
      </c>
      <c r="X61" s="99">
        <f t="shared" si="6"/>
        <v>0.58054880172303369</v>
      </c>
      <c r="Y61" s="28">
        <v>-1.62</v>
      </c>
      <c r="Z61" s="28">
        <v>0.32</v>
      </c>
      <c r="AA61" s="28">
        <v>0.97</v>
      </c>
      <c r="AB61" s="28">
        <v>1.89</v>
      </c>
      <c r="AC61" s="28">
        <v>0.28000000000000003</v>
      </c>
      <c r="AG61" s="128" t="s">
        <v>480</v>
      </c>
      <c r="AH61" s="246">
        <v>913283.71900000004</v>
      </c>
      <c r="AI61" s="128">
        <v>319528.18800000002</v>
      </c>
      <c r="AJ61" s="128">
        <v>1949435.953</v>
      </c>
      <c r="AK61" s="128">
        <v>74231.350000000006</v>
      </c>
      <c r="AL61" s="128">
        <v>39442.114000000001</v>
      </c>
      <c r="AM61" s="128">
        <v>301594.69500000001</v>
      </c>
      <c r="AN61" s="128">
        <v>3597516.0180000002</v>
      </c>
      <c r="AR61" s="28">
        <v>0</v>
      </c>
      <c r="AS61" s="28">
        <v>0</v>
      </c>
      <c r="AT61" s="28">
        <v>51</v>
      </c>
      <c r="AU61" s="28" t="s">
        <v>482</v>
      </c>
      <c r="AV61" s="28" t="s">
        <v>481</v>
      </c>
      <c r="AW61" s="28">
        <v>51</v>
      </c>
      <c r="AX61" s="28" t="s">
        <v>482</v>
      </c>
      <c r="AY61" s="28" t="s">
        <v>481</v>
      </c>
      <c r="BE61" s="28" t="s">
        <v>482</v>
      </c>
      <c r="BF61" s="99">
        <f t="shared" si="7"/>
        <v>3.0327176209412207E-2</v>
      </c>
      <c r="BG61" s="28">
        <v>-0.32</v>
      </c>
      <c r="BH61" s="28">
        <v>0.27</v>
      </c>
      <c r="BI61" s="28">
        <v>0.44</v>
      </c>
      <c r="BJ61" s="28">
        <v>0.36</v>
      </c>
      <c r="BK61" s="28">
        <v>0.22</v>
      </c>
      <c r="BM61" s="28" t="s">
        <v>482</v>
      </c>
      <c r="BN61" s="99">
        <f t="shared" si="8"/>
        <v>0.63253824665345459</v>
      </c>
      <c r="BO61" s="28">
        <v>-1.94</v>
      </c>
      <c r="BP61" s="28">
        <v>0.33</v>
      </c>
      <c r="BQ61" s="28">
        <v>1.25</v>
      </c>
      <c r="BR61" s="28">
        <v>2.15</v>
      </c>
      <c r="BS61" s="28">
        <v>0.28999999999999998</v>
      </c>
    </row>
    <row r="62" spans="1:71">
      <c r="A62" s="28" t="s">
        <v>479</v>
      </c>
      <c r="B62" s="128" t="s">
        <v>478</v>
      </c>
      <c r="C62" s="129">
        <f t="shared" si="5"/>
        <v>0.63253824665345459</v>
      </c>
      <c r="D62" s="129">
        <f t="shared" si="9"/>
        <v>0.63253824665345459</v>
      </c>
      <c r="E62" s="129">
        <f t="shared" si="10"/>
        <v>-0.35526120702454295</v>
      </c>
      <c r="I62" s="52" t="s">
        <v>485</v>
      </c>
      <c r="J62" s="52">
        <v>1.37</v>
      </c>
      <c r="K62" s="52"/>
      <c r="L62" s="52" t="s">
        <v>485</v>
      </c>
      <c r="M62" s="52">
        <v>7.0000000000000007E-2</v>
      </c>
      <c r="N62" s="52"/>
      <c r="O62" s="52" t="s">
        <v>485</v>
      </c>
      <c r="P62" s="52">
        <v>1.38</v>
      </c>
      <c r="W62" s="28" t="s">
        <v>485</v>
      </c>
      <c r="X62" s="99">
        <f t="shared" si="6"/>
        <v>0.593546162955639</v>
      </c>
      <c r="Y62" s="28">
        <v>-1.92</v>
      </c>
      <c r="Z62" s="28">
        <v>0.32</v>
      </c>
      <c r="AA62" s="28">
        <v>1.19</v>
      </c>
      <c r="AB62" s="28">
        <v>1.83</v>
      </c>
      <c r="AC62" s="28">
        <v>0.3</v>
      </c>
      <c r="AG62" s="128" t="s">
        <v>483</v>
      </c>
      <c r="AH62" s="246">
        <v>192562.31400000001</v>
      </c>
      <c r="AI62" s="128">
        <v>177072.46900000001</v>
      </c>
      <c r="AJ62" s="128">
        <v>780481.12300000002</v>
      </c>
      <c r="AK62" s="128">
        <v>18105.625</v>
      </c>
      <c r="AL62" s="128">
        <v>63241.449000000001</v>
      </c>
      <c r="AM62" s="128">
        <v>79897.667000000001</v>
      </c>
      <c r="AN62" s="128">
        <v>1311360.6470000001</v>
      </c>
      <c r="AR62" s="28">
        <v>0</v>
      </c>
      <c r="AS62" s="28">
        <v>0</v>
      </c>
      <c r="AT62" s="28">
        <v>52</v>
      </c>
      <c r="AU62" s="28" t="s">
        <v>485</v>
      </c>
      <c r="AV62" s="28" t="s">
        <v>484</v>
      </c>
      <c r="AW62" s="28">
        <v>52</v>
      </c>
      <c r="AX62" s="28" t="s">
        <v>485</v>
      </c>
      <c r="AY62" s="28" t="s">
        <v>484</v>
      </c>
      <c r="BE62" s="28" t="s">
        <v>485</v>
      </c>
      <c r="BF62" s="99">
        <f t="shared" si="7"/>
        <v>3.0327176209412207E-2</v>
      </c>
      <c r="BG62" s="28">
        <v>-0.25</v>
      </c>
      <c r="BH62" s="28">
        <v>0.23</v>
      </c>
      <c r="BI62" s="28">
        <v>0.28999999999999998</v>
      </c>
      <c r="BJ62" s="28">
        <v>0.31</v>
      </c>
      <c r="BK62" s="28">
        <v>0.16</v>
      </c>
      <c r="BM62" s="28" t="s">
        <v>485</v>
      </c>
      <c r="BN62" s="99">
        <f t="shared" si="8"/>
        <v>0.59787861669984066</v>
      </c>
      <c r="BO62" s="28">
        <v>-1.94</v>
      </c>
      <c r="BP62" s="28">
        <v>0.32</v>
      </c>
      <c r="BQ62" s="28">
        <v>1.21</v>
      </c>
      <c r="BR62" s="28">
        <v>1.83</v>
      </c>
      <c r="BS62" s="28">
        <v>0.31</v>
      </c>
    </row>
    <row r="63" spans="1:71">
      <c r="A63" s="28" t="s">
        <v>509</v>
      </c>
      <c r="B63" s="128" t="s">
        <v>508</v>
      </c>
      <c r="C63" s="129">
        <f t="shared" si="5"/>
        <v>0.63687070039765636</v>
      </c>
      <c r="D63" s="129">
        <f t="shared" si="9"/>
        <v>0.64120315414185813</v>
      </c>
      <c r="E63" s="129">
        <f t="shared" si="10"/>
        <v>2.1662268721008723E-2</v>
      </c>
      <c r="I63" s="52" t="s">
        <v>488</v>
      </c>
      <c r="J63" s="52">
        <v>1.34</v>
      </c>
      <c r="K63" s="52"/>
      <c r="L63" s="52" t="s">
        <v>488</v>
      </c>
      <c r="M63" s="52">
        <v>-0.09</v>
      </c>
      <c r="N63" s="52"/>
      <c r="O63" s="52" t="s">
        <v>488</v>
      </c>
      <c r="P63" s="52">
        <v>1.36</v>
      </c>
      <c r="W63" s="28" t="s">
        <v>488</v>
      </c>
      <c r="X63" s="99">
        <f t="shared" si="6"/>
        <v>0.58054880172303369</v>
      </c>
      <c r="Y63" s="28">
        <v>-1.53</v>
      </c>
      <c r="Z63" s="28">
        <v>0.24</v>
      </c>
      <c r="AA63" s="28">
        <v>0.64</v>
      </c>
      <c r="AB63" s="28">
        <v>2.0499999999999998</v>
      </c>
      <c r="AC63" s="28">
        <v>0.17</v>
      </c>
      <c r="AG63" s="128" t="s">
        <v>486</v>
      </c>
      <c r="AH63" s="246">
        <v>22583.327000000001</v>
      </c>
      <c r="AI63" s="128">
        <v>9232.3790000000008</v>
      </c>
      <c r="AJ63" s="128">
        <v>53146.09</v>
      </c>
      <c r="AK63" s="128">
        <v>611.59400000000005</v>
      </c>
      <c r="AL63" s="128">
        <v>1026.354</v>
      </c>
      <c r="AM63" s="128">
        <v>4795.1019999999999</v>
      </c>
      <c r="AN63" s="128">
        <v>91394.845000000001</v>
      </c>
      <c r="AR63" s="28">
        <v>0</v>
      </c>
      <c r="AS63" s="28">
        <v>0</v>
      </c>
      <c r="AT63" s="28">
        <v>53</v>
      </c>
      <c r="AU63" s="28" t="s">
        <v>488</v>
      </c>
      <c r="AV63" s="28" t="s">
        <v>487</v>
      </c>
      <c r="AW63" s="28">
        <v>53</v>
      </c>
      <c r="AX63" s="28" t="s">
        <v>488</v>
      </c>
      <c r="AY63" s="28" t="s">
        <v>487</v>
      </c>
      <c r="BE63" s="28" t="s">
        <v>488</v>
      </c>
      <c r="BF63" s="99">
        <f t="shared" si="7"/>
        <v>-3.8992083697815691E-2</v>
      </c>
      <c r="BG63" s="28">
        <v>-0.41</v>
      </c>
      <c r="BH63" s="28">
        <v>0.08</v>
      </c>
      <c r="BI63" s="28">
        <v>-0.06</v>
      </c>
      <c r="BJ63" s="28">
        <v>0.31</v>
      </c>
      <c r="BK63" s="28">
        <v>-0.11</v>
      </c>
      <c r="BM63" s="28" t="s">
        <v>488</v>
      </c>
      <c r="BN63" s="99">
        <f t="shared" si="8"/>
        <v>0.58921370921143723</v>
      </c>
      <c r="BO63" s="28">
        <v>-1.6</v>
      </c>
      <c r="BP63" s="28">
        <v>0.28000000000000003</v>
      </c>
      <c r="BQ63" s="28">
        <v>1.01</v>
      </c>
      <c r="BR63" s="28">
        <v>2.06</v>
      </c>
      <c r="BS63" s="28">
        <v>0.22</v>
      </c>
    </row>
    <row r="64" spans="1:71">
      <c r="A64" s="28" t="s">
        <v>375</v>
      </c>
      <c r="B64" s="128" t="s">
        <v>374</v>
      </c>
      <c r="C64" s="129">
        <f t="shared" si="5"/>
        <v>0.20362532597748198</v>
      </c>
      <c r="D64" s="129">
        <f t="shared" si="9"/>
        <v>0.20362532597748198</v>
      </c>
      <c r="E64" s="129">
        <f t="shared" si="10"/>
        <v>-1.7329814976806978E-2</v>
      </c>
      <c r="I64" s="52" t="s">
        <v>491</v>
      </c>
      <c r="J64" s="52">
        <v>0.86</v>
      </c>
      <c r="K64" s="52"/>
      <c r="L64" s="52" t="s">
        <v>491</v>
      </c>
      <c r="M64" s="52">
        <v>-0.06</v>
      </c>
      <c r="N64" s="52"/>
      <c r="O64" s="52" t="s">
        <v>491</v>
      </c>
      <c r="P64" s="52">
        <v>1.1100000000000001</v>
      </c>
      <c r="W64" s="28" t="s">
        <v>491</v>
      </c>
      <c r="X64" s="99">
        <f t="shared" si="6"/>
        <v>0.37259102200134997</v>
      </c>
      <c r="Y64" s="28">
        <v>-1.21</v>
      </c>
      <c r="Z64" s="28">
        <v>0.26</v>
      </c>
      <c r="AA64" s="28">
        <v>0.56999999999999995</v>
      </c>
      <c r="AB64" s="28">
        <v>1.21</v>
      </c>
      <c r="AC64" s="28">
        <v>0.22</v>
      </c>
      <c r="AG64" s="128" t="s">
        <v>489</v>
      </c>
      <c r="AH64" s="246">
        <v>147721.81400000001</v>
      </c>
      <c r="AI64" s="128">
        <v>21365.5</v>
      </c>
      <c r="AJ64" s="128">
        <v>256140.90599999999</v>
      </c>
      <c r="AK64" s="128">
        <v>16032.316000000001</v>
      </c>
      <c r="AL64" s="128">
        <v>10533.439</v>
      </c>
      <c r="AM64" s="128">
        <v>24412.984</v>
      </c>
      <c r="AN64" s="128">
        <v>476206.96</v>
      </c>
      <c r="AR64" s="28">
        <v>0</v>
      </c>
      <c r="AS64" s="28">
        <v>0</v>
      </c>
      <c r="AT64" s="28">
        <v>54</v>
      </c>
      <c r="AU64" s="28" t="s">
        <v>491</v>
      </c>
      <c r="AV64" s="28" t="s">
        <v>490</v>
      </c>
      <c r="AW64" s="28">
        <v>54</v>
      </c>
      <c r="AX64" s="28" t="s">
        <v>491</v>
      </c>
      <c r="AY64" s="28" t="s">
        <v>490</v>
      </c>
      <c r="BE64" s="28" t="s">
        <v>491</v>
      </c>
      <c r="BF64" s="99">
        <f t="shared" si="7"/>
        <v>-2.5994722465210462E-2</v>
      </c>
      <c r="BG64" s="28">
        <v>0.01</v>
      </c>
      <c r="BH64" s="28">
        <v>0.21</v>
      </c>
      <c r="BI64" s="28">
        <v>0.21</v>
      </c>
      <c r="BJ64" s="28">
        <v>0.34</v>
      </c>
      <c r="BK64" s="28">
        <v>0.18</v>
      </c>
      <c r="BM64" s="28" t="s">
        <v>491</v>
      </c>
      <c r="BN64" s="99">
        <f t="shared" si="8"/>
        <v>0.4809023656063936</v>
      </c>
      <c r="BO64" s="28">
        <v>-1.71</v>
      </c>
      <c r="BP64" s="28">
        <v>0.28999999999999998</v>
      </c>
      <c r="BQ64" s="28">
        <v>1.06</v>
      </c>
      <c r="BR64" s="28">
        <v>1.73</v>
      </c>
      <c r="BS64" s="28">
        <v>0.26</v>
      </c>
    </row>
    <row r="65" spans="1:71">
      <c r="A65" s="28" t="s">
        <v>506</v>
      </c>
      <c r="B65" s="128" t="s">
        <v>505</v>
      </c>
      <c r="C65" s="129">
        <f t="shared" si="5"/>
        <v>0.57188389423463026</v>
      </c>
      <c r="D65" s="129">
        <f t="shared" si="9"/>
        <v>0.57188389423463026</v>
      </c>
      <c r="E65" s="129">
        <f t="shared" si="10"/>
        <v>6.0654352418824414E-2</v>
      </c>
      <c r="I65" s="52" t="s">
        <v>494</v>
      </c>
      <c r="J65" s="52">
        <v>1.84</v>
      </c>
      <c r="K65" s="52"/>
      <c r="L65" s="52" t="s">
        <v>494</v>
      </c>
      <c r="M65" s="52">
        <v>-0.09</v>
      </c>
      <c r="N65" s="52"/>
      <c r="O65" s="52" t="s">
        <v>494</v>
      </c>
      <c r="P65" s="52">
        <v>1.84</v>
      </c>
      <c r="W65" s="28" t="s">
        <v>494</v>
      </c>
      <c r="X65" s="99">
        <f t="shared" si="6"/>
        <v>0.79717148893312095</v>
      </c>
      <c r="Y65" s="28">
        <v>-1.97</v>
      </c>
      <c r="Z65" s="28">
        <v>0.33</v>
      </c>
      <c r="AA65" s="28">
        <v>1.39</v>
      </c>
      <c r="AB65" s="28">
        <v>2.1</v>
      </c>
      <c r="AC65" s="28">
        <v>0.31</v>
      </c>
      <c r="AG65" s="128" t="s">
        <v>492</v>
      </c>
      <c r="AH65" s="246">
        <v>4928.192</v>
      </c>
      <c r="AI65" s="128">
        <v>4988.1279999999997</v>
      </c>
      <c r="AJ65" s="128">
        <v>119298.19500000001</v>
      </c>
      <c r="AK65" s="128">
        <v>809.65</v>
      </c>
      <c r="AL65" s="128">
        <v>3864.2080000000001</v>
      </c>
      <c r="AM65" s="128">
        <v>18131.851999999999</v>
      </c>
      <c r="AN65" s="128">
        <v>152020.22500000001</v>
      </c>
      <c r="AR65" s="28">
        <v>0</v>
      </c>
      <c r="AS65" s="28">
        <v>0</v>
      </c>
      <c r="AT65" s="28">
        <v>55</v>
      </c>
      <c r="AU65" s="28" t="s">
        <v>494</v>
      </c>
      <c r="AV65" s="28" t="s">
        <v>493</v>
      </c>
      <c r="AW65" s="28">
        <v>55</v>
      </c>
      <c r="AX65" s="28" t="s">
        <v>494</v>
      </c>
      <c r="AY65" s="28" t="s">
        <v>493</v>
      </c>
      <c r="BE65" s="28" t="s">
        <v>494</v>
      </c>
      <c r="BF65" s="99">
        <f t="shared" si="7"/>
        <v>-3.8992083697815691E-2</v>
      </c>
      <c r="BG65" s="28">
        <v>-0.37</v>
      </c>
      <c r="BH65" s="28">
        <v>0.17</v>
      </c>
      <c r="BI65" s="28">
        <v>7.0000000000000007E-2</v>
      </c>
      <c r="BJ65" s="28">
        <v>0.4</v>
      </c>
      <c r="BK65" s="28">
        <v>-0.05</v>
      </c>
      <c r="BM65" s="28" t="s">
        <v>494</v>
      </c>
      <c r="BN65" s="99">
        <f t="shared" si="8"/>
        <v>0.79717148893312095</v>
      </c>
      <c r="BO65" s="28">
        <v>-1.97</v>
      </c>
      <c r="BP65" s="28">
        <v>0.33</v>
      </c>
      <c r="BQ65" s="28">
        <v>1.39</v>
      </c>
      <c r="BR65" s="28">
        <v>2.1</v>
      </c>
      <c r="BS65" s="28">
        <v>0.32</v>
      </c>
    </row>
    <row r="66" spans="1:71">
      <c r="A66" s="28" t="s">
        <v>518</v>
      </c>
      <c r="B66" s="128" t="s">
        <v>517</v>
      </c>
      <c r="C66" s="129">
        <f t="shared" si="5"/>
        <v>0.56755144049042849</v>
      </c>
      <c r="D66" s="129">
        <f t="shared" si="9"/>
        <v>0.58921370921143723</v>
      </c>
      <c r="E66" s="129">
        <f t="shared" si="10"/>
        <v>8.664907488403489E-3</v>
      </c>
      <c r="I66" s="52" t="s">
        <v>497</v>
      </c>
      <c r="J66" s="52">
        <v>1.57</v>
      </c>
      <c r="K66" s="52"/>
      <c r="L66" s="52" t="s">
        <v>497</v>
      </c>
      <c r="M66" s="52">
        <v>0.02</v>
      </c>
      <c r="N66" s="52"/>
      <c r="O66" s="52" t="s">
        <v>497</v>
      </c>
      <c r="P66" s="52">
        <v>1.63</v>
      </c>
      <c r="W66" s="28" t="s">
        <v>497</v>
      </c>
      <c r="X66" s="99">
        <f t="shared" si="6"/>
        <v>0.68019523783967384</v>
      </c>
      <c r="Y66" s="28">
        <v>-1.84</v>
      </c>
      <c r="Z66" s="28">
        <v>0.33</v>
      </c>
      <c r="AA66" s="28">
        <v>1.19</v>
      </c>
      <c r="AB66" s="28">
        <v>1.96</v>
      </c>
      <c r="AC66" s="28">
        <v>0.3</v>
      </c>
      <c r="AG66" s="128" t="s">
        <v>495</v>
      </c>
      <c r="AH66" s="246">
        <v>535553.48600000003</v>
      </c>
      <c r="AI66" s="128">
        <v>139749.40900000001</v>
      </c>
      <c r="AJ66" s="128">
        <v>1006696.3050000001</v>
      </c>
      <c r="AK66" s="128">
        <v>38087.945</v>
      </c>
      <c r="AL66" s="128">
        <v>26439.327000000001</v>
      </c>
      <c r="AM66" s="128">
        <v>123541.71799999999</v>
      </c>
      <c r="AN66" s="128">
        <v>1870068.19</v>
      </c>
      <c r="AR66" s="28">
        <v>0</v>
      </c>
      <c r="AS66" s="28">
        <v>0</v>
      </c>
      <c r="AT66" s="28">
        <v>56</v>
      </c>
      <c r="AU66" s="28" t="s">
        <v>497</v>
      </c>
      <c r="AV66" s="28" t="s">
        <v>496</v>
      </c>
      <c r="AW66" s="28">
        <v>56</v>
      </c>
      <c r="AX66" s="28" t="s">
        <v>497</v>
      </c>
      <c r="AY66" s="28" t="s">
        <v>496</v>
      </c>
      <c r="BE66" s="28" t="s">
        <v>497</v>
      </c>
      <c r="BF66" s="99">
        <f t="shared" si="7"/>
        <v>8.664907488403489E-3</v>
      </c>
      <c r="BG66" s="28">
        <v>-0.04</v>
      </c>
      <c r="BH66" s="28">
        <v>0.28999999999999998</v>
      </c>
      <c r="BI66" s="28">
        <v>0.35</v>
      </c>
      <c r="BJ66" s="28">
        <v>0.27</v>
      </c>
      <c r="BK66" s="28">
        <v>0.22</v>
      </c>
      <c r="BM66" s="28" t="s">
        <v>497</v>
      </c>
      <c r="BN66" s="99">
        <f t="shared" si="8"/>
        <v>0.70618996030488423</v>
      </c>
      <c r="BO66" s="28">
        <v>-1.95</v>
      </c>
      <c r="BP66" s="28">
        <v>0.33</v>
      </c>
      <c r="BQ66" s="28">
        <v>1.27</v>
      </c>
      <c r="BR66" s="28">
        <v>2.08</v>
      </c>
      <c r="BS66" s="28">
        <v>0.31</v>
      </c>
    </row>
    <row r="67" spans="1:71">
      <c r="A67" s="28" t="s">
        <v>360</v>
      </c>
      <c r="B67" s="128" t="s">
        <v>359</v>
      </c>
      <c r="C67" s="129">
        <f t="shared" si="5"/>
        <v>0.54155671802521799</v>
      </c>
      <c r="D67" s="129">
        <f t="shared" si="9"/>
        <v>0.37692347574555174</v>
      </c>
      <c r="E67" s="129">
        <f t="shared" si="10"/>
        <v>3.6435935988736667</v>
      </c>
      <c r="I67" s="52" t="s">
        <v>500</v>
      </c>
      <c r="J67" s="52">
        <v>1.24</v>
      </c>
      <c r="K67" s="52"/>
      <c r="L67" s="52" t="s">
        <v>500</v>
      </c>
      <c r="M67" s="52">
        <v>0.13</v>
      </c>
      <c r="N67" s="52"/>
      <c r="O67" s="52" t="s">
        <v>500</v>
      </c>
      <c r="P67" s="52">
        <v>1.24</v>
      </c>
      <c r="W67" s="28" t="s">
        <v>500</v>
      </c>
      <c r="X67" s="99">
        <f t="shared" si="6"/>
        <v>0.53722426428101622</v>
      </c>
      <c r="Y67" s="28">
        <v>-2.13</v>
      </c>
      <c r="Z67" s="28">
        <v>0.34</v>
      </c>
      <c r="AA67" s="28">
        <v>1.27</v>
      </c>
      <c r="AB67" s="28">
        <v>2.2400000000000002</v>
      </c>
      <c r="AC67" s="28">
        <v>0.31</v>
      </c>
      <c r="AG67" s="128" t="s">
        <v>498</v>
      </c>
      <c r="AH67" s="246">
        <v>483914.82799999998</v>
      </c>
      <c r="AI67" s="128">
        <v>165998.42600000001</v>
      </c>
      <c r="AJ67" s="128">
        <v>682740.41200000001</v>
      </c>
      <c r="AK67" s="128">
        <v>58437.186000000002</v>
      </c>
      <c r="AL67" s="128">
        <v>38424.175000000003</v>
      </c>
      <c r="AM67" s="128">
        <v>80413.766000000003</v>
      </c>
      <c r="AN67" s="128">
        <v>1509928.7930000001</v>
      </c>
      <c r="AR67" s="28">
        <v>0</v>
      </c>
      <c r="AS67" s="28">
        <v>0</v>
      </c>
      <c r="AT67" s="28">
        <v>57</v>
      </c>
      <c r="AU67" s="28" t="s">
        <v>500</v>
      </c>
      <c r="AV67" s="28" t="s">
        <v>499</v>
      </c>
      <c r="AW67" s="28">
        <v>57</v>
      </c>
      <c r="AX67" s="28" t="s">
        <v>500</v>
      </c>
      <c r="AY67" s="28" t="s">
        <v>499</v>
      </c>
      <c r="BE67" s="28" t="s">
        <v>500</v>
      </c>
      <c r="BF67" s="99">
        <f t="shared" si="7"/>
        <v>5.6321898674622679E-2</v>
      </c>
      <c r="BG67" s="28">
        <v>-0.09</v>
      </c>
      <c r="BH67" s="28">
        <v>0.27</v>
      </c>
      <c r="BI67" s="28">
        <v>0.33</v>
      </c>
      <c r="BJ67" s="28">
        <v>0.4</v>
      </c>
      <c r="BK67" s="28">
        <v>7.0000000000000007E-2</v>
      </c>
      <c r="BM67" s="28" t="s">
        <v>500</v>
      </c>
      <c r="BN67" s="99">
        <f t="shared" si="8"/>
        <v>0.53722426428101622</v>
      </c>
      <c r="BO67" s="28">
        <v>-2.17</v>
      </c>
      <c r="BP67" s="28">
        <v>0.35</v>
      </c>
      <c r="BQ67" s="28">
        <v>1.34</v>
      </c>
      <c r="BR67" s="28">
        <v>2.2599999999999998</v>
      </c>
      <c r="BS67" s="28">
        <v>0.32</v>
      </c>
    </row>
    <row r="68" spans="1:71">
      <c r="A68" s="28" t="s">
        <v>503</v>
      </c>
      <c r="B68" s="128" t="s">
        <v>502</v>
      </c>
      <c r="C68" s="129">
        <f t="shared" si="5"/>
        <v>0.49823218058320051</v>
      </c>
      <c r="D68" s="129">
        <f t="shared" si="9"/>
        <v>0.51989444930420925</v>
      </c>
      <c r="E68" s="129">
        <f t="shared" si="10"/>
        <v>9.5313982372438363E-2</v>
      </c>
      <c r="I68" s="52" t="s">
        <v>503</v>
      </c>
      <c r="J68" s="52">
        <v>1.1499999999999999</v>
      </c>
      <c r="K68" s="52"/>
      <c r="L68" s="52" t="s">
        <v>503</v>
      </c>
      <c r="M68" s="52">
        <v>0.22</v>
      </c>
      <c r="N68" s="52"/>
      <c r="O68" s="52" t="s">
        <v>503</v>
      </c>
      <c r="P68" s="52">
        <v>1.2</v>
      </c>
      <c r="W68" s="28" t="s">
        <v>503</v>
      </c>
      <c r="X68" s="99">
        <f t="shared" si="6"/>
        <v>0.49823218058320051</v>
      </c>
      <c r="Y68" s="28">
        <v>-2.0499999999999998</v>
      </c>
      <c r="Z68" s="28">
        <v>0.34</v>
      </c>
      <c r="AA68" s="28">
        <v>1.1599999999999999</v>
      </c>
      <c r="AB68" s="28">
        <v>2.0499999999999998</v>
      </c>
      <c r="AC68" s="28">
        <v>0.32</v>
      </c>
      <c r="AG68" s="128" t="s">
        <v>501</v>
      </c>
      <c r="AH68" s="246">
        <v>499028.03899999999</v>
      </c>
      <c r="AI68" s="128">
        <v>135117.576</v>
      </c>
      <c r="AJ68" s="128">
        <v>560610.549</v>
      </c>
      <c r="AK68" s="128">
        <v>21744.621999999999</v>
      </c>
      <c r="AL68" s="128">
        <v>10702.816000000001</v>
      </c>
      <c r="AM68" s="128">
        <v>83564.585999999996</v>
      </c>
      <c r="AN68" s="128">
        <v>1310768.1880000001</v>
      </c>
      <c r="AR68" s="28">
        <v>0</v>
      </c>
      <c r="AS68" s="28">
        <v>0</v>
      </c>
      <c r="AT68" s="28">
        <v>58</v>
      </c>
      <c r="AU68" s="28" t="s">
        <v>503</v>
      </c>
      <c r="AV68" s="28" t="s">
        <v>502</v>
      </c>
      <c r="AW68" s="28">
        <v>58</v>
      </c>
      <c r="AX68" s="28" t="s">
        <v>503</v>
      </c>
      <c r="AY68" s="28" t="s">
        <v>502</v>
      </c>
      <c r="BE68" s="28" t="s">
        <v>503</v>
      </c>
      <c r="BF68" s="99">
        <f t="shared" si="7"/>
        <v>9.5313982372438363E-2</v>
      </c>
      <c r="BG68" s="28">
        <v>-0.36</v>
      </c>
      <c r="BH68" s="28">
        <v>0.26</v>
      </c>
      <c r="BI68" s="28">
        <v>0.37</v>
      </c>
      <c r="BJ68" s="28">
        <v>0.31</v>
      </c>
      <c r="BK68" s="28">
        <v>0.22</v>
      </c>
      <c r="BM68" s="28" t="s">
        <v>503</v>
      </c>
      <c r="BN68" s="99">
        <f t="shared" si="8"/>
        <v>0.51989444930420925</v>
      </c>
      <c r="BO68" s="28">
        <v>-2.12</v>
      </c>
      <c r="BP68" s="28">
        <v>0.34</v>
      </c>
      <c r="BQ68" s="28">
        <v>1.32</v>
      </c>
      <c r="BR68" s="28">
        <v>2.0499999999999998</v>
      </c>
      <c r="BS68" s="28">
        <v>0.32</v>
      </c>
    </row>
    <row r="69" spans="1:71">
      <c r="A69" s="28" t="s">
        <v>500</v>
      </c>
      <c r="B69" s="128" t="s">
        <v>499</v>
      </c>
      <c r="C69" s="129">
        <f t="shared" si="5"/>
        <v>0.53722426428101622</v>
      </c>
      <c r="D69" s="129">
        <f t="shared" si="9"/>
        <v>0.53722426428101622</v>
      </c>
      <c r="E69" s="129">
        <f t="shared" si="10"/>
        <v>5.6321898674622679E-2</v>
      </c>
      <c r="I69" s="52" t="s">
        <v>506</v>
      </c>
      <c r="J69" s="52">
        <v>1.32</v>
      </c>
      <c r="K69" s="52"/>
      <c r="L69" s="52" t="s">
        <v>506</v>
      </c>
      <c r="M69" s="52">
        <v>0.14000000000000001</v>
      </c>
      <c r="N69" s="52"/>
      <c r="O69" s="52" t="s">
        <v>506</v>
      </c>
      <c r="P69" s="52">
        <v>1.32</v>
      </c>
      <c r="W69" s="28" t="s">
        <v>506</v>
      </c>
      <c r="X69" s="99">
        <f t="shared" si="6"/>
        <v>0.57188389423463026</v>
      </c>
      <c r="Y69" s="28">
        <v>-2.1</v>
      </c>
      <c r="Z69" s="28">
        <v>0.35</v>
      </c>
      <c r="AA69" s="28">
        <v>1.32</v>
      </c>
      <c r="AB69" s="28">
        <v>2.2999999999999998</v>
      </c>
      <c r="AC69" s="28">
        <v>0.32</v>
      </c>
      <c r="AG69" s="128" t="s">
        <v>504</v>
      </c>
      <c r="AH69" s="246">
        <v>534227.6</v>
      </c>
      <c r="AI69" s="128">
        <v>10460.941999999999</v>
      </c>
      <c r="AJ69" s="128">
        <v>905974.59400000004</v>
      </c>
      <c r="AK69" s="128">
        <v>45395.506000000001</v>
      </c>
      <c r="AL69" s="128">
        <v>114894.652</v>
      </c>
      <c r="AM69" s="128">
        <v>88017.350999999995</v>
      </c>
      <c r="AN69" s="128">
        <v>1698970.645</v>
      </c>
      <c r="AR69" s="28">
        <v>0</v>
      </c>
      <c r="AS69" s="28">
        <v>0</v>
      </c>
      <c r="AT69" s="28">
        <v>59</v>
      </c>
      <c r="AU69" s="28" t="s">
        <v>506</v>
      </c>
      <c r="AV69" s="28" t="s">
        <v>505</v>
      </c>
      <c r="AW69" s="28">
        <v>59</v>
      </c>
      <c r="AX69" s="28" t="s">
        <v>506</v>
      </c>
      <c r="AY69" s="28" t="s">
        <v>505</v>
      </c>
      <c r="BE69" s="28" t="s">
        <v>506</v>
      </c>
      <c r="BF69" s="99">
        <f t="shared" si="7"/>
        <v>6.0654352418824414E-2</v>
      </c>
      <c r="BG69" s="28">
        <v>0.17</v>
      </c>
      <c r="BH69" s="28">
        <v>0.34</v>
      </c>
      <c r="BI69" s="28">
        <v>0.4</v>
      </c>
      <c r="BJ69" s="28">
        <v>0.39</v>
      </c>
      <c r="BK69" s="28">
        <v>0.35</v>
      </c>
      <c r="BM69" s="28" t="s">
        <v>506</v>
      </c>
      <c r="BN69" s="99">
        <f t="shared" si="8"/>
        <v>0.57188389423463026</v>
      </c>
      <c r="BO69" s="28">
        <v>-2.19</v>
      </c>
      <c r="BP69" s="28">
        <v>0.35</v>
      </c>
      <c r="BQ69" s="28">
        <v>1.33</v>
      </c>
      <c r="BR69" s="28">
        <v>2.2999999999999998</v>
      </c>
      <c r="BS69" s="28">
        <v>0.32</v>
      </c>
    </row>
    <row r="70" spans="1:71">
      <c r="A70" s="28" t="s">
        <v>369</v>
      </c>
      <c r="B70" s="128" t="s">
        <v>368</v>
      </c>
      <c r="C70" s="129">
        <f t="shared" si="5"/>
        <v>0.74518204400269994</v>
      </c>
      <c r="D70" s="129">
        <f t="shared" si="9"/>
        <v>0.4938997268389988</v>
      </c>
      <c r="E70" s="129">
        <f t="shared" si="10"/>
        <v>3.873213647316359</v>
      </c>
      <c r="I70" s="52" t="s">
        <v>509</v>
      </c>
      <c r="J70" s="52">
        <v>1.47</v>
      </c>
      <c r="K70" s="52"/>
      <c r="L70" s="52" t="s">
        <v>509</v>
      </c>
      <c r="M70" s="52">
        <v>0.05</v>
      </c>
      <c r="N70" s="52"/>
      <c r="O70" s="52" t="s">
        <v>509</v>
      </c>
      <c r="P70" s="52">
        <v>1.48</v>
      </c>
      <c r="W70" s="28" t="s">
        <v>509</v>
      </c>
      <c r="X70" s="99">
        <f t="shared" si="6"/>
        <v>0.63687070039765636</v>
      </c>
      <c r="Y70" s="28">
        <v>-1.91</v>
      </c>
      <c r="Z70" s="28">
        <v>0.33</v>
      </c>
      <c r="AA70" s="28">
        <v>1.28</v>
      </c>
      <c r="AB70" s="28">
        <v>2.2799999999999998</v>
      </c>
      <c r="AC70" s="28">
        <v>0.32</v>
      </c>
      <c r="AG70" s="128" t="s">
        <v>507</v>
      </c>
      <c r="AH70" s="246">
        <v>319029.891</v>
      </c>
      <c r="AI70" s="128">
        <v>71603.687999999995</v>
      </c>
      <c r="AJ70" s="128">
        <v>310722.63299999997</v>
      </c>
      <c r="AK70" s="128">
        <v>13348.808000000001</v>
      </c>
      <c r="AL70" s="128">
        <v>7097.39</v>
      </c>
      <c r="AM70" s="128">
        <v>57948.08</v>
      </c>
      <c r="AN70" s="128">
        <v>779750.49</v>
      </c>
      <c r="AR70" s="28">
        <v>0</v>
      </c>
      <c r="AS70" s="28">
        <v>0</v>
      </c>
      <c r="AT70" s="28">
        <v>60</v>
      </c>
      <c r="AU70" s="28" t="s">
        <v>509</v>
      </c>
      <c r="AV70" s="28" t="s">
        <v>508</v>
      </c>
      <c r="AW70" s="28">
        <v>60</v>
      </c>
      <c r="AX70" s="28" t="s">
        <v>509</v>
      </c>
      <c r="AY70" s="28" t="s">
        <v>508</v>
      </c>
      <c r="BE70" s="28" t="s">
        <v>509</v>
      </c>
      <c r="BF70" s="99">
        <f t="shared" si="7"/>
        <v>2.1662268721008723E-2</v>
      </c>
      <c r="BG70" s="28">
        <v>-0.08</v>
      </c>
      <c r="BH70" s="28">
        <v>0.26</v>
      </c>
      <c r="BI70" s="28">
        <v>0.34</v>
      </c>
      <c r="BJ70" s="28">
        <v>0.31</v>
      </c>
      <c r="BK70" s="28">
        <v>0.17</v>
      </c>
      <c r="BM70" s="28" t="s">
        <v>509</v>
      </c>
      <c r="BN70" s="99">
        <f t="shared" si="8"/>
        <v>0.64120315414185813</v>
      </c>
      <c r="BO70" s="28">
        <v>-1.98</v>
      </c>
      <c r="BP70" s="28">
        <v>0.33</v>
      </c>
      <c r="BQ70" s="28">
        <v>1.36</v>
      </c>
      <c r="BR70" s="28">
        <v>2.31</v>
      </c>
      <c r="BS70" s="28">
        <v>0.32</v>
      </c>
    </row>
    <row r="71" spans="1:71">
      <c r="A71" s="28" t="s">
        <v>524</v>
      </c>
      <c r="B71" s="128" t="s">
        <v>523</v>
      </c>
      <c r="C71" s="129">
        <f t="shared" si="5"/>
        <v>0.52422690304841102</v>
      </c>
      <c r="D71" s="129">
        <f t="shared" si="9"/>
        <v>0.52422690304841102</v>
      </c>
      <c r="E71" s="129">
        <f t="shared" si="10"/>
        <v>0.52422690304841102</v>
      </c>
      <c r="I71" s="52" t="s">
        <v>512</v>
      </c>
      <c r="J71" s="52">
        <v>1.45</v>
      </c>
      <c r="K71" s="52"/>
      <c r="L71" s="52" t="s">
        <v>512</v>
      </c>
      <c r="M71" s="52">
        <v>-0.09</v>
      </c>
      <c r="N71" s="52"/>
      <c r="O71" s="52" t="s">
        <v>512</v>
      </c>
      <c r="P71" s="52">
        <v>1.46</v>
      </c>
      <c r="W71" s="28" t="s">
        <v>512</v>
      </c>
      <c r="X71" s="99">
        <f t="shared" si="6"/>
        <v>0.62820579290925282</v>
      </c>
      <c r="Y71" s="28">
        <v>-2.0499999999999998</v>
      </c>
      <c r="Z71" s="28">
        <v>0.34</v>
      </c>
      <c r="AA71" s="28">
        <v>1.32</v>
      </c>
      <c r="AB71" s="28">
        <v>2.25</v>
      </c>
      <c r="AC71" s="28">
        <v>0.31</v>
      </c>
      <c r="AG71" s="128" t="s">
        <v>510</v>
      </c>
      <c r="AH71" s="246">
        <v>717146.26399999997</v>
      </c>
      <c r="AI71" s="128">
        <v>282177.58399999997</v>
      </c>
      <c r="AJ71" s="128">
        <v>1223137.6000000001</v>
      </c>
      <c r="AK71" s="128">
        <v>58135.752</v>
      </c>
      <c r="AL71" s="128">
        <v>29961.174999999999</v>
      </c>
      <c r="AM71" s="128">
        <v>135399.239</v>
      </c>
      <c r="AN71" s="128">
        <v>2445957.6140000001</v>
      </c>
      <c r="AR71" s="28">
        <v>0</v>
      </c>
      <c r="AS71" s="28">
        <v>0</v>
      </c>
      <c r="AT71" s="28">
        <v>61</v>
      </c>
      <c r="AU71" s="28" t="s">
        <v>512</v>
      </c>
      <c r="AV71" s="28" t="s">
        <v>511</v>
      </c>
      <c r="AW71" s="28">
        <v>61</v>
      </c>
      <c r="AX71" s="28" t="s">
        <v>512</v>
      </c>
      <c r="AY71" s="28" t="s">
        <v>511</v>
      </c>
      <c r="BE71" s="28" t="s">
        <v>512</v>
      </c>
      <c r="BF71" s="99">
        <f t="shared" si="7"/>
        <v>-3.8992083697815691E-2</v>
      </c>
      <c r="BG71" s="28">
        <v>-0.05</v>
      </c>
      <c r="BH71" s="28">
        <v>0.31</v>
      </c>
      <c r="BI71" s="28">
        <v>0.4</v>
      </c>
      <c r="BJ71" s="28">
        <v>0.43</v>
      </c>
      <c r="BK71" s="28">
        <v>0.24</v>
      </c>
      <c r="BM71" s="28" t="s">
        <v>512</v>
      </c>
      <c r="BN71" s="99">
        <f t="shared" si="8"/>
        <v>0.63253824665345459</v>
      </c>
      <c r="BO71" s="28">
        <v>-2.0699999999999998</v>
      </c>
      <c r="BP71" s="28">
        <v>0.34</v>
      </c>
      <c r="BQ71" s="28">
        <v>1.33</v>
      </c>
      <c r="BR71" s="28">
        <v>2.29</v>
      </c>
      <c r="BS71" s="28">
        <v>0.31</v>
      </c>
    </row>
    <row r="72" spans="1:71">
      <c r="A72" s="28" t="s">
        <v>336</v>
      </c>
      <c r="B72" s="128" t="s">
        <v>335</v>
      </c>
      <c r="C72" s="129">
        <f t="shared" si="5"/>
        <v>0.48523481935059531</v>
      </c>
      <c r="D72" s="129">
        <f t="shared" si="9"/>
        <v>0.48956727309479703</v>
      </c>
      <c r="E72" s="129">
        <f t="shared" si="10"/>
        <v>-0.17763060351227147</v>
      </c>
      <c r="I72" s="52" t="s">
        <v>515</v>
      </c>
      <c r="J72" s="52">
        <v>1.55</v>
      </c>
      <c r="K72" s="52"/>
      <c r="L72" s="52" t="s">
        <v>515</v>
      </c>
      <c r="M72" s="52">
        <v>0.11</v>
      </c>
      <c r="N72" s="52"/>
      <c r="O72" s="52" t="s">
        <v>515</v>
      </c>
      <c r="P72" s="52">
        <v>1.56</v>
      </c>
      <c r="W72" s="28" t="s">
        <v>515</v>
      </c>
      <c r="X72" s="99">
        <f t="shared" si="6"/>
        <v>0.67153033035127041</v>
      </c>
      <c r="Y72" s="28">
        <v>-2.09</v>
      </c>
      <c r="Z72" s="28">
        <v>0.34</v>
      </c>
      <c r="AA72" s="28">
        <v>1.26</v>
      </c>
      <c r="AB72" s="28">
        <v>2.1800000000000002</v>
      </c>
      <c r="AC72" s="28">
        <v>0.33</v>
      </c>
      <c r="AG72" s="128" t="s">
        <v>513</v>
      </c>
      <c r="AH72" s="246">
        <v>70994.801999999996</v>
      </c>
      <c r="AI72" s="128">
        <v>25539.952000000001</v>
      </c>
      <c r="AJ72" s="128">
        <v>182729.601</v>
      </c>
      <c r="AK72" s="128">
        <v>11919.26</v>
      </c>
      <c r="AL72" s="128">
        <v>355.40800000000002</v>
      </c>
      <c r="AM72" s="128">
        <v>10860.954</v>
      </c>
      <c r="AN72" s="128">
        <v>302399.97700000001</v>
      </c>
      <c r="AR72" s="28">
        <v>0</v>
      </c>
      <c r="AS72" s="28">
        <v>0</v>
      </c>
      <c r="AT72" s="28">
        <v>62</v>
      </c>
      <c r="AU72" s="28" t="s">
        <v>515</v>
      </c>
      <c r="AV72" s="28" t="s">
        <v>514</v>
      </c>
      <c r="AW72" s="28">
        <v>62</v>
      </c>
      <c r="AX72" s="28" t="s">
        <v>515</v>
      </c>
      <c r="AY72" s="28" t="s">
        <v>514</v>
      </c>
      <c r="BE72" s="28" t="s">
        <v>515</v>
      </c>
      <c r="BF72" s="99">
        <f t="shared" si="7"/>
        <v>4.7656991186219182E-2</v>
      </c>
      <c r="BG72" s="28">
        <v>0.35</v>
      </c>
      <c r="BH72" s="28">
        <v>0.31</v>
      </c>
      <c r="BI72" s="28">
        <v>0.31</v>
      </c>
      <c r="BJ72" s="28">
        <v>0.4</v>
      </c>
      <c r="BK72" s="28">
        <v>0.28999999999999998</v>
      </c>
      <c r="BM72" s="28" t="s">
        <v>515</v>
      </c>
      <c r="BN72" s="99">
        <f t="shared" si="8"/>
        <v>0.67586278409547207</v>
      </c>
      <c r="BO72" s="28">
        <v>-2.09</v>
      </c>
      <c r="BP72" s="28">
        <v>0.34</v>
      </c>
      <c r="BQ72" s="28">
        <v>1.33</v>
      </c>
      <c r="BR72" s="28">
        <v>2.25</v>
      </c>
      <c r="BS72" s="28">
        <v>0.33</v>
      </c>
    </row>
    <row r="73" spans="1:71">
      <c r="A73" s="28" t="s">
        <v>351</v>
      </c>
      <c r="B73" s="128" t="s">
        <v>350</v>
      </c>
      <c r="C73" s="129">
        <f t="shared" si="5"/>
        <v>0.51122954181580582</v>
      </c>
      <c r="D73" s="129">
        <f t="shared" si="9"/>
        <v>0.4938997268389988</v>
      </c>
      <c r="E73" s="129">
        <f t="shared" si="10"/>
        <v>9.5140684222670302</v>
      </c>
      <c r="I73" s="52" t="s">
        <v>518</v>
      </c>
      <c r="J73" s="52">
        <v>1.31</v>
      </c>
      <c r="K73" s="52"/>
      <c r="L73" s="52" t="s">
        <v>518</v>
      </c>
      <c r="M73" s="52">
        <v>0.02</v>
      </c>
      <c r="N73" s="52"/>
      <c r="O73" s="52" t="s">
        <v>518</v>
      </c>
      <c r="P73" s="52">
        <v>1.36</v>
      </c>
      <c r="W73" s="28" t="s">
        <v>518</v>
      </c>
      <c r="X73" s="99">
        <f t="shared" si="6"/>
        <v>0.56755144049042849</v>
      </c>
      <c r="Y73" s="28">
        <v>-2.02</v>
      </c>
      <c r="Z73" s="28">
        <v>0.35</v>
      </c>
      <c r="AA73" s="28">
        <v>1.29</v>
      </c>
      <c r="AB73" s="28">
        <v>2.37</v>
      </c>
      <c r="AC73" s="28">
        <v>0.34</v>
      </c>
      <c r="AG73" s="128" t="s">
        <v>516</v>
      </c>
      <c r="AH73" s="246">
        <v>383237.951</v>
      </c>
      <c r="AI73" s="128">
        <v>248431.73800000001</v>
      </c>
      <c r="AJ73" s="128">
        <v>590057.64800000004</v>
      </c>
      <c r="AK73" s="128">
        <v>20165.556</v>
      </c>
      <c r="AL73" s="128">
        <v>11753.352000000001</v>
      </c>
      <c r="AM73" s="128">
        <v>134136.954</v>
      </c>
      <c r="AN73" s="128">
        <v>1387783.2</v>
      </c>
      <c r="AR73" s="28">
        <v>0</v>
      </c>
      <c r="AS73" s="28">
        <v>0</v>
      </c>
      <c r="AT73" s="28">
        <v>63</v>
      </c>
      <c r="AU73" s="28" t="s">
        <v>518</v>
      </c>
      <c r="AV73" s="28" t="s">
        <v>517</v>
      </c>
      <c r="AW73" s="28">
        <v>63</v>
      </c>
      <c r="AX73" s="28" t="s">
        <v>518</v>
      </c>
      <c r="AY73" s="28" t="s">
        <v>517</v>
      </c>
      <c r="BE73" s="28" t="s">
        <v>518</v>
      </c>
      <c r="BF73" s="99">
        <f t="shared" si="7"/>
        <v>8.664907488403489E-3</v>
      </c>
      <c r="BG73" s="28">
        <v>0.23</v>
      </c>
      <c r="BH73" s="28">
        <v>0.25</v>
      </c>
      <c r="BI73" s="28">
        <v>0.37</v>
      </c>
      <c r="BJ73" s="28">
        <v>0.39</v>
      </c>
      <c r="BK73" s="28">
        <v>0.19</v>
      </c>
      <c r="BM73" s="28" t="s">
        <v>518</v>
      </c>
      <c r="BN73" s="99">
        <f t="shared" si="8"/>
        <v>0.58921370921143723</v>
      </c>
      <c r="BO73" s="28">
        <v>-2.21</v>
      </c>
      <c r="BP73" s="28">
        <v>0.35</v>
      </c>
      <c r="BQ73" s="28">
        <v>1.39</v>
      </c>
      <c r="BR73" s="28">
        <v>2.39</v>
      </c>
      <c r="BS73" s="28">
        <v>0.34</v>
      </c>
    </row>
    <row r="74" spans="1:71">
      <c r="A74" s="28" t="s">
        <v>357</v>
      </c>
      <c r="B74" s="128" t="s">
        <v>356</v>
      </c>
      <c r="C74" s="129">
        <f t="shared" si="5"/>
        <v>0.40725065195496396</v>
      </c>
      <c r="D74" s="129">
        <f t="shared" si="9"/>
        <v>0.39858574446656048</v>
      </c>
      <c r="E74" s="129">
        <f t="shared" si="10"/>
        <v>1.2477466783301021</v>
      </c>
      <c r="I74" s="52" t="s">
        <v>521</v>
      </c>
      <c r="J74" s="52">
        <v>1.53</v>
      </c>
      <c r="K74" s="52"/>
      <c r="L74" s="52" t="s">
        <v>521</v>
      </c>
      <c r="M74" s="52">
        <v>-0.13</v>
      </c>
      <c r="N74" s="52"/>
      <c r="O74" s="52" t="s">
        <v>521</v>
      </c>
      <c r="P74" s="52">
        <v>1.53</v>
      </c>
      <c r="W74" s="28" t="s">
        <v>521</v>
      </c>
      <c r="X74" s="99">
        <f t="shared" si="6"/>
        <v>0.66286542286286687</v>
      </c>
      <c r="Y74" s="28">
        <v>-1.98</v>
      </c>
      <c r="Z74" s="28">
        <v>0.34</v>
      </c>
      <c r="AA74" s="28">
        <v>1.3</v>
      </c>
      <c r="AB74" s="28">
        <v>2.09</v>
      </c>
      <c r="AC74" s="28">
        <v>0.33</v>
      </c>
      <c r="AG74" s="128" t="s">
        <v>519</v>
      </c>
      <c r="AH74" s="246">
        <v>2470541.8190000001</v>
      </c>
      <c r="AI74" s="128">
        <v>209358.13</v>
      </c>
      <c r="AJ74" s="128">
        <v>741006.495</v>
      </c>
      <c r="AK74" s="128">
        <v>36587.243000000002</v>
      </c>
      <c r="AL74" s="128">
        <v>11957.385</v>
      </c>
      <c r="AM74" s="128">
        <v>140760.636</v>
      </c>
      <c r="AN74" s="128">
        <v>3610211.7080000001</v>
      </c>
      <c r="AR74" s="28">
        <v>0</v>
      </c>
      <c r="AS74" s="28">
        <v>0</v>
      </c>
      <c r="AT74" s="28">
        <v>64</v>
      </c>
      <c r="AU74" s="28" t="s">
        <v>521</v>
      </c>
      <c r="AV74" s="28" t="s">
        <v>520</v>
      </c>
      <c r="AW74" s="28">
        <v>64</v>
      </c>
      <c r="AX74" s="28" t="s">
        <v>521</v>
      </c>
      <c r="AY74" s="28" t="s">
        <v>520</v>
      </c>
      <c r="BE74" s="28" t="s">
        <v>521</v>
      </c>
      <c r="BF74" s="99">
        <f t="shared" si="7"/>
        <v>-5.6321898674622679E-2</v>
      </c>
      <c r="BG74" s="28">
        <v>0.01</v>
      </c>
      <c r="BH74" s="28">
        <v>0.28000000000000003</v>
      </c>
      <c r="BI74" s="28">
        <v>0.41</v>
      </c>
      <c r="BJ74" s="28">
        <v>0.41</v>
      </c>
      <c r="BK74" s="28">
        <v>0.2</v>
      </c>
      <c r="BM74" s="28" t="s">
        <v>521</v>
      </c>
      <c r="BN74" s="99">
        <f t="shared" si="8"/>
        <v>0.66286542286286687</v>
      </c>
      <c r="BO74" s="28">
        <v>-2</v>
      </c>
      <c r="BP74" s="28">
        <v>0.34</v>
      </c>
      <c r="BQ74" s="28">
        <v>1.33</v>
      </c>
      <c r="BR74" s="28">
        <v>2.14</v>
      </c>
      <c r="BS74" s="28">
        <v>0.33</v>
      </c>
    </row>
    <row r="75" spans="1:71">
      <c r="A75" s="28" t="s">
        <v>348</v>
      </c>
      <c r="B75" s="128" t="s">
        <v>347</v>
      </c>
      <c r="C75" s="129">
        <f t="shared" si="5"/>
        <v>2.1662268721008723E-2</v>
      </c>
      <c r="D75" s="129">
        <f t="shared" si="9"/>
        <v>1.7329814976806978E-2</v>
      </c>
      <c r="E75" s="129">
        <f t="shared" si="10"/>
        <v>5.5238785238572232</v>
      </c>
      <c r="I75" s="52" t="s">
        <v>524</v>
      </c>
      <c r="J75" s="52">
        <v>1.21</v>
      </c>
      <c r="K75" s="52"/>
      <c r="L75" s="52" t="s">
        <v>524</v>
      </c>
      <c r="M75" s="52">
        <v>1.21</v>
      </c>
      <c r="N75" s="52"/>
      <c r="O75" s="52" t="s">
        <v>524</v>
      </c>
      <c r="P75" s="52">
        <v>1.21</v>
      </c>
      <c r="W75" s="28" t="s">
        <v>524</v>
      </c>
      <c r="X75" s="99">
        <f t="shared" si="6"/>
        <v>0.52422690304841102</v>
      </c>
      <c r="Y75" s="28">
        <v>-2.2000000000000002</v>
      </c>
      <c r="Z75" s="28">
        <v>0.36</v>
      </c>
      <c r="AA75" s="28">
        <v>1.43</v>
      </c>
      <c r="AB75" s="28">
        <v>1.9</v>
      </c>
      <c r="AC75" s="28">
        <v>0.32</v>
      </c>
      <c r="AG75" s="128" t="s">
        <v>522</v>
      </c>
      <c r="AH75" s="246">
        <v>1582226</v>
      </c>
      <c r="AI75" s="128">
        <v>535276.43799999997</v>
      </c>
      <c r="AJ75" s="128">
        <v>2641065.25</v>
      </c>
      <c r="AK75" s="128">
        <v>141214.84400000001</v>
      </c>
      <c r="AL75" s="128">
        <v>3256.462</v>
      </c>
      <c r="AM75" s="128">
        <v>322198.28100000002</v>
      </c>
      <c r="AN75" s="128">
        <v>5225237.2740000002</v>
      </c>
      <c r="AR75" s="28">
        <v>0</v>
      </c>
      <c r="AS75" s="28">
        <v>0</v>
      </c>
      <c r="AT75" s="28">
        <v>65</v>
      </c>
      <c r="AU75" s="28" t="s">
        <v>524</v>
      </c>
      <c r="AV75" s="28" t="s">
        <v>523</v>
      </c>
      <c r="AW75" s="28">
        <v>65</v>
      </c>
      <c r="AX75" s="28" t="s">
        <v>524</v>
      </c>
      <c r="AY75" s="28" t="s">
        <v>523</v>
      </c>
      <c r="BE75" s="28" t="s">
        <v>524</v>
      </c>
      <c r="BF75" s="99">
        <f t="shared" si="7"/>
        <v>0.52422690304841102</v>
      </c>
      <c r="BG75" s="28">
        <v>-2.2000000000000002</v>
      </c>
      <c r="BH75" s="28">
        <v>0.36</v>
      </c>
      <c r="BI75" s="28">
        <v>1.43</v>
      </c>
      <c r="BJ75" s="28">
        <v>1.9</v>
      </c>
      <c r="BK75" s="28">
        <v>0.32</v>
      </c>
      <c r="BM75" s="28" t="s">
        <v>524</v>
      </c>
      <c r="BN75" s="99">
        <f t="shared" si="8"/>
        <v>0.52422690304841102</v>
      </c>
      <c r="BO75" s="28">
        <v>-2.2000000000000002</v>
      </c>
      <c r="BP75" s="28">
        <v>0.36</v>
      </c>
      <c r="BQ75" s="28">
        <v>1.43</v>
      </c>
      <c r="BR75" s="28">
        <v>1.9</v>
      </c>
      <c r="BS75" s="28">
        <v>0.32</v>
      </c>
    </row>
    <row r="76" spans="1:71">
      <c r="A76" s="28" t="s">
        <v>345</v>
      </c>
      <c r="B76" s="128" t="s">
        <v>344</v>
      </c>
      <c r="C76" s="129">
        <f t="shared" si="5"/>
        <v>0.12130870483764883</v>
      </c>
      <c r="D76" s="129">
        <f t="shared" si="9"/>
        <v>8.2316621139833138E-2</v>
      </c>
      <c r="E76" s="129">
        <f t="shared" si="10"/>
        <v>2.6081371540094498</v>
      </c>
      <c r="AG76" s="128" t="s">
        <v>52</v>
      </c>
      <c r="AH76" s="128">
        <v>13313203.861</v>
      </c>
      <c r="AI76" s="128">
        <v>5070421.4050000003</v>
      </c>
      <c r="AJ76" s="128">
        <v>24118154.283</v>
      </c>
      <c r="AK76" s="128">
        <v>966838.99300000002</v>
      </c>
      <c r="AL76" s="128">
        <v>753850.09</v>
      </c>
      <c r="AM76" s="128">
        <v>2779791.3790000002</v>
      </c>
      <c r="AN76" s="128">
        <v>47002260.009999998</v>
      </c>
    </row>
    <row r="79" spans="1:71">
      <c r="B79" s="402" t="s">
        <v>1831</v>
      </c>
      <c r="C79" s="61">
        <f>MAX(C12:E76)</f>
        <v>16.666949553944111</v>
      </c>
    </row>
    <row r="80" spans="1:71">
      <c r="B80" s="402" t="s">
        <v>1832</v>
      </c>
      <c r="C80" s="61">
        <f>MIN(C12:E76)</f>
        <v>-0.55022162551362153</v>
      </c>
    </row>
    <row r="88" spans="38:39">
      <c r="AL88" s="402" t="s">
        <v>1854</v>
      </c>
      <c r="AM88" s="202">
        <f>SUMPRODUCT(X11:X75,AS11:AS75,AH11:AH75)/SUMPRODUCT(AH11:AH75,AS11:AS75)</f>
        <v>1.0475868260165961</v>
      </c>
    </row>
    <row r="89" spans="38:39">
      <c r="AL89" s="402" t="s">
        <v>1853</v>
      </c>
      <c r="AM89" s="202">
        <f>SUMPRODUCT(X11:X75,AR11:AR75,AH11:AH75)/SUMPRODUCT(AH11:AH75,AR11:AR75)</f>
        <v>0.39366338649361909</v>
      </c>
    </row>
  </sheetData>
  <sortState xmlns:xlrd2="http://schemas.microsoft.com/office/spreadsheetml/2017/richdata2" ref="A12:E76">
    <sortCondition descending="1" ref="C11:C76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872FC-D7CF-4062-B24B-0FEA001C5E12}">
  <sheetPr codeName="Sheet28"/>
  <dimension ref="A1:V243"/>
  <sheetViews>
    <sheetView workbookViewId="0">
      <selection activeCell="F35" sqref="F35"/>
    </sheetView>
  </sheetViews>
  <sheetFormatPr defaultRowHeight="12.6"/>
  <sheetData>
    <row r="1" spans="1:16" ht="15.6">
      <c r="A1" s="258" t="s">
        <v>1833</v>
      </c>
      <c r="B1" s="259"/>
      <c r="C1" s="259"/>
      <c r="D1" s="259"/>
      <c r="E1" s="259"/>
      <c r="F1" s="259"/>
      <c r="G1" s="259"/>
      <c r="H1" s="259"/>
      <c r="I1" s="260"/>
    </row>
    <row r="2" spans="1:16" ht="15.6">
      <c r="A2" s="261" t="s">
        <v>1867</v>
      </c>
      <c r="B2" s="262"/>
      <c r="C2" s="262"/>
      <c r="D2" s="262"/>
      <c r="E2" s="262"/>
      <c r="F2" s="262"/>
      <c r="G2" s="262"/>
      <c r="H2" s="262"/>
      <c r="I2" s="263"/>
    </row>
    <row r="3" spans="1:16" ht="15.6">
      <c r="A3" s="261" t="s">
        <v>1868</v>
      </c>
      <c r="B3" s="262"/>
      <c r="C3" s="262"/>
      <c r="D3" s="262"/>
      <c r="E3" s="262"/>
      <c r="F3" s="262"/>
      <c r="G3" s="262"/>
      <c r="H3" s="262"/>
      <c r="I3" s="263"/>
    </row>
    <row r="4" spans="1:16" ht="15.6">
      <c r="A4" s="261" t="s">
        <v>1869</v>
      </c>
      <c r="B4" s="262"/>
      <c r="C4" s="262"/>
      <c r="D4" s="262"/>
      <c r="E4" s="262"/>
      <c r="F4" s="262"/>
      <c r="G4" s="262"/>
      <c r="H4" s="262"/>
      <c r="I4" s="263"/>
    </row>
    <row r="5" spans="1:16" ht="15.95" thickBot="1">
      <c r="A5" s="264"/>
      <c r="B5" s="265"/>
      <c r="C5" s="265"/>
      <c r="D5" s="265"/>
      <c r="E5" s="265"/>
      <c r="F5" s="265"/>
      <c r="G5" s="265"/>
      <c r="H5" s="265"/>
      <c r="I5" s="266"/>
    </row>
    <row r="9" spans="1:16">
      <c r="A9" t="s">
        <v>1870</v>
      </c>
      <c r="B9" s="60">
        <f>AVERAGE(P22:P85)</f>
        <v>18.50734375</v>
      </c>
      <c r="N9" s="97" t="s">
        <v>1871</v>
      </c>
      <c r="O9" s="97" t="s">
        <v>551</v>
      </c>
      <c r="P9" t="s">
        <v>1872</v>
      </c>
    </row>
    <row r="10" spans="1:16">
      <c r="A10" t="s">
        <v>1873</v>
      </c>
      <c r="B10" s="60">
        <f>AVERAGE(P86:P150)</f>
        <v>23.687153846153837</v>
      </c>
      <c r="N10" t="s">
        <v>745</v>
      </c>
      <c r="P10" t="s">
        <v>1874</v>
      </c>
    </row>
    <row r="11" spans="1:16">
      <c r="A11" t="s">
        <v>1875</v>
      </c>
      <c r="B11" s="60">
        <f>AVERAGE(P151:P216)</f>
        <v>15.983030303030304</v>
      </c>
      <c r="N11" t="s">
        <v>1876</v>
      </c>
      <c r="P11" t="s">
        <v>1877</v>
      </c>
    </row>
    <row r="12" spans="1:16">
      <c r="N12" t="s">
        <v>1878</v>
      </c>
      <c r="P12" t="s">
        <v>1879</v>
      </c>
    </row>
    <row r="13" spans="1:16">
      <c r="N13" t="s">
        <v>1880</v>
      </c>
      <c r="P13" t="s">
        <v>1881</v>
      </c>
    </row>
    <row r="14" spans="1:16">
      <c r="N14" t="s">
        <v>1882</v>
      </c>
      <c r="P14" t="s">
        <v>1883</v>
      </c>
    </row>
    <row r="15" spans="1:16">
      <c r="N15" t="s">
        <v>1884</v>
      </c>
      <c r="P15" t="s">
        <v>1885</v>
      </c>
    </row>
    <row r="16" spans="1:16">
      <c r="N16" t="s">
        <v>1886</v>
      </c>
      <c r="P16" t="s">
        <v>1887</v>
      </c>
    </row>
    <row r="17" spans="14:22">
      <c r="N17" t="s">
        <v>1888</v>
      </c>
      <c r="P17" t="s">
        <v>1889</v>
      </c>
    </row>
    <row r="18" spans="14:22">
      <c r="N18" t="s">
        <v>960</v>
      </c>
      <c r="P18" t="s">
        <v>1162</v>
      </c>
    </row>
    <row r="19" spans="14:22">
      <c r="N19" t="s">
        <v>1167</v>
      </c>
      <c r="P19" t="s">
        <v>1890</v>
      </c>
    </row>
    <row r="20" spans="14:22">
      <c r="N20" t="s">
        <v>1373</v>
      </c>
      <c r="P20" t="s">
        <v>1891</v>
      </c>
    </row>
    <row r="21" spans="14:22">
      <c r="N21" t="s">
        <v>1580</v>
      </c>
      <c r="P21" t="s">
        <v>1782</v>
      </c>
    </row>
    <row r="22" spans="14:22">
      <c r="N22" t="s">
        <v>1892</v>
      </c>
      <c r="O22" s="113">
        <v>45658</v>
      </c>
      <c r="P22" s="60">
        <v>17.64</v>
      </c>
      <c r="Q22" s="60">
        <f>P22-AVERAGE($P$22:$P$44)</f>
        <v>0.83826086956521806</v>
      </c>
    </row>
    <row r="23" spans="14:22">
      <c r="N23" t="s">
        <v>1893</v>
      </c>
      <c r="O23" s="113">
        <v>45659</v>
      </c>
      <c r="P23" s="60">
        <v>17.93</v>
      </c>
      <c r="Q23" s="60">
        <f t="shared" ref="Q23:Q86" si="0">P23-AVERAGE($P$22:$P$44)</f>
        <v>1.1282608695652172</v>
      </c>
      <c r="R23" s="60">
        <f t="shared" ref="R23:V86" si="1">Q22</f>
        <v>0.83826086956521806</v>
      </c>
    </row>
    <row r="24" spans="14:22">
      <c r="N24" t="s">
        <v>1894</v>
      </c>
      <c r="O24" s="113">
        <v>45660</v>
      </c>
      <c r="P24" s="60">
        <v>16.13</v>
      </c>
      <c r="Q24" s="60">
        <f t="shared" si="0"/>
        <v>-0.6717391304347835</v>
      </c>
      <c r="R24" s="60">
        <f t="shared" si="1"/>
        <v>1.1282608695652172</v>
      </c>
      <c r="S24" s="60">
        <f>R23</f>
        <v>0.83826086956521806</v>
      </c>
    </row>
    <row r="25" spans="14:22">
      <c r="N25" t="s">
        <v>1895</v>
      </c>
      <c r="O25" s="113">
        <v>45663</v>
      </c>
      <c r="P25" s="60">
        <v>16.04</v>
      </c>
      <c r="Q25" s="60">
        <f t="shared" si="0"/>
        <v>-0.76173913043478336</v>
      </c>
      <c r="R25" s="60">
        <f t="shared" si="1"/>
        <v>-0.6717391304347835</v>
      </c>
      <c r="S25" s="60">
        <f t="shared" si="1"/>
        <v>1.1282608695652172</v>
      </c>
      <c r="T25" s="60">
        <f>S24</f>
        <v>0.83826086956521806</v>
      </c>
    </row>
    <row r="26" spans="14:22">
      <c r="N26" t="s">
        <v>1896</v>
      </c>
      <c r="O26" s="113">
        <v>45664</v>
      </c>
      <c r="P26" s="60">
        <v>17.82</v>
      </c>
      <c r="Q26" s="60">
        <f t="shared" si="0"/>
        <v>1.0182608695652178</v>
      </c>
      <c r="R26" s="60">
        <f t="shared" si="1"/>
        <v>-0.76173913043478336</v>
      </c>
      <c r="S26" s="60">
        <f t="shared" si="1"/>
        <v>-0.6717391304347835</v>
      </c>
      <c r="T26" s="60">
        <f t="shared" si="1"/>
        <v>1.1282608695652172</v>
      </c>
      <c r="U26" s="60">
        <f>T25</f>
        <v>0.83826086956521806</v>
      </c>
    </row>
    <row r="27" spans="14:22">
      <c r="N27" t="s">
        <v>1897</v>
      </c>
      <c r="O27" s="113">
        <v>45665</v>
      </c>
      <c r="P27" s="60">
        <v>17.7</v>
      </c>
      <c r="Q27" s="60">
        <f t="shared" si="0"/>
        <v>0.89826086956521678</v>
      </c>
      <c r="R27" s="60">
        <f t="shared" si="1"/>
        <v>1.0182608695652178</v>
      </c>
      <c r="S27" s="60">
        <f t="shared" si="1"/>
        <v>-0.76173913043478336</v>
      </c>
      <c r="T27" s="60">
        <f t="shared" si="1"/>
        <v>-0.6717391304347835</v>
      </c>
      <c r="U27" s="60">
        <f t="shared" si="1"/>
        <v>1.1282608695652172</v>
      </c>
      <c r="V27" s="60">
        <f>U26</f>
        <v>0.83826086956521806</v>
      </c>
    </row>
    <row r="28" spans="14:22">
      <c r="N28" t="s">
        <v>1898</v>
      </c>
      <c r="O28" s="113">
        <v>45666</v>
      </c>
      <c r="P28" s="60">
        <v>18.07</v>
      </c>
      <c r="Q28" s="60">
        <f t="shared" si="0"/>
        <v>1.2682608695652178</v>
      </c>
      <c r="R28" s="60">
        <f t="shared" si="1"/>
        <v>0.89826086956521678</v>
      </c>
      <c r="S28" s="60">
        <f t="shared" si="1"/>
        <v>1.0182608695652178</v>
      </c>
      <c r="T28" s="60">
        <f t="shared" si="1"/>
        <v>-0.76173913043478336</v>
      </c>
      <c r="U28" s="60">
        <f t="shared" si="1"/>
        <v>-0.6717391304347835</v>
      </c>
      <c r="V28" s="60">
        <f t="shared" si="1"/>
        <v>1.1282608695652172</v>
      </c>
    </row>
    <row r="29" spans="14:22">
      <c r="N29" t="s">
        <v>1899</v>
      </c>
      <c r="O29" s="113">
        <v>45667</v>
      </c>
      <c r="P29" s="60">
        <v>19.54</v>
      </c>
      <c r="Q29" s="60">
        <f t="shared" si="0"/>
        <v>2.7382608695652166</v>
      </c>
      <c r="R29" s="60">
        <f t="shared" si="1"/>
        <v>1.2682608695652178</v>
      </c>
      <c r="S29" s="60">
        <f t="shared" si="1"/>
        <v>0.89826086956521678</v>
      </c>
      <c r="T29" s="60">
        <f t="shared" si="1"/>
        <v>1.0182608695652178</v>
      </c>
      <c r="U29" s="60">
        <f t="shared" si="1"/>
        <v>-0.76173913043478336</v>
      </c>
      <c r="V29" s="60">
        <f t="shared" si="1"/>
        <v>-0.6717391304347835</v>
      </c>
    </row>
    <row r="30" spans="14:22">
      <c r="N30" t="s">
        <v>1900</v>
      </c>
      <c r="O30" s="113">
        <v>45670</v>
      </c>
      <c r="P30" s="60">
        <v>19.190000000000001</v>
      </c>
      <c r="Q30" s="60">
        <f t="shared" si="0"/>
        <v>2.3882608695652188</v>
      </c>
      <c r="R30" s="60">
        <f t="shared" si="1"/>
        <v>2.7382608695652166</v>
      </c>
      <c r="S30" s="60">
        <f t="shared" si="1"/>
        <v>1.2682608695652178</v>
      </c>
      <c r="T30" s="60">
        <f t="shared" si="1"/>
        <v>0.89826086956521678</v>
      </c>
      <c r="U30" s="60">
        <f t="shared" si="1"/>
        <v>1.0182608695652178</v>
      </c>
      <c r="V30" s="60">
        <f t="shared" si="1"/>
        <v>-0.76173913043478336</v>
      </c>
    </row>
    <row r="31" spans="14:22">
      <c r="N31" t="s">
        <v>1901</v>
      </c>
      <c r="O31" s="113">
        <v>45671</v>
      </c>
      <c r="P31" s="60">
        <v>18.71</v>
      </c>
      <c r="Q31" s="60">
        <f t="shared" si="0"/>
        <v>1.9082608695652183</v>
      </c>
      <c r="R31" s="60">
        <f t="shared" si="1"/>
        <v>2.3882608695652188</v>
      </c>
      <c r="S31" s="60">
        <f t="shared" si="1"/>
        <v>2.7382608695652166</v>
      </c>
      <c r="T31" s="60">
        <f t="shared" si="1"/>
        <v>1.2682608695652178</v>
      </c>
      <c r="U31" s="60">
        <f t="shared" si="1"/>
        <v>0.89826086956521678</v>
      </c>
      <c r="V31" s="60">
        <f t="shared" si="1"/>
        <v>1.0182608695652178</v>
      </c>
    </row>
    <row r="32" spans="14:22">
      <c r="N32" t="s">
        <v>1902</v>
      </c>
      <c r="O32" s="113">
        <v>45672</v>
      </c>
      <c r="P32" s="60">
        <v>16.12</v>
      </c>
      <c r="Q32" s="60">
        <f t="shared" si="0"/>
        <v>-0.68173913043478152</v>
      </c>
      <c r="R32" s="60">
        <f t="shared" si="1"/>
        <v>1.9082608695652183</v>
      </c>
      <c r="S32" s="60">
        <f t="shared" si="1"/>
        <v>2.3882608695652188</v>
      </c>
      <c r="T32" s="60">
        <f t="shared" si="1"/>
        <v>2.7382608695652166</v>
      </c>
      <c r="U32" s="60">
        <f t="shared" si="1"/>
        <v>1.2682608695652178</v>
      </c>
      <c r="V32" s="60">
        <f t="shared" si="1"/>
        <v>0.89826086956521678</v>
      </c>
    </row>
    <row r="33" spans="14:22">
      <c r="N33" t="s">
        <v>1903</v>
      </c>
      <c r="O33" s="113">
        <v>45673</v>
      </c>
      <c r="P33" s="60">
        <v>16.600000000000001</v>
      </c>
      <c r="Q33" s="60">
        <f t="shared" si="0"/>
        <v>-0.20173913043478109</v>
      </c>
      <c r="R33" s="60">
        <f t="shared" si="1"/>
        <v>-0.68173913043478152</v>
      </c>
      <c r="S33" s="60">
        <f t="shared" si="1"/>
        <v>1.9082608695652183</v>
      </c>
      <c r="T33" s="60">
        <f t="shared" si="1"/>
        <v>2.3882608695652188</v>
      </c>
      <c r="U33" s="60">
        <f t="shared" si="1"/>
        <v>2.7382608695652166</v>
      </c>
      <c r="V33" s="60">
        <f t="shared" si="1"/>
        <v>1.2682608695652178</v>
      </c>
    </row>
    <row r="34" spans="14:22">
      <c r="N34" t="s">
        <v>1904</v>
      </c>
      <c r="O34" s="113">
        <v>45674</v>
      </c>
      <c r="P34" s="60">
        <v>15.97</v>
      </c>
      <c r="Q34" s="60">
        <f t="shared" si="0"/>
        <v>-0.83173913043478187</v>
      </c>
      <c r="R34" s="60">
        <f t="shared" si="1"/>
        <v>-0.20173913043478109</v>
      </c>
      <c r="S34" s="60">
        <f t="shared" si="1"/>
        <v>-0.68173913043478152</v>
      </c>
      <c r="T34" s="60">
        <f t="shared" si="1"/>
        <v>1.9082608695652183</v>
      </c>
      <c r="U34" s="60">
        <f t="shared" si="1"/>
        <v>2.3882608695652188</v>
      </c>
      <c r="V34" s="60">
        <f t="shared" si="1"/>
        <v>2.7382608695652166</v>
      </c>
    </row>
    <row r="35" spans="14:22">
      <c r="N35" t="s">
        <v>1905</v>
      </c>
      <c r="O35" s="113">
        <v>45677</v>
      </c>
      <c r="P35" s="60">
        <v>15.81</v>
      </c>
      <c r="Q35" s="60">
        <f t="shared" si="0"/>
        <v>-0.99173913043478201</v>
      </c>
      <c r="R35" s="60">
        <f t="shared" si="1"/>
        <v>-0.83173913043478187</v>
      </c>
      <c r="S35" s="60">
        <f t="shared" si="1"/>
        <v>-0.20173913043478109</v>
      </c>
      <c r="T35" s="60">
        <f t="shared" si="1"/>
        <v>-0.68173913043478152</v>
      </c>
      <c r="U35" s="60">
        <f t="shared" si="1"/>
        <v>1.9082608695652183</v>
      </c>
      <c r="V35" s="60">
        <f t="shared" si="1"/>
        <v>2.3882608695652188</v>
      </c>
    </row>
    <row r="36" spans="14:22">
      <c r="N36" t="s">
        <v>1906</v>
      </c>
      <c r="O36" s="113">
        <v>45678</v>
      </c>
      <c r="P36" s="60">
        <v>15.06</v>
      </c>
      <c r="Q36" s="60">
        <f t="shared" si="0"/>
        <v>-1.741739130434782</v>
      </c>
      <c r="R36" s="60">
        <f t="shared" si="1"/>
        <v>-0.99173913043478201</v>
      </c>
      <c r="S36" s="60">
        <f t="shared" si="1"/>
        <v>-0.83173913043478187</v>
      </c>
      <c r="T36" s="60">
        <f t="shared" si="1"/>
        <v>-0.20173913043478109</v>
      </c>
      <c r="U36" s="60">
        <f t="shared" si="1"/>
        <v>-0.68173913043478152</v>
      </c>
      <c r="V36" s="60">
        <f t="shared" ref="V36:V99" si="2">U35</f>
        <v>1.9082608695652183</v>
      </c>
    </row>
    <row r="37" spans="14:22">
      <c r="N37" t="s">
        <v>1907</v>
      </c>
      <c r="O37" s="113">
        <v>45679</v>
      </c>
      <c r="P37" s="60">
        <v>15.1</v>
      </c>
      <c r="Q37" s="60">
        <f t="shared" si="0"/>
        <v>-1.7017391304347829</v>
      </c>
      <c r="R37" s="60">
        <f t="shared" si="1"/>
        <v>-1.741739130434782</v>
      </c>
      <c r="S37" s="60">
        <f t="shared" si="1"/>
        <v>-0.99173913043478201</v>
      </c>
      <c r="T37" s="60">
        <f t="shared" si="1"/>
        <v>-0.83173913043478187</v>
      </c>
      <c r="U37" s="60">
        <f t="shared" si="1"/>
        <v>-0.20173913043478109</v>
      </c>
      <c r="V37" s="60">
        <f t="shared" si="2"/>
        <v>-0.68173913043478152</v>
      </c>
    </row>
    <row r="38" spans="14:22">
      <c r="N38" t="s">
        <v>1908</v>
      </c>
      <c r="O38" s="113">
        <v>45680</v>
      </c>
      <c r="P38" s="60">
        <v>15.02</v>
      </c>
      <c r="Q38" s="60">
        <f t="shared" si="0"/>
        <v>-1.7817391304347829</v>
      </c>
      <c r="R38" s="60">
        <f t="shared" si="1"/>
        <v>-1.7017391304347829</v>
      </c>
      <c r="S38" s="60">
        <f t="shared" si="1"/>
        <v>-1.741739130434782</v>
      </c>
      <c r="T38" s="60">
        <f t="shared" si="1"/>
        <v>-0.99173913043478201</v>
      </c>
      <c r="U38" s="60">
        <f t="shared" si="1"/>
        <v>-0.83173913043478187</v>
      </c>
      <c r="V38" s="60">
        <f t="shared" si="2"/>
        <v>-0.20173913043478109</v>
      </c>
    </row>
    <row r="39" spans="14:22">
      <c r="N39" t="s">
        <v>1909</v>
      </c>
      <c r="O39" s="113">
        <v>45681</v>
      </c>
      <c r="P39" s="60">
        <v>14.85</v>
      </c>
      <c r="Q39" s="60">
        <f t="shared" si="0"/>
        <v>-1.9517391304347829</v>
      </c>
      <c r="R39" s="60">
        <f t="shared" si="1"/>
        <v>-1.7817391304347829</v>
      </c>
      <c r="S39" s="60">
        <f t="shared" si="1"/>
        <v>-1.7017391304347829</v>
      </c>
      <c r="T39" s="60">
        <f t="shared" si="1"/>
        <v>-1.741739130434782</v>
      </c>
      <c r="U39" s="60">
        <f t="shared" si="1"/>
        <v>-0.99173913043478201</v>
      </c>
      <c r="V39" s="60">
        <f t="shared" si="2"/>
        <v>-0.83173913043478187</v>
      </c>
    </row>
    <row r="40" spans="14:22">
      <c r="N40" t="s">
        <v>1910</v>
      </c>
      <c r="O40" s="113">
        <v>45684</v>
      </c>
      <c r="P40" s="60">
        <v>17.899999999999999</v>
      </c>
      <c r="Q40" s="60">
        <f t="shared" si="0"/>
        <v>1.0982608695652161</v>
      </c>
      <c r="R40" s="60">
        <f t="shared" si="1"/>
        <v>-1.9517391304347829</v>
      </c>
      <c r="S40" s="60">
        <f t="shared" si="1"/>
        <v>-1.7817391304347829</v>
      </c>
      <c r="T40" s="60">
        <f t="shared" si="1"/>
        <v>-1.7017391304347829</v>
      </c>
      <c r="U40" s="60">
        <f t="shared" si="1"/>
        <v>-1.741739130434782</v>
      </c>
      <c r="V40" s="60">
        <f t="shared" si="2"/>
        <v>-0.99173913043478201</v>
      </c>
    </row>
    <row r="41" spans="14:22">
      <c r="N41" t="s">
        <v>1911</v>
      </c>
      <c r="O41" s="113">
        <v>45685</v>
      </c>
      <c r="P41" s="60">
        <v>16.41</v>
      </c>
      <c r="Q41" s="60">
        <f t="shared" si="0"/>
        <v>-0.39173913043478237</v>
      </c>
      <c r="R41" s="60">
        <f t="shared" si="1"/>
        <v>1.0982608695652161</v>
      </c>
      <c r="S41" s="60">
        <f t="shared" si="1"/>
        <v>-1.9517391304347829</v>
      </c>
      <c r="T41" s="60">
        <f t="shared" si="1"/>
        <v>-1.7817391304347829</v>
      </c>
      <c r="U41" s="60">
        <f t="shared" si="1"/>
        <v>-1.7017391304347829</v>
      </c>
      <c r="V41" s="60">
        <f t="shared" si="2"/>
        <v>-1.741739130434782</v>
      </c>
    </row>
    <row r="42" spans="14:22">
      <c r="N42" t="s">
        <v>1912</v>
      </c>
      <c r="O42" s="113">
        <v>45686</v>
      </c>
      <c r="P42" s="60">
        <v>16.559999999999999</v>
      </c>
      <c r="Q42" s="60">
        <f t="shared" si="0"/>
        <v>-0.24173913043478379</v>
      </c>
      <c r="R42" s="60">
        <f t="shared" si="1"/>
        <v>-0.39173913043478237</v>
      </c>
      <c r="S42" s="60">
        <f t="shared" si="1"/>
        <v>1.0982608695652161</v>
      </c>
      <c r="T42" s="60">
        <f t="shared" si="1"/>
        <v>-1.9517391304347829</v>
      </c>
      <c r="U42" s="60">
        <f t="shared" si="1"/>
        <v>-1.7817391304347829</v>
      </c>
      <c r="V42" s="60">
        <f t="shared" si="2"/>
        <v>-1.7017391304347829</v>
      </c>
    </row>
    <row r="43" spans="14:22">
      <c r="N43" t="s">
        <v>1913</v>
      </c>
      <c r="O43" s="113">
        <v>45687</v>
      </c>
      <c r="P43" s="60">
        <v>15.84</v>
      </c>
      <c r="Q43" s="60">
        <f t="shared" si="0"/>
        <v>-0.96173913043478265</v>
      </c>
      <c r="R43" s="60">
        <f t="shared" si="1"/>
        <v>-0.24173913043478379</v>
      </c>
      <c r="S43" s="60">
        <f t="shared" si="1"/>
        <v>-0.39173913043478237</v>
      </c>
      <c r="T43" s="60">
        <f t="shared" si="1"/>
        <v>1.0982608695652161</v>
      </c>
      <c r="U43" s="60">
        <f t="shared" si="1"/>
        <v>-1.9517391304347829</v>
      </c>
      <c r="V43" s="60">
        <f t="shared" si="2"/>
        <v>-1.7817391304347829</v>
      </c>
    </row>
    <row r="44" spans="14:22">
      <c r="N44" t="s">
        <v>1914</v>
      </c>
      <c r="O44" s="113">
        <v>45688</v>
      </c>
      <c r="P44" s="60">
        <v>16.43</v>
      </c>
      <c r="Q44" s="60">
        <f t="shared" si="0"/>
        <v>-0.37173913043478279</v>
      </c>
      <c r="R44" s="60">
        <f t="shared" si="1"/>
        <v>-0.96173913043478265</v>
      </c>
      <c r="S44" s="60">
        <f t="shared" si="1"/>
        <v>-0.24173913043478379</v>
      </c>
      <c r="T44" s="60">
        <f t="shared" si="1"/>
        <v>-0.39173913043478237</v>
      </c>
      <c r="U44" s="60">
        <f t="shared" si="1"/>
        <v>1.0982608695652161</v>
      </c>
      <c r="V44" s="60">
        <f t="shared" si="2"/>
        <v>-1.9517391304347829</v>
      </c>
    </row>
    <row r="45" spans="14:22">
      <c r="N45" t="s">
        <v>1915</v>
      </c>
      <c r="O45" s="113">
        <v>45691</v>
      </c>
      <c r="P45" s="60">
        <v>18.62</v>
      </c>
      <c r="Q45" s="60">
        <f t="shared" si="0"/>
        <v>1.8182608695652185</v>
      </c>
      <c r="R45" s="60">
        <f t="shared" si="1"/>
        <v>-0.37173913043478279</v>
      </c>
      <c r="S45" s="60">
        <f t="shared" si="1"/>
        <v>-0.96173913043478265</v>
      </c>
      <c r="T45" s="60">
        <f t="shared" si="1"/>
        <v>-0.24173913043478379</v>
      </c>
      <c r="U45" s="60">
        <f t="shared" si="1"/>
        <v>-0.39173913043478237</v>
      </c>
      <c r="V45" s="60">
        <f t="shared" si="2"/>
        <v>1.0982608695652161</v>
      </c>
    </row>
    <row r="46" spans="14:22">
      <c r="N46" t="s">
        <v>1916</v>
      </c>
      <c r="O46" s="113">
        <v>45692</v>
      </c>
      <c r="P46" s="60">
        <v>17.21</v>
      </c>
      <c r="Q46" s="60">
        <f t="shared" si="0"/>
        <v>0.40826086956521834</v>
      </c>
      <c r="R46" s="60">
        <f t="shared" si="1"/>
        <v>1.8182608695652185</v>
      </c>
      <c r="S46" s="60">
        <f t="shared" si="1"/>
        <v>-0.37173913043478279</v>
      </c>
      <c r="T46" s="60">
        <f t="shared" si="1"/>
        <v>-0.96173913043478265</v>
      </c>
      <c r="U46" s="60">
        <f t="shared" si="1"/>
        <v>-0.24173913043478379</v>
      </c>
      <c r="V46" s="60">
        <f t="shared" si="2"/>
        <v>-0.39173913043478237</v>
      </c>
    </row>
    <row r="47" spans="14:22">
      <c r="N47" t="s">
        <v>1917</v>
      </c>
      <c r="O47" s="113">
        <v>45693</v>
      </c>
      <c r="P47" s="60">
        <v>15.77</v>
      </c>
      <c r="Q47" s="60">
        <f t="shared" si="0"/>
        <v>-1.0317391304347829</v>
      </c>
      <c r="R47" s="60">
        <f t="shared" si="1"/>
        <v>0.40826086956521834</v>
      </c>
      <c r="S47" s="60">
        <f t="shared" si="1"/>
        <v>1.8182608695652185</v>
      </c>
      <c r="T47" s="60">
        <f t="shared" si="1"/>
        <v>-0.37173913043478279</v>
      </c>
      <c r="U47" s="60">
        <f t="shared" si="1"/>
        <v>-0.96173913043478265</v>
      </c>
      <c r="V47" s="60">
        <f t="shared" si="2"/>
        <v>-0.24173913043478379</v>
      </c>
    </row>
    <row r="48" spans="14:22">
      <c r="N48" t="s">
        <v>1918</v>
      </c>
      <c r="O48" s="113">
        <v>45694</v>
      </c>
      <c r="P48" s="60">
        <v>15.5</v>
      </c>
      <c r="Q48" s="60">
        <f t="shared" si="0"/>
        <v>-1.3017391304347825</v>
      </c>
      <c r="R48" s="60">
        <f t="shared" si="1"/>
        <v>-1.0317391304347829</v>
      </c>
      <c r="S48" s="60">
        <f t="shared" si="1"/>
        <v>0.40826086956521834</v>
      </c>
      <c r="T48" s="60">
        <f t="shared" si="1"/>
        <v>1.8182608695652185</v>
      </c>
      <c r="U48" s="60">
        <f t="shared" si="1"/>
        <v>-0.37173913043478279</v>
      </c>
      <c r="V48" s="60">
        <f t="shared" si="2"/>
        <v>-0.96173913043478265</v>
      </c>
    </row>
    <row r="49" spans="14:22">
      <c r="N49" t="s">
        <v>1919</v>
      </c>
      <c r="O49" s="113">
        <v>45695</v>
      </c>
      <c r="P49" s="60">
        <v>16.54</v>
      </c>
      <c r="Q49" s="60">
        <f t="shared" si="0"/>
        <v>-0.26173913043478336</v>
      </c>
      <c r="R49" s="60">
        <f t="shared" si="1"/>
        <v>-1.3017391304347825</v>
      </c>
      <c r="S49" s="60">
        <f t="shared" si="1"/>
        <v>-1.0317391304347829</v>
      </c>
      <c r="T49" s="60">
        <f t="shared" si="1"/>
        <v>0.40826086956521834</v>
      </c>
      <c r="U49" s="60">
        <f t="shared" si="1"/>
        <v>1.8182608695652185</v>
      </c>
      <c r="V49" s="60">
        <f t="shared" si="2"/>
        <v>-0.37173913043478279</v>
      </c>
    </row>
    <row r="50" spans="14:22">
      <c r="N50" t="s">
        <v>1920</v>
      </c>
      <c r="O50" s="113">
        <v>45698</v>
      </c>
      <c r="P50" s="60">
        <v>15.81</v>
      </c>
      <c r="Q50" s="60">
        <f t="shared" si="0"/>
        <v>-0.99173913043478201</v>
      </c>
      <c r="R50" s="60">
        <f t="shared" si="1"/>
        <v>-0.26173913043478336</v>
      </c>
      <c r="S50" s="60">
        <f t="shared" si="1"/>
        <v>-1.3017391304347825</v>
      </c>
      <c r="T50" s="60">
        <f t="shared" si="1"/>
        <v>-1.0317391304347829</v>
      </c>
      <c r="U50" s="60">
        <f t="shared" si="1"/>
        <v>0.40826086956521834</v>
      </c>
      <c r="V50" s="60">
        <f t="shared" si="2"/>
        <v>1.8182608695652185</v>
      </c>
    </row>
    <row r="51" spans="14:22">
      <c r="N51" t="s">
        <v>1921</v>
      </c>
      <c r="O51" s="113">
        <v>45699</v>
      </c>
      <c r="P51" s="60">
        <v>16.02</v>
      </c>
      <c r="Q51" s="60">
        <f t="shared" si="0"/>
        <v>-0.78173913043478294</v>
      </c>
      <c r="R51" s="60">
        <f t="shared" si="1"/>
        <v>-0.99173913043478201</v>
      </c>
      <c r="S51" s="60">
        <f t="shared" si="1"/>
        <v>-0.26173913043478336</v>
      </c>
      <c r="T51" s="60">
        <f t="shared" si="1"/>
        <v>-1.3017391304347825</v>
      </c>
      <c r="U51" s="60">
        <f t="shared" si="1"/>
        <v>-1.0317391304347829</v>
      </c>
      <c r="V51" s="60">
        <f t="shared" si="2"/>
        <v>0.40826086956521834</v>
      </c>
    </row>
    <row r="52" spans="14:22">
      <c r="N52" t="s">
        <v>1922</v>
      </c>
      <c r="O52" s="113">
        <v>45700</v>
      </c>
      <c r="P52" s="60">
        <v>15.89</v>
      </c>
      <c r="Q52" s="60">
        <f t="shared" si="0"/>
        <v>-0.91173913043478194</v>
      </c>
      <c r="R52" s="60">
        <f t="shared" si="1"/>
        <v>-0.78173913043478294</v>
      </c>
      <c r="S52" s="60">
        <f t="shared" si="1"/>
        <v>-0.99173913043478201</v>
      </c>
      <c r="T52" s="60">
        <f t="shared" si="1"/>
        <v>-0.26173913043478336</v>
      </c>
      <c r="U52" s="60">
        <f t="shared" si="1"/>
        <v>-1.3017391304347825</v>
      </c>
      <c r="V52" s="60">
        <f t="shared" si="2"/>
        <v>-1.0317391304347829</v>
      </c>
    </row>
    <row r="53" spans="14:22">
      <c r="N53" t="s">
        <v>1923</v>
      </c>
      <c r="O53" s="113">
        <v>45701</v>
      </c>
      <c r="P53" s="60">
        <v>15.1</v>
      </c>
      <c r="Q53" s="60">
        <f t="shared" si="0"/>
        <v>-1.7017391304347829</v>
      </c>
      <c r="R53" s="60">
        <f t="shared" si="1"/>
        <v>-0.91173913043478194</v>
      </c>
      <c r="S53" s="60">
        <f t="shared" si="1"/>
        <v>-0.78173913043478294</v>
      </c>
      <c r="T53" s="60">
        <f t="shared" si="1"/>
        <v>-0.99173913043478201</v>
      </c>
      <c r="U53" s="60">
        <f t="shared" si="1"/>
        <v>-0.26173913043478336</v>
      </c>
      <c r="V53" s="60">
        <f t="shared" si="2"/>
        <v>-1.3017391304347825</v>
      </c>
    </row>
    <row r="54" spans="14:22">
      <c r="N54" t="s">
        <v>1924</v>
      </c>
      <c r="O54" s="113">
        <v>45702</v>
      </c>
      <c r="P54" s="60">
        <v>14.77</v>
      </c>
      <c r="Q54" s="60">
        <f t="shared" si="0"/>
        <v>-2.0317391304347829</v>
      </c>
      <c r="R54" s="60">
        <f t="shared" si="1"/>
        <v>-1.7017391304347829</v>
      </c>
      <c r="S54" s="60">
        <f t="shared" si="1"/>
        <v>-0.91173913043478194</v>
      </c>
      <c r="T54" s="60">
        <f t="shared" si="1"/>
        <v>-0.78173913043478294</v>
      </c>
      <c r="U54" s="60">
        <f t="shared" si="1"/>
        <v>-0.99173913043478201</v>
      </c>
      <c r="V54" s="60">
        <f t="shared" si="2"/>
        <v>-0.26173913043478336</v>
      </c>
    </row>
    <row r="55" spans="14:22">
      <c r="N55" t="s">
        <v>1925</v>
      </c>
      <c r="O55" s="113">
        <v>45705</v>
      </c>
      <c r="P55" s="60">
        <v>15.37</v>
      </c>
      <c r="Q55" s="60">
        <f t="shared" si="0"/>
        <v>-1.4317391304347833</v>
      </c>
      <c r="R55" s="60">
        <f t="shared" si="1"/>
        <v>-2.0317391304347829</v>
      </c>
      <c r="S55" s="60">
        <f t="shared" si="1"/>
        <v>-1.7017391304347829</v>
      </c>
      <c r="T55" s="60">
        <f t="shared" si="1"/>
        <v>-0.91173913043478194</v>
      </c>
      <c r="U55" s="60">
        <f t="shared" si="1"/>
        <v>-0.78173913043478294</v>
      </c>
      <c r="V55" s="60">
        <f t="shared" si="2"/>
        <v>-0.99173913043478201</v>
      </c>
    </row>
    <row r="56" spans="14:22">
      <c r="N56" t="s">
        <v>1926</v>
      </c>
      <c r="O56" s="113">
        <v>45706</v>
      </c>
      <c r="P56" s="60">
        <v>15.35</v>
      </c>
      <c r="Q56" s="60">
        <f t="shared" si="0"/>
        <v>-1.4517391304347829</v>
      </c>
      <c r="R56" s="60">
        <f t="shared" si="1"/>
        <v>-1.4317391304347833</v>
      </c>
      <c r="S56" s="60">
        <f t="shared" si="1"/>
        <v>-2.0317391304347829</v>
      </c>
      <c r="T56" s="60">
        <f t="shared" si="1"/>
        <v>-1.7017391304347829</v>
      </c>
      <c r="U56" s="60">
        <f t="shared" si="1"/>
        <v>-0.91173913043478194</v>
      </c>
      <c r="V56" s="60">
        <f t="shared" si="2"/>
        <v>-0.78173913043478294</v>
      </c>
    </row>
    <row r="57" spans="14:22">
      <c r="N57" t="s">
        <v>1927</v>
      </c>
      <c r="O57" s="113">
        <v>45707</v>
      </c>
      <c r="P57" s="60">
        <v>15.27</v>
      </c>
      <c r="Q57" s="60">
        <f t="shared" si="0"/>
        <v>-1.5317391304347829</v>
      </c>
      <c r="R57" s="60">
        <f t="shared" si="1"/>
        <v>-1.4517391304347829</v>
      </c>
      <c r="S57" s="60">
        <f t="shared" si="1"/>
        <v>-1.4317391304347833</v>
      </c>
      <c r="T57" s="60">
        <f t="shared" si="1"/>
        <v>-2.0317391304347829</v>
      </c>
      <c r="U57" s="60">
        <f t="shared" si="1"/>
        <v>-1.7017391304347829</v>
      </c>
      <c r="V57" s="60">
        <f t="shared" si="2"/>
        <v>-0.91173913043478194</v>
      </c>
    </row>
    <row r="58" spans="14:22">
      <c r="N58" t="s">
        <v>1928</v>
      </c>
      <c r="O58" s="113">
        <v>45708</v>
      </c>
      <c r="P58" s="60">
        <v>15.66</v>
      </c>
      <c r="Q58" s="60">
        <f t="shared" si="0"/>
        <v>-1.1417391304347824</v>
      </c>
      <c r="R58" s="60">
        <f t="shared" si="1"/>
        <v>-1.5317391304347829</v>
      </c>
      <c r="S58" s="60">
        <f t="shared" si="1"/>
        <v>-1.4517391304347829</v>
      </c>
      <c r="T58" s="60">
        <f t="shared" si="1"/>
        <v>-1.4317391304347833</v>
      </c>
      <c r="U58" s="60">
        <f t="shared" si="1"/>
        <v>-2.0317391304347829</v>
      </c>
      <c r="V58" s="60">
        <f t="shared" si="2"/>
        <v>-1.7017391304347829</v>
      </c>
    </row>
    <row r="59" spans="14:22">
      <c r="N59" t="s">
        <v>1929</v>
      </c>
      <c r="O59" s="113">
        <v>45709</v>
      </c>
      <c r="P59" s="60">
        <v>18.21</v>
      </c>
      <c r="Q59" s="60">
        <f t="shared" si="0"/>
        <v>1.4082608695652183</v>
      </c>
      <c r="R59" s="60">
        <f t="shared" si="1"/>
        <v>-1.1417391304347824</v>
      </c>
      <c r="S59" s="60">
        <f t="shared" si="1"/>
        <v>-1.5317391304347829</v>
      </c>
      <c r="T59" s="60">
        <f t="shared" si="1"/>
        <v>-1.4517391304347829</v>
      </c>
      <c r="U59" s="60">
        <f t="shared" si="1"/>
        <v>-1.4317391304347833</v>
      </c>
      <c r="V59" s="60">
        <f t="shared" si="2"/>
        <v>-2.0317391304347829</v>
      </c>
    </row>
    <row r="60" spans="14:22">
      <c r="N60" t="s">
        <v>1930</v>
      </c>
      <c r="O60" s="113">
        <v>45712</v>
      </c>
      <c r="P60" s="60">
        <v>18.98</v>
      </c>
      <c r="Q60" s="60">
        <f t="shared" si="0"/>
        <v>2.1782608695652179</v>
      </c>
      <c r="R60" s="60">
        <f t="shared" si="1"/>
        <v>1.4082608695652183</v>
      </c>
      <c r="S60" s="60">
        <f t="shared" si="1"/>
        <v>-1.1417391304347824</v>
      </c>
      <c r="T60" s="60">
        <f t="shared" si="1"/>
        <v>-1.5317391304347829</v>
      </c>
      <c r="U60" s="60">
        <f t="shared" si="1"/>
        <v>-1.4517391304347829</v>
      </c>
      <c r="V60" s="60">
        <f t="shared" si="2"/>
        <v>-1.4317391304347833</v>
      </c>
    </row>
    <row r="61" spans="14:22">
      <c r="N61" t="s">
        <v>1931</v>
      </c>
      <c r="O61" s="113">
        <v>45713</v>
      </c>
      <c r="P61" s="60">
        <v>19.43</v>
      </c>
      <c r="Q61" s="60">
        <f t="shared" si="0"/>
        <v>2.6282608695652172</v>
      </c>
      <c r="R61" s="60">
        <f t="shared" si="1"/>
        <v>2.1782608695652179</v>
      </c>
      <c r="S61" s="60">
        <f t="shared" si="1"/>
        <v>1.4082608695652183</v>
      </c>
      <c r="T61" s="60">
        <f t="shared" si="1"/>
        <v>-1.1417391304347824</v>
      </c>
      <c r="U61" s="60">
        <f t="shared" si="1"/>
        <v>-1.5317391304347829</v>
      </c>
      <c r="V61" s="60">
        <f t="shared" si="2"/>
        <v>-1.4517391304347829</v>
      </c>
    </row>
    <row r="62" spans="14:22">
      <c r="N62" t="s">
        <v>1932</v>
      </c>
      <c r="O62" s="113">
        <v>45714</v>
      </c>
      <c r="P62" s="60">
        <v>19.100000000000001</v>
      </c>
      <c r="Q62" s="60">
        <f t="shared" si="0"/>
        <v>2.2982608695652189</v>
      </c>
      <c r="R62" s="60">
        <f t="shared" si="1"/>
        <v>2.6282608695652172</v>
      </c>
      <c r="S62" s="60">
        <f t="shared" si="1"/>
        <v>2.1782608695652179</v>
      </c>
      <c r="T62" s="60">
        <f t="shared" si="1"/>
        <v>1.4082608695652183</v>
      </c>
      <c r="U62" s="60">
        <f t="shared" si="1"/>
        <v>-1.1417391304347824</v>
      </c>
      <c r="V62" s="60">
        <f t="shared" si="2"/>
        <v>-1.5317391304347829</v>
      </c>
    </row>
    <row r="63" spans="14:22">
      <c r="N63" t="s">
        <v>1933</v>
      </c>
      <c r="O63" s="113">
        <v>45715</v>
      </c>
      <c r="P63" s="60">
        <v>21.13</v>
      </c>
      <c r="Q63" s="60">
        <f t="shared" si="0"/>
        <v>4.3282608695652165</v>
      </c>
      <c r="R63" s="60">
        <f t="shared" si="1"/>
        <v>2.2982608695652189</v>
      </c>
      <c r="S63" s="60">
        <f t="shared" si="1"/>
        <v>2.6282608695652172</v>
      </c>
      <c r="T63" s="60">
        <f t="shared" si="1"/>
        <v>2.1782608695652179</v>
      </c>
      <c r="U63" s="60">
        <f t="shared" si="1"/>
        <v>1.4082608695652183</v>
      </c>
      <c r="V63" s="60">
        <f t="shared" si="2"/>
        <v>-1.1417391304347824</v>
      </c>
    </row>
    <row r="64" spans="14:22">
      <c r="N64" t="s">
        <v>1934</v>
      </c>
      <c r="O64" s="113">
        <v>45716</v>
      </c>
      <c r="P64" s="60">
        <v>19.63</v>
      </c>
      <c r="Q64" s="60">
        <f t="shared" si="0"/>
        <v>2.8282608695652165</v>
      </c>
      <c r="R64" s="60">
        <f t="shared" si="1"/>
        <v>4.3282608695652165</v>
      </c>
      <c r="S64" s="60">
        <f t="shared" si="1"/>
        <v>2.2982608695652189</v>
      </c>
      <c r="T64" s="60">
        <f t="shared" si="1"/>
        <v>2.6282608695652172</v>
      </c>
      <c r="U64" s="60">
        <f t="shared" si="1"/>
        <v>2.1782608695652179</v>
      </c>
      <c r="V64" s="60">
        <f t="shared" si="2"/>
        <v>1.4082608695652183</v>
      </c>
    </row>
    <row r="65" spans="14:22">
      <c r="N65" t="s">
        <v>1935</v>
      </c>
      <c r="O65" s="113">
        <v>45719</v>
      </c>
      <c r="P65" s="60">
        <v>22.78</v>
      </c>
      <c r="Q65" s="60">
        <f t="shared" si="0"/>
        <v>5.9782608695652186</v>
      </c>
      <c r="R65" s="60">
        <f t="shared" si="1"/>
        <v>2.8282608695652165</v>
      </c>
      <c r="S65" s="60">
        <f t="shared" si="1"/>
        <v>4.3282608695652165</v>
      </c>
      <c r="T65" s="60">
        <f t="shared" si="1"/>
        <v>2.2982608695652189</v>
      </c>
      <c r="U65" s="60">
        <f t="shared" si="1"/>
        <v>2.6282608695652172</v>
      </c>
      <c r="V65" s="60">
        <f t="shared" si="2"/>
        <v>2.1782608695652179</v>
      </c>
    </row>
    <row r="66" spans="14:22">
      <c r="N66" t="s">
        <v>1936</v>
      </c>
      <c r="O66" s="113">
        <v>45720</v>
      </c>
      <c r="P66" s="60">
        <v>23.51</v>
      </c>
      <c r="Q66" s="60">
        <f t="shared" si="0"/>
        <v>6.7082608695652191</v>
      </c>
      <c r="R66" s="60">
        <f t="shared" si="1"/>
        <v>5.9782608695652186</v>
      </c>
      <c r="S66" s="60">
        <f t="shared" si="1"/>
        <v>2.8282608695652165</v>
      </c>
      <c r="T66" s="60">
        <f t="shared" si="1"/>
        <v>4.3282608695652165</v>
      </c>
      <c r="U66" s="60">
        <f t="shared" si="1"/>
        <v>2.2982608695652189</v>
      </c>
      <c r="V66" s="60">
        <f t="shared" si="2"/>
        <v>2.6282608695652172</v>
      </c>
    </row>
    <row r="67" spans="14:22">
      <c r="N67" t="s">
        <v>1937</v>
      </c>
      <c r="O67" s="113">
        <v>45721</v>
      </c>
      <c r="P67" s="60">
        <v>21.93</v>
      </c>
      <c r="Q67" s="60">
        <f t="shared" si="0"/>
        <v>5.1282608695652172</v>
      </c>
      <c r="R67" s="60">
        <f t="shared" si="1"/>
        <v>6.7082608695652191</v>
      </c>
      <c r="S67" s="60">
        <f t="shared" si="1"/>
        <v>5.9782608695652186</v>
      </c>
      <c r="T67" s="60">
        <f t="shared" si="1"/>
        <v>2.8282608695652165</v>
      </c>
      <c r="U67" s="60">
        <f t="shared" si="1"/>
        <v>4.3282608695652165</v>
      </c>
      <c r="V67" s="60">
        <f t="shared" si="2"/>
        <v>2.2982608695652189</v>
      </c>
    </row>
    <row r="68" spans="14:22">
      <c r="N68" t="s">
        <v>1938</v>
      </c>
      <c r="O68" s="113">
        <v>45722</v>
      </c>
      <c r="P68" s="60">
        <v>24.87</v>
      </c>
      <c r="Q68" s="60">
        <f t="shared" si="0"/>
        <v>8.0682608695652185</v>
      </c>
      <c r="R68" s="60">
        <f t="shared" si="1"/>
        <v>5.1282608695652172</v>
      </c>
      <c r="S68" s="60">
        <f t="shared" si="1"/>
        <v>6.7082608695652191</v>
      </c>
      <c r="T68" s="60">
        <f t="shared" si="1"/>
        <v>5.9782608695652186</v>
      </c>
      <c r="U68" s="60">
        <f t="shared" si="1"/>
        <v>2.8282608695652165</v>
      </c>
      <c r="V68" s="60">
        <f t="shared" si="2"/>
        <v>4.3282608695652165</v>
      </c>
    </row>
    <row r="69" spans="14:22">
      <c r="N69" t="s">
        <v>1939</v>
      </c>
      <c r="O69" s="113">
        <v>45723</v>
      </c>
      <c r="P69" s="60">
        <v>23.37</v>
      </c>
      <c r="Q69" s="60">
        <f t="shared" si="0"/>
        <v>6.5682608695652185</v>
      </c>
      <c r="R69" s="60">
        <f t="shared" si="1"/>
        <v>8.0682608695652185</v>
      </c>
      <c r="S69" s="60">
        <f t="shared" si="1"/>
        <v>5.1282608695652172</v>
      </c>
      <c r="T69" s="60">
        <f t="shared" si="1"/>
        <v>6.7082608695652191</v>
      </c>
      <c r="U69" s="60">
        <f t="shared" si="1"/>
        <v>5.9782608695652186</v>
      </c>
      <c r="V69" s="60">
        <f t="shared" si="2"/>
        <v>2.8282608695652165</v>
      </c>
    </row>
    <row r="70" spans="14:22">
      <c r="N70" t="s">
        <v>1940</v>
      </c>
      <c r="O70" s="113">
        <v>45726</v>
      </c>
      <c r="P70" s="60">
        <v>27.86</v>
      </c>
      <c r="Q70" s="60">
        <f t="shared" si="0"/>
        <v>11.058260869565217</v>
      </c>
      <c r="R70" s="60">
        <f t="shared" si="1"/>
        <v>6.5682608695652185</v>
      </c>
      <c r="S70" s="60">
        <f t="shared" si="1"/>
        <v>8.0682608695652185</v>
      </c>
      <c r="T70" s="60">
        <f t="shared" si="1"/>
        <v>5.1282608695652172</v>
      </c>
      <c r="U70" s="60">
        <f t="shared" si="1"/>
        <v>6.7082608695652191</v>
      </c>
      <c r="V70" s="60">
        <f t="shared" si="2"/>
        <v>5.9782608695652186</v>
      </c>
    </row>
    <row r="71" spans="14:22">
      <c r="N71" t="s">
        <v>1941</v>
      </c>
      <c r="O71" s="113">
        <v>45727</v>
      </c>
      <c r="P71" s="60">
        <v>26.92</v>
      </c>
      <c r="Q71" s="60">
        <f t="shared" si="0"/>
        <v>10.118260869565219</v>
      </c>
      <c r="R71" s="60">
        <f t="shared" si="1"/>
        <v>11.058260869565217</v>
      </c>
      <c r="S71" s="60">
        <f t="shared" si="1"/>
        <v>6.5682608695652185</v>
      </c>
      <c r="T71" s="60">
        <f t="shared" si="1"/>
        <v>8.0682608695652185</v>
      </c>
      <c r="U71" s="60">
        <f t="shared" si="1"/>
        <v>5.1282608695652172</v>
      </c>
      <c r="V71" s="60">
        <f t="shared" si="2"/>
        <v>6.7082608695652191</v>
      </c>
    </row>
    <row r="72" spans="14:22">
      <c r="N72" t="s">
        <v>1942</v>
      </c>
      <c r="O72" s="113">
        <v>45728</v>
      </c>
      <c r="P72" s="60">
        <v>24.23</v>
      </c>
      <c r="Q72" s="60">
        <f t="shared" si="0"/>
        <v>7.4282608695652179</v>
      </c>
      <c r="R72" s="60">
        <f t="shared" si="1"/>
        <v>10.118260869565219</v>
      </c>
      <c r="S72" s="60">
        <f t="shared" si="1"/>
        <v>11.058260869565217</v>
      </c>
      <c r="T72" s="60">
        <f t="shared" si="1"/>
        <v>6.5682608695652185</v>
      </c>
      <c r="U72" s="60">
        <f t="shared" si="1"/>
        <v>8.0682608695652185</v>
      </c>
      <c r="V72" s="60">
        <f t="shared" si="2"/>
        <v>5.1282608695652172</v>
      </c>
    </row>
    <row r="73" spans="14:22">
      <c r="N73" t="s">
        <v>1943</v>
      </c>
      <c r="O73" s="113">
        <v>45729</v>
      </c>
      <c r="P73" s="60">
        <v>24.66</v>
      </c>
      <c r="Q73" s="60">
        <f t="shared" si="0"/>
        <v>7.8582608695652176</v>
      </c>
      <c r="R73" s="60">
        <f t="shared" si="1"/>
        <v>7.4282608695652179</v>
      </c>
      <c r="S73" s="60">
        <f t="shared" si="1"/>
        <v>10.118260869565219</v>
      </c>
      <c r="T73" s="60">
        <f t="shared" si="1"/>
        <v>11.058260869565217</v>
      </c>
      <c r="U73" s="60">
        <f t="shared" si="1"/>
        <v>6.5682608695652185</v>
      </c>
      <c r="V73" s="60">
        <f t="shared" si="2"/>
        <v>8.0682608695652185</v>
      </c>
    </row>
    <row r="74" spans="14:22">
      <c r="N74" t="s">
        <v>1944</v>
      </c>
      <c r="O74" s="113">
        <v>45730</v>
      </c>
      <c r="P74" s="60">
        <v>21.77</v>
      </c>
      <c r="Q74" s="60">
        <f t="shared" si="0"/>
        <v>4.9682608695652171</v>
      </c>
      <c r="R74" s="60">
        <f t="shared" si="1"/>
        <v>7.8582608695652176</v>
      </c>
      <c r="S74" s="60">
        <f t="shared" si="1"/>
        <v>7.4282608695652179</v>
      </c>
      <c r="T74" s="60">
        <f t="shared" si="1"/>
        <v>10.118260869565219</v>
      </c>
      <c r="U74" s="60">
        <f t="shared" si="1"/>
        <v>11.058260869565217</v>
      </c>
      <c r="V74" s="60">
        <f t="shared" si="2"/>
        <v>6.5682608695652185</v>
      </c>
    </row>
    <row r="75" spans="14:22">
      <c r="N75" t="s">
        <v>1945</v>
      </c>
      <c r="O75" s="113">
        <v>45733</v>
      </c>
      <c r="P75" s="60">
        <v>20.51</v>
      </c>
      <c r="Q75" s="60">
        <f t="shared" si="0"/>
        <v>3.7082608695652191</v>
      </c>
      <c r="R75" s="60">
        <f t="shared" si="1"/>
        <v>4.9682608695652171</v>
      </c>
      <c r="S75" s="60">
        <f t="shared" si="1"/>
        <v>7.8582608695652176</v>
      </c>
      <c r="T75" s="60">
        <f t="shared" si="1"/>
        <v>7.4282608695652179</v>
      </c>
      <c r="U75" s="60">
        <f t="shared" si="1"/>
        <v>10.118260869565219</v>
      </c>
      <c r="V75" s="60">
        <f t="shared" si="2"/>
        <v>11.058260869565217</v>
      </c>
    </row>
    <row r="76" spans="14:22">
      <c r="N76" t="s">
        <v>1946</v>
      </c>
      <c r="O76" s="113">
        <v>45734</v>
      </c>
      <c r="P76" s="60">
        <v>21.7</v>
      </c>
      <c r="Q76" s="60">
        <f t="shared" si="0"/>
        <v>4.8982608695652168</v>
      </c>
      <c r="R76" s="60">
        <f t="shared" si="1"/>
        <v>3.7082608695652191</v>
      </c>
      <c r="S76" s="60">
        <f t="shared" si="1"/>
        <v>4.9682608695652171</v>
      </c>
      <c r="T76" s="60">
        <f t="shared" si="1"/>
        <v>7.8582608695652176</v>
      </c>
      <c r="U76" s="60">
        <f t="shared" si="1"/>
        <v>7.4282608695652179</v>
      </c>
      <c r="V76" s="60">
        <f t="shared" si="2"/>
        <v>10.118260869565219</v>
      </c>
    </row>
    <row r="77" spans="14:22">
      <c r="N77" t="s">
        <v>1947</v>
      </c>
      <c r="O77" s="113">
        <v>45735</v>
      </c>
      <c r="P77" s="60">
        <v>19.899999999999999</v>
      </c>
      <c r="Q77" s="60">
        <f t="shared" si="0"/>
        <v>3.0982608695652161</v>
      </c>
      <c r="R77" s="60">
        <f t="shared" si="1"/>
        <v>4.8982608695652168</v>
      </c>
      <c r="S77" s="60">
        <f t="shared" si="1"/>
        <v>3.7082608695652191</v>
      </c>
      <c r="T77" s="60">
        <f t="shared" si="1"/>
        <v>4.9682608695652171</v>
      </c>
      <c r="U77" s="60">
        <f t="shared" si="1"/>
        <v>7.8582608695652176</v>
      </c>
      <c r="V77" s="60">
        <f t="shared" si="2"/>
        <v>7.4282608695652179</v>
      </c>
    </row>
    <row r="78" spans="14:22">
      <c r="N78" t="s">
        <v>1948</v>
      </c>
      <c r="O78" s="113">
        <v>45736</v>
      </c>
      <c r="P78" s="60">
        <v>19.8</v>
      </c>
      <c r="Q78" s="60">
        <f t="shared" si="0"/>
        <v>2.9982608695652182</v>
      </c>
      <c r="R78" s="60">
        <f t="shared" si="1"/>
        <v>3.0982608695652161</v>
      </c>
      <c r="S78" s="60">
        <f t="shared" si="1"/>
        <v>4.8982608695652168</v>
      </c>
      <c r="T78" s="60">
        <f t="shared" si="1"/>
        <v>3.7082608695652191</v>
      </c>
      <c r="U78" s="60">
        <f t="shared" si="1"/>
        <v>4.9682608695652171</v>
      </c>
      <c r="V78" s="60">
        <f t="shared" si="2"/>
        <v>7.8582608695652176</v>
      </c>
    </row>
    <row r="79" spans="14:22">
      <c r="N79" t="s">
        <v>1949</v>
      </c>
      <c r="O79" s="113">
        <v>45737</v>
      </c>
      <c r="P79" s="60">
        <v>19.28</v>
      </c>
      <c r="Q79" s="60">
        <f t="shared" si="0"/>
        <v>2.4782608695652186</v>
      </c>
      <c r="R79" s="60">
        <f t="shared" si="1"/>
        <v>2.9982608695652182</v>
      </c>
      <c r="S79" s="60">
        <f t="shared" si="1"/>
        <v>3.0982608695652161</v>
      </c>
      <c r="T79" s="60">
        <f t="shared" si="1"/>
        <v>4.8982608695652168</v>
      </c>
      <c r="U79" s="60">
        <f t="shared" si="1"/>
        <v>3.7082608695652191</v>
      </c>
      <c r="V79" s="60">
        <f t="shared" si="2"/>
        <v>4.9682608695652171</v>
      </c>
    </row>
    <row r="80" spans="14:22">
      <c r="N80" t="s">
        <v>1950</v>
      </c>
      <c r="O80" s="113">
        <v>45740</v>
      </c>
      <c r="P80" s="60">
        <v>17.48</v>
      </c>
      <c r="Q80" s="60">
        <f t="shared" si="0"/>
        <v>0.67826086956521792</v>
      </c>
      <c r="R80" s="60">
        <f t="shared" si="1"/>
        <v>2.4782608695652186</v>
      </c>
      <c r="S80" s="60">
        <f t="shared" si="1"/>
        <v>2.9982608695652182</v>
      </c>
      <c r="T80" s="60">
        <f t="shared" si="1"/>
        <v>3.0982608695652161</v>
      </c>
      <c r="U80" s="60">
        <f t="shared" si="1"/>
        <v>4.8982608695652168</v>
      </c>
      <c r="V80" s="60">
        <f t="shared" si="2"/>
        <v>3.7082608695652191</v>
      </c>
    </row>
    <row r="81" spans="14:22">
      <c r="N81" t="s">
        <v>1951</v>
      </c>
      <c r="O81" s="113">
        <v>45741</v>
      </c>
      <c r="P81" s="60">
        <v>17.149999999999999</v>
      </c>
      <c r="Q81" s="60">
        <f t="shared" si="0"/>
        <v>0.34826086956521607</v>
      </c>
      <c r="R81" s="60">
        <f t="shared" si="1"/>
        <v>0.67826086956521792</v>
      </c>
      <c r="S81" s="60">
        <f t="shared" si="1"/>
        <v>2.4782608695652186</v>
      </c>
      <c r="T81" s="60">
        <f t="shared" si="1"/>
        <v>2.9982608695652182</v>
      </c>
      <c r="U81" s="60">
        <f t="shared" si="1"/>
        <v>3.0982608695652161</v>
      </c>
      <c r="V81" s="60">
        <f t="shared" si="2"/>
        <v>4.8982608695652168</v>
      </c>
    </row>
    <row r="82" spans="14:22">
      <c r="N82" t="s">
        <v>1952</v>
      </c>
      <c r="O82" s="113">
        <v>45742</v>
      </c>
      <c r="P82" s="60">
        <v>18.329999999999998</v>
      </c>
      <c r="Q82" s="60">
        <f t="shared" si="0"/>
        <v>1.5282608695652158</v>
      </c>
      <c r="R82" s="60">
        <f t="shared" si="1"/>
        <v>0.34826086956521607</v>
      </c>
      <c r="S82" s="60">
        <f t="shared" si="1"/>
        <v>0.67826086956521792</v>
      </c>
      <c r="T82" s="60">
        <f t="shared" si="1"/>
        <v>2.4782608695652186</v>
      </c>
      <c r="U82" s="60">
        <f t="shared" si="1"/>
        <v>2.9982608695652182</v>
      </c>
      <c r="V82" s="60">
        <f t="shared" si="2"/>
        <v>3.0982608695652161</v>
      </c>
    </row>
    <row r="83" spans="14:22">
      <c r="N83" t="s">
        <v>1953</v>
      </c>
      <c r="O83" s="113">
        <v>45743</v>
      </c>
      <c r="P83" s="60">
        <v>18.690000000000001</v>
      </c>
      <c r="Q83" s="60">
        <f t="shared" si="0"/>
        <v>1.8882608695652188</v>
      </c>
      <c r="R83" s="60">
        <f t="shared" si="1"/>
        <v>1.5282608695652158</v>
      </c>
      <c r="S83" s="60">
        <f t="shared" si="1"/>
        <v>0.34826086956521607</v>
      </c>
      <c r="T83" s="60">
        <f t="shared" si="1"/>
        <v>0.67826086956521792</v>
      </c>
      <c r="U83" s="60">
        <f t="shared" si="1"/>
        <v>2.4782608695652186</v>
      </c>
      <c r="V83" s="60">
        <f t="shared" si="2"/>
        <v>2.9982608695652182</v>
      </c>
    </row>
    <row r="84" spans="14:22">
      <c r="N84" t="s">
        <v>1954</v>
      </c>
      <c r="O84" s="113">
        <v>45744</v>
      </c>
      <c r="P84" s="60">
        <v>21.65</v>
      </c>
      <c r="Q84" s="60">
        <f t="shared" si="0"/>
        <v>4.8482608695652161</v>
      </c>
      <c r="R84" s="60">
        <f t="shared" si="1"/>
        <v>1.8882608695652188</v>
      </c>
      <c r="S84" s="60">
        <f t="shared" si="1"/>
        <v>1.5282608695652158</v>
      </c>
      <c r="T84" s="60">
        <f t="shared" si="1"/>
        <v>0.34826086956521607</v>
      </c>
      <c r="U84" s="60">
        <f t="shared" si="1"/>
        <v>0.67826086956521792</v>
      </c>
      <c r="V84" s="60">
        <f t="shared" si="2"/>
        <v>2.4782608695652186</v>
      </c>
    </row>
    <row r="85" spans="14:22">
      <c r="N85" t="s">
        <v>1955</v>
      </c>
      <c r="O85" s="113">
        <v>45747</v>
      </c>
      <c r="P85" s="60">
        <v>22.28</v>
      </c>
      <c r="Q85" s="60">
        <f t="shared" si="0"/>
        <v>5.4782608695652186</v>
      </c>
      <c r="R85" s="60">
        <f t="shared" si="1"/>
        <v>4.8482608695652161</v>
      </c>
      <c r="S85" s="60">
        <f t="shared" si="1"/>
        <v>1.8882608695652188</v>
      </c>
      <c r="T85" s="60">
        <f t="shared" si="1"/>
        <v>1.5282608695652158</v>
      </c>
      <c r="U85" s="60">
        <f t="shared" si="1"/>
        <v>0.34826086956521607</v>
      </c>
      <c r="V85" s="60">
        <f t="shared" si="2"/>
        <v>0.67826086956521792</v>
      </c>
    </row>
    <row r="86" spans="14:22">
      <c r="N86" t="s">
        <v>1956</v>
      </c>
      <c r="O86" s="113">
        <v>45748</v>
      </c>
      <c r="P86" s="60">
        <v>21.77</v>
      </c>
      <c r="Q86" s="60">
        <f t="shared" si="0"/>
        <v>4.9682608695652171</v>
      </c>
      <c r="R86" s="60">
        <f t="shared" si="1"/>
        <v>5.4782608695652186</v>
      </c>
      <c r="S86" s="60">
        <f t="shared" si="1"/>
        <v>4.8482608695652161</v>
      </c>
      <c r="T86" s="60">
        <f t="shared" si="1"/>
        <v>1.8882608695652188</v>
      </c>
      <c r="U86" s="60">
        <f t="shared" si="1"/>
        <v>1.5282608695652158</v>
      </c>
      <c r="V86" s="60">
        <f t="shared" si="2"/>
        <v>0.34826086956521607</v>
      </c>
    </row>
    <row r="87" spans="14:22">
      <c r="N87" t="s">
        <v>1957</v>
      </c>
      <c r="O87" s="113">
        <v>45749</v>
      </c>
      <c r="P87" s="60">
        <v>21.51</v>
      </c>
      <c r="Q87" s="60">
        <f t="shared" ref="Q87:Q95" si="3">P87-AVERAGE($P$22:$P$44)</f>
        <v>4.7082608695652191</v>
      </c>
      <c r="R87" s="60">
        <f t="shared" ref="R87:V102" si="4">Q86</f>
        <v>4.9682608695652171</v>
      </c>
      <c r="S87" s="60">
        <f t="shared" si="4"/>
        <v>5.4782608695652186</v>
      </c>
      <c r="T87" s="60">
        <f t="shared" si="4"/>
        <v>4.8482608695652161</v>
      </c>
      <c r="U87" s="60">
        <f t="shared" si="4"/>
        <v>1.8882608695652188</v>
      </c>
      <c r="V87" s="60">
        <f t="shared" si="2"/>
        <v>1.5282608695652158</v>
      </c>
    </row>
    <row r="88" spans="14:22">
      <c r="N88" t="s">
        <v>1958</v>
      </c>
      <c r="O88" s="113">
        <v>45750</v>
      </c>
      <c r="P88" s="60">
        <v>30.02</v>
      </c>
      <c r="Q88" s="60">
        <f t="shared" si="3"/>
        <v>13.218260869565217</v>
      </c>
      <c r="R88" s="60">
        <f t="shared" si="4"/>
        <v>4.7082608695652191</v>
      </c>
      <c r="S88" s="60">
        <f t="shared" si="4"/>
        <v>4.9682608695652171</v>
      </c>
      <c r="T88" s="60">
        <f t="shared" si="4"/>
        <v>5.4782608695652186</v>
      </c>
      <c r="U88" s="60">
        <f t="shared" si="4"/>
        <v>4.8482608695652161</v>
      </c>
      <c r="V88" s="60">
        <f t="shared" si="2"/>
        <v>1.8882608695652188</v>
      </c>
    </row>
    <row r="89" spans="14:22">
      <c r="N89" t="s">
        <v>1959</v>
      </c>
      <c r="O89" s="113">
        <v>45751</v>
      </c>
      <c r="P89" s="60">
        <v>45.31</v>
      </c>
      <c r="Q89" s="60">
        <f t="shared" si="3"/>
        <v>28.50826086956522</v>
      </c>
      <c r="R89" s="60">
        <f t="shared" si="4"/>
        <v>13.218260869565217</v>
      </c>
      <c r="S89" s="60">
        <f t="shared" si="4"/>
        <v>4.7082608695652191</v>
      </c>
      <c r="T89" s="60">
        <f t="shared" si="4"/>
        <v>4.9682608695652171</v>
      </c>
      <c r="U89" s="60">
        <f t="shared" si="4"/>
        <v>5.4782608695652186</v>
      </c>
      <c r="V89" s="60">
        <f t="shared" si="2"/>
        <v>4.8482608695652161</v>
      </c>
    </row>
    <row r="90" spans="14:22">
      <c r="N90" t="s">
        <v>1960</v>
      </c>
      <c r="O90" s="113">
        <v>45754</v>
      </c>
      <c r="P90" s="60">
        <v>46.98</v>
      </c>
      <c r="Q90" s="60">
        <f t="shared" si="3"/>
        <v>30.178260869565214</v>
      </c>
      <c r="R90" s="60">
        <f t="shared" si="4"/>
        <v>28.50826086956522</v>
      </c>
      <c r="S90" s="60">
        <f t="shared" si="4"/>
        <v>13.218260869565217</v>
      </c>
      <c r="T90" s="60">
        <f t="shared" si="4"/>
        <v>4.7082608695652191</v>
      </c>
      <c r="U90" s="60">
        <f t="shared" si="4"/>
        <v>4.9682608695652171</v>
      </c>
      <c r="V90" s="60">
        <f t="shared" si="2"/>
        <v>5.4782608695652186</v>
      </c>
    </row>
    <row r="91" spans="14:22">
      <c r="N91" t="s">
        <v>1961</v>
      </c>
      <c r="O91" s="113">
        <v>45755</v>
      </c>
      <c r="P91" s="60">
        <v>52.33</v>
      </c>
      <c r="Q91" s="60">
        <f t="shared" si="3"/>
        <v>35.528260869565216</v>
      </c>
      <c r="R91" s="60">
        <f t="shared" si="4"/>
        <v>30.178260869565214</v>
      </c>
      <c r="S91" s="60">
        <f t="shared" si="4"/>
        <v>28.50826086956522</v>
      </c>
      <c r="T91" s="60">
        <f t="shared" si="4"/>
        <v>13.218260869565217</v>
      </c>
      <c r="U91" s="60">
        <f t="shared" si="4"/>
        <v>4.7082608695652191</v>
      </c>
      <c r="V91" s="60">
        <f t="shared" si="2"/>
        <v>4.9682608695652171</v>
      </c>
    </row>
    <row r="92" spans="14:22">
      <c r="N92" t="s">
        <v>1962</v>
      </c>
      <c r="O92" s="113">
        <v>45756</v>
      </c>
      <c r="P92" s="60">
        <v>33.619999999999997</v>
      </c>
      <c r="Q92" s="60">
        <f t="shared" si="3"/>
        <v>16.818260869565215</v>
      </c>
      <c r="R92" s="60">
        <f t="shared" si="4"/>
        <v>35.528260869565216</v>
      </c>
      <c r="S92" s="60">
        <f t="shared" si="4"/>
        <v>30.178260869565214</v>
      </c>
      <c r="T92" s="60">
        <f t="shared" si="4"/>
        <v>28.50826086956522</v>
      </c>
      <c r="U92" s="60">
        <f t="shared" si="4"/>
        <v>13.218260869565217</v>
      </c>
      <c r="V92" s="60">
        <f t="shared" si="2"/>
        <v>4.7082608695652191</v>
      </c>
    </row>
    <row r="93" spans="14:22">
      <c r="N93" t="s">
        <v>1963</v>
      </c>
      <c r="O93" s="113">
        <v>45757</v>
      </c>
      <c r="P93" s="60">
        <v>40.72</v>
      </c>
      <c r="Q93" s="60">
        <f t="shared" si="3"/>
        <v>23.918260869565216</v>
      </c>
      <c r="R93" s="60">
        <f t="shared" si="4"/>
        <v>16.818260869565215</v>
      </c>
      <c r="S93" s="60">
        <f t="shared" si="4"/>
        <v>35.528260869565216</v>
      </c>
      <c r="T93" s="60">
        <f t="shared" si="4"/>
        <v>30.178260869565214</v>
      </c>
      <c r="U93" s="60">
        <f t="shared" si="4"/>
        <v>28.50826086956522</v>
      </c>
      <c r="V93" s="60">
        <f t="shared" si="2"/>
        <v>13.218260869565217</v>
      </c>
    </row>
    <row r="94" spans="14:22">
      <c r="N94" t="s">
        <v>1964</v>
      </c>
      <c r="O94" s="113">
        <v>45758</v>
      </c>
      <c r="P94" s="60">
        <v>37.56</v>
      </c>
      <c r="Q94" s="60">
        <f t="shared" si="3"/>
        <v>20.75826086956522</v>
      </c>
      <c r="R94" s="60">
        <f t="shared" si="4"/>
        <v>23.918260869565216</v>
      </c>
      <c r="S94" s="60">
        <f t="shared" si="4"/>
        <v>16.818260869565215</v>
      </c>
      <c r="T94" s="60">
        <f t="shared" si="4"/>
        <v>35.528260869565216</v>
      </c>
      <c r="U94" s="60">
        <f t="shared" si="4"/>
        <v>30.178260869565214</v>
      </c>
      <c r="V94" s="60">
        <f t="shared" si="2"/>
        <v>28.50826086956522</v>
      </c>
    </row>
    <row r="95" spans="14:22">
      <c r="N95" t="s">
        <v>1965</v>
      </c>
      <c r="O95" s="113">
        <v>45761</v>
      </c>
      <c r="P95" s="60">
        <v>30.89</v>
      </c>
      <c r="Q95" s="60">
        <f t="shared" si="3"/>
        <v>14.088260869565218</v>
      </c>
      <c r="R95" s="60">
        <f>Q94</f>
        <v>20.75826086956522</v>
      </c>
      <c r="S95" s="60">
        <f t="shared" si="4"/>
        <v>23.918260869565216</v>
      </c>
      <c r="T95" s="60">
        <f t="shared" si="4"/>
        <v>16.818260869565215</v>
      </c>
      <c r="U95" s="60">
        <f t="shared" si="4"/>
        <v>35.528260869565216</v>
      </c>
      <c r="V95" s="60">
        <f t="shared" si="2"/>
        <v>30.178260869565214</v>
      </c>
    </row>
    <row r="96" spans="14:22">
      <c r="N96" t="s">
        <v>1966</v>
      </c>
      <c r="O96" s="113">
        <v>45762</v>
      </c>
      <c r="P96" s="60">
        <v>30.12</v>
      </c>
      <c r="Q96" s="60" cm="1">
        <f t="array" ref="Q96">TREND($Q$27:$Q$95,$R$27:$V$95,R96:V96,0)</f>
        <v>17.625032009391788</v>
      </c>
      <c r="R96" s="60">
        <f t="shared" ref="R96:T127" si="5">Q95</f>
        <v>14.088260869565218</v>
      </c>
      <c r="S96" s="60">
        <f t="shared" si="4"/>
        <v>20.75826086956522</v>
      </c>
      <c r="T96" s="60">
        <f t="shared" si="4"/>
        <v>23.918260869565216</v>
      </c>
      <c r="U96" s="60">
        <f t="shared" si="4"/>
        <v>16.818260869565215</v>
      </c>
      <c r="V96" s="60">
        <f t="shared" si="2"/>
        <v>35.528260869565216</v>
      </c>
    </row>
    <row r="97" spans="14:22">
      <c r="N97" t="s">
        <v>1967</v>
      </c>
      <c r="O97" s="113">
        <v>45763</v>
      </c>
      <c r="P97" s="60">
        <v>32.64</v>
      </c>
      <c r="Q97" s="60" cm="1">
        <f t="array" ref="Q97">TREND($Q$27:$Q$95,$R$27:$V$95,R97:V97,0)</f>
        <v>14.087708133224886</v>
      </c>
      <c r="R97" s="60">
        <f t="shared" si="5"/>
        <v>17.625032009391788</v>
      </c>
      <c r="S97" s="60">
        <f t="shared" si="4"/>
        <v>14.088260869565218</v>
      </c>
      <c r="T97" s="60">
        <f t="shared" si="4"/>
        <v>20.75826086956522</v>
      </c>
      <c r="U97" s="60">
        <f t="shared" si="4"/>
        <v>23.918260869565216</v>
      </c>
      <c r="V97" s="60">
        <f t="shared" si="2"/>
        <v>16.818260869565215</v>
      </c>
    </row>
    <row r="98" spans="14:22">
      <c r="N98" t="s">
        <v>1968</v>
      </c>
      <c r="O98" s="113">
        <v>45764</v>
      </c>
      <c r="P98" s="60">
        <v>29.65</v>
      </c>
      <c r="Q98" s="60" cm="1">
        <f t="array" ref="Q98">TREND($Q$27:$Q$95,$R$27:$V$95,R98:V98,0)</f>
        <v>15.651683588636566</v>
      </c>
      <c r="R98" s="60">
        <f t="shared" si="5"/>
        <v>14.087708133224886</v>
      </c>
      <c r="S98" s="60">
        <f t="shared" si="4"/>
        <v>17.625032009391788</v>
      </c>
      <c r="T98" s="60">
        <f t="shared" si="4"/>
        <v>14.088260869565218</v>
      </c>
      <c r="U98" s="60">
        <f t="shared" si="4"/>
        <v>20.75826086956522</v>
      </c>
      <c r="V98" s="60">
        <f t="shared" si="2"/>
        <v>23.918260869565216</v>
      </c>
    </row>
    <row r="99" spans="14:22">
      <c r="N99" t="s">
        <v>1969</v>
      </c>
      <c r="O99" s="113">
        <v>45765</v>
      </c>
      <c r="P99" s="60">
        <v>31.734999999999999</v>
      </c>
      <c r="Q99" s="60" cm="1">
        <f t="array" ref="Q99">TREND($Q$27:$Q$95,$R$27:$V$95,R99:V99,0)</f>
        <v>15.648412004889094</v>
      </c>
      <c r="R99" s="60">
        <f t="shared" si="5"/>
        <v>15.651683588636566</v>
      </c>
      <c r="S99" s="60">
        <f t="shared" si="4"/>
        <v>14.087708133224886</v>
      </c>
      <c r="T99" s="60">
        <f t="shared" si="4"/>
        <v>17.625032009391788</v>
      </c>
      <c r="U99" s="60">
        <f t="shared" si="4"/>
        <v>14.088260869565218</v>
      </c>
      <c r="V99" s="60">
        <f t="shared" si="2"/>
        <v>20.75826086956522</v>
      </c>
    </row>
    <row r="100" spans="14:22">
      <c r="N100" t="s">
        <v>1970</v>
      </c>
      <c r="O100" s="113">
        <v>45768</v>
      </c>
      <c r="P100" s="60">
        <v>33.82</v>
      </c>
      <c r="Q100" s="60" cm="1">
        <f t="array" ref="Q100">TREND($Q$27:$Q$95,$R$27:$V$95,R100:V100,0)</f>
        <v>14.767979605651727</v>
      </c>
      <c r="R100" s="60">
        <f t="shared" si="5"/>
        <v>15.648412004889094</v>
      </c>
      <c r="S100" s="60">
        <f t="shared" si="4"/>
        <v>15.651683588636566</v>
      </c>
      <c r="T100" s="60">
        <f t="shared" si="4"/>
        <v>14.087708133224886</v>
      </c>
      <c r="U100" s="60">
        <f t="shared" si="4"/>
        <v>17.625032009391788</v>
      </c>
      <c r="V100" s="60">
        <f t="shared" si="4"/>
        <v>14.088260869565218</v>
      </c>
    </row>
    <row r="101" spans="14:22">
      <c r="N101" t="s">
        <v>1971</v>
      </c>
      <c r="O101" s="113">
        <v>45769</v>
      </c>
      <c r="P101" s="60">
        <v>30.57</v>
      </c>
      <c r="Q101" s="60" cm="1">
        <f t="array" ref="Q101">TREND($Q$27:$Q$95,$R$27:$V$95,R101:V101,0)</f>
        <v>15.0636104473929</v>
      </c>
      <c r="R101" s="60">
        <f t="shared" si="5"/>
        <v>14.767979605651727</v>
      </c>
      <c r="S101" s="60">
        <f t="shared" si="4"/>
        <v>15.648412004889094</v>
      </c>
      <c r="T101" s="60">
        <f t="shared" si="4"/>
        <v>15.651683588636566</v>
      </c>
      <c r="U101" s="60">
        <f t="shared" si="4"/>
        <v>14.087708133224886</v>
      </c>
      <c r="V101" s="60">
        <f t="shared" si="4"/>
        <v>17.625032009391788</v>
      </c>
    </row>
    <row r="102" spans="14:22">
      <c r="N102" t="s">
        <v>1972</v>
      </c>
      <c r="O102" s="113">
        <v>45770</v>
      </c>
      <c r="P102" s="60">
        <v>28.45</v>
      </c>
      <c r="Q102" s="60" cm="1">
        <f t="array" ref="Q102">TREND($Q$27:$Q$95,$R$27:$V$95,R102:V102,0)</f>
        <v>14.013696170646249</v>
      </c>
      <c r="R102" s="60">
        <f t="shared" si="5"/>
        <v>15.0636104473929</v>
      </c>
      <c r="S102" s="60">
        <f t="shared" si="4"/>
        <v>14.767979605651727</v>
      </c>
      <c r="T102" s="60">
        <f t="shared" si="4"/>
        <v>15.648412004889094</v>
      </c>
      <c r="U102" s="60">
        <f t="shared" si="4"/>
        <v>15.651683588636566</v>
      </c>
      <c r="V102" s="60">
        <f t="shared" si="4"/>
        <v>14.087708133224886</v>
      </c>
    </row>
    <row r="103" spans="14:22">
      <c r="N103" t="s">
        <v>1973</v>
      </c>
      <c r="O103" s="113">
        <v>45771</v>
      </c>
      <c r="P103" s="60">
        <v>26.47</v>
      </c>
      <c r="Q103" s="60" cm="1">
        <f t="array" ref="Q103">TREND($Q$27:$Q$95,$R$27:$V$95,R103:V103,0)</f>
        <v>13.744487922318164</v>
      </c>
      <c r="R103" s="60">
        <f t="shared" si="5"/>
        <v>14.013696170646249</v>
      </c>
      <c r="S103" s="60">
        <f t="shared" si="5"/>
        <v>15.0636104473929</v>
      </c>
      <c r="T103" s="60">
        <f t="shared" si="5"/>
        <v>14.767979605651727</v>
      </c>
      <c r="U103" s="60">
        <f t="shared" ref="U103:V216" si="6">T102</f>
        <v>15.648412004889094</v>
      </c>
      <c r="V103" s="60">
        <f t="shared" si="6"/>
        <v>15.651683588636566</v>
      </c>
    </row>
    <row r="104" spans="14:22">
      <c r="N104" t="s">
        <v>1974</v>
      </c>
      <c r="O104" s="113">
        <v>45772</v>
      </c>
      <c r="P104" s="60">
        <v>24.84</v>
      </c>
      <c r="Q104" s="60" cm="1">
        <f t="array" ref="Q104">TREND($Q$27:$Q$95,$R$27:$V$95,R104:V104,0)</f>
        <v>13.305791592559274</v>
      </c>
      <c r="R104" s="60">
        <f t="shared" si="5"/>
        <v>13.744487922318164</v>
      </c>
      <c r="S104" s="60">
        <f t="shared" si="5"/>
        <v>14.013696170646249</v>
      </c>
      <c r="T104" s="60">
        <f t="shared" si="5"/>
        <v>15.0636104473929</v>
      </c>
      <c r="U104" s="60">
        <f t="shared" si="6"/>
        <v>14.767979605651727</v>
      </c>
      <c r="V104" s="60">
        <f t="shared" si="6"/>
        <v>15.648412004889094</v>
      </c>
    </row>
    <row r="105" spans="14:22">
      <c r="N105" t="s">
        <v>1975</v>
      </c>
      <c r="O105" s="113">
        <v>45775</v>
      </c>
      <c r="P105" s="60">
        <v>25.15</v>
      </c>
      <c r="Q105" s="60" cm="1">
        <f t="array" ref="Q105">TREND($Q$27:$Q$95,$R$27:$V$95,R105:V105,0)</f>
        <v>12.840552632210594</v>
      </c>
      <c r="R105" s="60">
        <f t="shared" si="5"/>
        <v>13.305791592559274</v>
      </c>
      <c r="S105" s="60">
        <f t="shared" si="5"/>
        <v>13.744487922318164</v>
      </c>
      <c r="T105" s="60">
        <f t="shared" si="5"/>
        <v>14.013696170646249</v>
      </c>
      <c r="U105" s="60">
        <f t="shared" si="6"/>
        <v>15.0636104473929</v>
      </c>
      <c r="V105" s="60">
        <f t="shared" si="6"/>
        <v>14.767979605651727</v>
      </c>
    </row>
    <row r="106" spans="14:22">
      <c r="N106" t="s">
        <v>1976</v>
      </c>
      <c r="O106" s="113">
        <v>45776</v>
      </c>
      <c r="P106" s="60">
        <v>24.17</v>
      </c>
      <c r="Q106" s="60" cm="1">
        <f t="array" ref="Q106">TREND($Q$27:$Q$95,$R$27:$V$95,R106:V106,0)</f>
        <v>12.625250907614264</v>
      </c>
      <c r="R106" s="60">
        <f t="shared" si="5"/>
        <v>12.840552632210594</v>
      </c>
      <c r="S106" s="60">
        <f t="shared" si="5"/>
        <v>13.305791592559274</v>
      </c>
      <c r="T106" s="60">
        <f t="shared" si="5"/>
        <v>13.744487922318164</v>
      </c>
      <c r="U106" s="60">
        <f t="shared" si="6"/>
        <v>14.013696170646249</v>
      </c>
      <c r="V106" s="60">
        <f t="shared" si="6"/>
        <v>15.0636104473929</v>
      </c>
    </row>
    <row r="107" spans="14:22">
      <c r="N107" t="s">
        <v>1977</v>
      </c>
      <c r="O107" s="113">
        <v>45777</v>
      </c>
      <c r="P107" s="60">
        <v>24.7</v>
      </c>
      <c r="Q107" s="60" cm="1">
        <f t="array" ref="Q107">TREND($Q$27:$Q$95,$R$27:$V$95,R107:V107,0)</f>
        <v>12.219428904263003</v>
      </c>
      <c r="R107" s="60">
        <f t="shared" si="5"/>
        <v>12.625250907614264</v>
      </c>
      <c r="S107" s="60">
        <f t="shared" si="5"/>
        <v>12.840552632210594</v>
      </c>
      <c r="T107" s="60">
        <f t="shared" si="5"/>
        <v>13.305791592559274</v>
      </c>
      <c r="U107" s="60">
        <f t="shared" si="6"/>
        <v>13.744487922318164</v>
      </c>
      <c r="V107" s="60">
        <f t="shared" si="6"/>
        <v>14.013696170646249</v>
      </c>
    </row>
    <row r="108" spans="14:22">
      <c r="N108" t="s">
        <v>1978</v>
      </c>
      <c r="O108" s="113">
        <v>45778</v>
      </c>
      <c r="P108" s="60">
        <v>24.6</v>
      </c>
      <c r="Q108" s="60" cm="1">
        <f t="array" ref="Q108">TREND($Q$27:$Q$95,$R$27:$V$95,R108:V108,0)</f>
        <v>11.93000605637959</v>
      </c>
      <c r="R108" s="60">
        <f t="shared" si="5"/>
        <v>12.219428904263003</v>
      </c>
      <c r="S108" s="60">
        <f t="shared" si="5"/>
        <v>12.625250907614264</v>
      </c>
      <c r="T108" s="60">
        <f t="shared" si="5"/>
        <v>12.840552632210594</v>
      </c>
      <c r="U108" s="60">
        <f t="shared" si="6"/>
        <v>13.305791592559274</v>
      </c>
      <c r="V108" s="60">
        <f t="shared" si="6"/>
        <v>13.744487922318164</v>
      </c>
    </row>
    <row r="109" spans="14:22">
      <c r="N109" t="s">
        <v>1979</v>
      </c>
      <c r="O109" s="113">
        <v>45779</v>
      </c>
      <c r="P109" s="60">
        <v>22.68</v>
      </c>
      <c r="Q109" s="60" cm="1">
        <f t="array" ref="Q109">TREND($Q$27:$Q$95,$R$27:$V$95,R109:V109,0)</f>
        <v>11.59829130836196</v>
      </c>
      <c r="R109" s="60">
        <f t="shared" si="5"/>
        <v>11.93000605637959</v>
      </c>
      <c r="S109" s="60">
        <f t="shared" si="5"/>
        <v>12.219428904263003</v>
      </c>
      <c r="T109" s="60">
        <f t="shared" si="5"/>
        <v>12.625250907614264</v>
      </c>
      <c r="U109" s="60">
        <f t="shared" si="6"/>
        <v>12.840552632210594</v>
      </c>
      <c r="V109" s="60">
        <f t="shared" si="6"/>
        <v>13.305791592559274</v>
      </c>
    </row>
    <row r="110" spans="14:22">
      <c r="N110" t="s">
        <v>1980</v>
      </c>
      <c r="O110" s="113">
        <v>45782</v>
      </c>
      <c r="P110" s="60">
        <v>23.64</v>
      </c>
      <c r="Q110" s="60" cm="1">
        <f t="array" ref="Q110">TREND($Q$27:$Q$95,$R$27:$V$95,R110:V110,0)</f>
        <v>11.256486930603398</v>
      </c>
      <c r="R110" s="60">
        <f t="shared" si="5"/>
        <v>11.59829130836196</v>
      </c>
      <c r="S110" s="60">
        <f t="shared" si="5"/>
        <v>11.93000605637959</v>
      </c>
      <c r="T110" s="60">
        <f t="shared" si="5"/>
        <v>12.219428904263003</v>
      </c>
      <c r="U110" s="60">
        <f t="shared" si="6"/>
        <v>12.625250907614264</v>
      </c>
      <c r="V110" s="60">
        <f t="shared" si="6"/>
        <v>12.840552632210594</v>
      </c>
    </row>
    <row r="111" spans="14:22">
      <c r="N111" t="s">
        <v>1981</v>
      </c>
      <c r="O111" s="113">
        <v>45783</v>
      </c>
      <c r="P111" s="60">
        <v>24.76</v>
      </c>
      <c r="Q111" s="60" cm="1">
        <f t="array" ref="Q111">TREND($Q$27:$Q$95,$R$27:$V$95,R111:V111,0)</f>
        <v>10.956935932091662</v>
      </c>
      <c r="R111" s="60">
        <f t="shared" si="5"/>
        <v>11.256486930603398</v>
      </c>
      <c r="S111" s="60">
        <f t="shared" si="5"/>
        <v>11.59829130836196</v>
      </c>
      <c r="T111" s="60">
        <f t="shared" si="5"/>
        <v>11.93000605637959</v>
      </c>
      <c r="U111" s="60">
        <f t="shared" si="6"/>
        <v>12.219428904263003</v>
      </c>
      <c r="V111" s="60">
        <f t="shared" si="6"/>
        <v>12.625250907614264</v>
      </c>
    </row>
    <row r="112" spans="14:22">
      <c r="N112" t="s">
        <v>1982</v>
      </c>
      <c r="O112" s="113">
        <v>45784</v>
      </c>
      <c r="P112" s="60">
        <v>23.55</v>
      </c>
      <c r="Q112" s="60" cm="1">
        <f t="array" ref="Q112">TREND($Q$27:$Q$111,$R$27:$V$111,R112:V112,0)</f>
        <v>10.637542320748347</v>
      </c>
      <c r="R112" s="60">
        <f t="shared" si="5"/>
        <v>10.956935932091662</v>
      </c>
      <c r="S112" s="60">
        <f t="shared" si="5"/>
        <v>11.256486930603398</v>
      </c>
      <c r="T112" s="60">
        <f t="shared" si="5"/>
        <v>11.59829130836196</v>
      </c>
      <c r="U112" s="60">
        <f t="shared" si="6"/>
        <v>11.93000605637959</v>
      </c>
      <c r="V112" s="60">
        <f t="shared" si="6"/>
        <v>12.219428904263003</v>
      </c>
    </row>
    <row r="113" spans="14:22">
      <c r="N113" t="s">
        <v>1983</v>
      </c>
      <c r="O113" s="113">
        <v>45785</v>
      </c>
      <c r="P113" s="60">
        <v>22.48</v>
      </c>
      <c r="Q113" s="60" cm="1">
        <f t="array" ref="Q113">TREND($Q$27:$Q$111,$R$27:$V$111,R113:V113,0)</f>
        <v>10.34845428653936</v>
      </c>
      <c r="R113" s="60">
        <f t="shared" si="5"/>
        <v>10.637542320748347</v>
      </c>
      <c r="S113" s="60">
        <f t="shared" si="5"/>
        <v>10.956935932091662</v>
      </c>
      <c r="T113" s="60">
        <f t="shared" si="5"/>
        <v>11.256486930603398</v>
      </c>
      <c r="U113" s="60">
        <f t="shared" si="6"/>
        <v>11.59829130836196</v>
      </c>
      <c r="V113" s="60">
        <f t="shared" si="6"/>
        <v>11.93000605637959</v>
      </c>
    </row>
    <row r="114" spans="14:22">
      <c r="N114" t="s">
        <v>1984</v>
      </c>
      <c r="O114" s="113">
        <v>45786</v>
      </c>
      <c r="P114" s="60">
        <v>21.9</v>
      </c>
      <c r="Q114" s="60" cm="1">
        <f t="array" ref="Q114">TREND($Q$27:$Q$111,$R$27:$V$111,R114:V114,0)</f>
        <v>10.062639536084621</v>
      </c>
      <c r="R114" s="60">
        <f t="shared" si="5"/>
        <v>10.34845428653936</v>
      </c>
      <c r="S114" s="60">
        <f t="shared" si="5"/>
        <v>10.637542320748347</v>
      </c>
      <c r="T114" s="60">
        <f t="shared" si="5"/>
        <v>10.956935932091662</v>
      </c>
      <c r="U114" s="60">
        <f t="shared" si="6"/>
        <v>11.256486930603398</v>
      </c>
      <c r="V114" s="60">
        <f t="shared" si="6"/>
        <v>11.59829130836196</v>
      </c>
    </row>
    <row r="115" spans="14:22">
      <c r="N115" t="s">
        <v>1985</v>
      </c>
      <c r="O115" s="113">
        <v>45789</v>
      </c>
      <c r="P115" s="60">
        <v>18.39</v>
      </c>
      <c r="Q115" s="60" cm="1">
        <f t="array" ref="Q115">TREND($Q$27:$Q$111,$R$27:$V$111,R115:V115,0)</f>
        <v>9.7829990641577282</v>
      </c>
      <c r="R115" s="60">
        <f t="shared" si="5"/>
        <v>10.062639536084621</v>
      </c>
      <c r="S115" s="60">
        <f t="shared" si="5"/>
        <v>10.34845428653936</v>
      </c>
      <c r="T115" s="60">
        <f t="shared" si="5"/>
        <v>10.637542320748347</v>
      </c>
      <c r="U115" s="60">
        <f t="shared" si="6"/>
        <v>10.956935932091662</v>
      </c>
      <c r="V115" s="60">
        <f t="shared" si="6"/>
        <v>11.256486930603398</v>
      </c>
    </row>
    <row r="116" spans="14:22">
      <c r="N116" t="s">
        <v>1986</v>
      </c>
      <c r="O116" s="113">
        <v>45790</v>
      </c>
      <c r="P116" s="60">
        <v>18.22</v>
      </c>
      <c r="Q116" s="60" cm="1">
        <f t="array" ref="Q116">TREND($Q$27:$Q$111,$R$27:$V$111,R116:V116,0)</f>
        <v>9.5156862440995642</v>
      </c>
      <c r="R116" s="60">
        <f t="shared" si="5"/>
        <v>9.7829990641577282</v>
      </c>
      <c r="S116" s="60">
        <f t="shared" si="5"/>
        <v>10.062639536084621</v>
      </c>
      <c r="T116" s="60">
        <f t="shared" si="5"/>
        <v>10.34845428653936</v>
      </c>
      <c r="U116" s="60">
        <f t="shared" si="6"/>
        <v>10.637542320748347</v>
      </c>
      <c r="V116" s="60">
        <f t="shared" si="6"/>
        <v>10.956935932091662</v>
      </c>
    </row>
    <row r="117" spans="14:22">
      <c r="N117" t="s">
        <v>1987</v>
      </c>
      <c r="O117" s="113">
        <v>45791</v>
      </c>
      <c r="P117" s="60">
        <v>18.62</v>
      </c>
      <c r="Q117" s="60" cm="1">
        <f t="array" ref="Q117">TREND($Q$27:$Q$111,$R$27:$V$111,R117:V117,0)</f>
        <v>9.2503006466673678</v>
      </c>
      <c r="R117" s="60">
        <f t="shared" si="5"/>
        <v>9.5156862440995642</v>
      </c>
      <c r="S117" s="60">
        <f t="shared" si="5"/>
        <v>9.7829990641577282</v>
      </c>
      <c r="T117" s="60">
        <f t="shared" si="5"/>
        <v>10.062639536084621</v>
      </c>
      <c r="U117" s="60">
        <f t="shared" si="6"/>
        <v>10.34845428653936</v>
      </c>
      <c r="V117" s="60">
        <f t="shared" si="6"/>
        <v>10.637542320748347</v>
      </c>
    </row>
    <row r="118" spans="14:22">
      <c r="N118" t="s">
        <v>1988</v>
      </c>
      <c r="O118" s="113">
        <v>45792</v>
      </c>
      <c r="P118" s="60">
        <v>17.829999999999998</v>
      </c>
      <c r="Q118" s="60" cm="1">
        <f t="array" ref="Q118">TREND($Q$27:$Q$111,$R$27:$V$111,R118:V118,0)</f>
        <v>8.9948585191188872</v>
      </c>
      <c r="R118" s="60">
        <f t="shared" si="5"/>
        <v>9.2503006466673678</v>
      </c>
      <c r="S118" s="60">
        <f t="shared" si="5"/>
        <v>9.5156862440995642</v>
      </c>
      <c r="T118" s="60">
        <f t="shared" si="5"/>
        <v>9.7829990641577282</v>
      </c>
      <c r="U118" s="60">
        <f t="shared" si="6"/>
        <v>10.062639536084621</v>
      </c>
      <c r="V118" s="60">
        <f t="shared" si="6"/>
        <v>10.34845428653936</v>
      </c>
    </row>
    <row r="119" spans="14:22">
      <c r="N119" t="s">
        <v>1989</v>
      </c>
      <c r="O119" s="113">
        <v>45793</v>
      </c>
      <c r="P119" s="60">
        <v>17.239999999999998</v>
      </c>
      <c r="Q119" s="60" cm="1">
        <f t="array" ref="Q119">TREND($Q$27:$Q$111,$R$27:$V$111,R119:V119,0)</f>
        <v>8.7454045886820708</v>
      </c>
      <c r="R119" s="60">
        <f t="shared" si="5"/>
        <v>8.9948585191188872</v>
      </c>
      <c r="S119" s="60">
        <f t="shared" si="5"/>
        <v>9.2503006466673678</v>
      </c>
      <c r="T119" s="60">
        <f t="shared" si="5"/>
        <v>9.5156862440995642</v>
      </c>
      <c r="U119" s="60">
        <f t="shared" si="6"/>
        <v>9.7829990641577282</v>
      </c>
      <c r="V119" s="60">
        <f t="shared" si="6"/>
        <v>10.062639536084621</v>
      </c>
    </row>
    <row r="120" spans="14:22">
      <c r="N120" t="s">
        <v>1990</v>
      </c>
      <c r="O120" s="113">
        <v>45796</v>
      </c>
      <c r="P120" s="60">
        <v>18.14</v>
      </c>
      <c r="Q120" s="60" cm="1">
        <f t="array" ref="Q120">TREND($Q$27:$Q$111,$R$27:$V$111,R120:V120,0)</f>
        <v>8.5026936829122395</v>
      </c>
      <c r="R120" s="60">
        <f t="shared" si="5"/>
        <v>8.7454045886820708</v>
      </c>
      <c r="S120" s="60">
        <f t="shared" si="5"/>
        <v>8.9948585191188872</v>
      </c>
      <c r="T120" s="60">
        <f t="shared" si="5"/>
        <v>9.2503006466673678</v>
      </c>
      <c r="U120" s="60">
        <f t="shared" si="6"/>
        <v>9.5156862440995642</v>
      </c>
      <c r="V120" s="60">
        <f t="shared" si="6"/>
        <v>9.7829990641577282</v>
      </c>
    </row>
    <row r="121" spans="14:22">
      <c r="N121" t="s">
        <v>1991</v>
      </c>
      <c r="O121" s="113">
        <v>45797</v>
      </c>
      <c r="P121" s="60">
        <v>18.09</v>
      </c>
      <c r="Q121" s="60" cm="1">
        <f t="array" ref="Q121">TREND($Q$27:$Q$111,$R$27:$V$111,R121:V121,0)</f>
        <v>8.2676454114526337</v>
      </c>
      <c r="R121" s="60">
        <f t="shared" si="5"/>
        <v>8.5026936829122395</v>
      </c>
      <c r="S121" s="60">
        <f t="shared" si="5"/>
        <v>8.7454045886820708</v>
      </c>
      <c r="T121" s="60">
        <f t="shared" si="5"/>
        <v>8.9948585191188872</v>
      </c>
      <c r="U121" s="60">
        <f t="shared" si="6"/>
        <v>9.2503006466673678</v>
      </c>
      <c r="V121" s="60">
        <f t="shared" si="6"/>
        <v>9.5156862440995642</v>
      </c>
    </row>
    <row r="122" spans="14:22">
      <c r="N122" t="s">
        <v>1992</v>
      </c>
      <c r="O122" s="113">
        <v>45798</v>
      </c>
      <c r="P122" s="60">
        <v>20.87</v>
      </c>
      <c r="Q122" s="60" cm="1">
        <f t="array" ref="Q122">TREND($Q$27:$Q$111,$R$27:$V$111,R122:V122,0)</f>
        <v>8.0384369362166233</v>
      </c>
      <c r="R122" s="60">
        <f t="shared" si="5"/>
        <v>8.2676454114526337</v>
      </c>
      <c r="S122" s="60">
        <f t="shared" si="5"/>
        <v>8.5026936829122395</v>
      </c>
      <c r="T122" s="60">
        <f t="shared" si="5"/>
        <v>8.7454045886820708</v>
      </c>
      <c r="U122" s="60">
        <f t="shared" si="6"/>
        <v>8.9948585191188872</v>
      </c>
      <c r="V122" s="60">
        <f t="shared" si="6"/>
        <v>9.2503006466673678</v>
      </c>
    </row>
    <row r="123" spans="14:22">
      <c r="N123" t="s">
        <v>1993</v>
      </c>
      <c r="O123" s="113">
        <v>45799</v>
      </c>
      <c r="P123" s="60">
        <v>20.28</v>
      </c>
      <c r="Q123" s="60" cm="1">
        <f t="array" ref="Q123">TREND($Q$27:$Q$111,$R$27:$V$111,R123:V123,0)</f>
        <v>7.8160684647014129</v>
      </c>
      <c r="R123" s="60">
        <f t="shared" si="5"/>
        <v>8.0384369362166233</v>
      </c>
      <c r="S123" s="60">
        <f t="shared" si="5"/>
        <v>8.2676454114526337</v>
      </c>
      <c r="T123" s="60">
        <f t="shared" si="5"/>
        <v>8.5026936829122395</v>
      </c>
      <c r="U123" s="60">
        <f t="shared" si="6"/>
        <v>8.7454045886820708</v>
      </c>
      <c r="V123" s="60">
        <f t="shared" si="6"/>
        <v>8.9948585191188872</v>
      </c>
    </row>
    <row r="124" spans="14:22">
      <c r="N124" t="s">
        <v>1994</v>
      </c>
      <c r="O124" s="113">
        <v>45800</v>
      </c>
      <c r="P124" s="60">
        <v>22.29</v>
      </c>
      <c r="Q124" s="60" cm="1">
        <f t="array" ref="Q124">TREND($Q$27:$Q$111,$R$27:$V$111,R124:V124,0)</f>
        <v>7.5996694150591644</v>
      </c>
      <c r="R124" s="60">
        <f t="shared" si="5"/>
        <v>7.8160684647014129</v>
      </c>
      <c r="S124" s="60">
        <f t="shared" si="5"/>
        <v>8.0384369362166233</v>
      </c>
      <c r="T124" s="60">
        <f t="shared" si="5"/>
        <v>8.2676454114526337</v>
      </c>
      <c r="U124" s="60">
        <f t="shared" si="6"/>
        <v>8.5026936829122395</v>
      </c>
      <c r="V124" s="60">
        <f t="shared" si="6"/>
        <v>8.7454045886820708</v>
      </c>
    </row>
    <row r="125" spans="14:22">
      <c r="N125" t="s">
        <v>1995</v>
      </c>
      <c r="O125" s="113">
        <v>45803</v>
      </c>
      <c r="P125" s="60">
        <v>20.57</v>
      </c>
      <c r="Q125" s="60" cm="1">
        <f t="array" ref="Q125">TREND($Q$27:$Q$111,$R$27:$V$111,R125:V125,0)</f>
        <v>7.3891899663504255</v>
      </c>
      <c r="R125" s="60">
        <f t="shared" si="5"/>
        <v>7.5996694150591644</v>
      </c>
      <c r="S125" s="60">
        <f t="shared" si="5"/>
        <v>7.8160684647014129</v>
      </c>
      <c r="T125" s="60">
        <f t="shared" si="5"/>
        <v>8.0384369362166233</v>
      </c>
      <c r="U125" s="60">
        <f t="shared" si="6"/>
        <v>8.2676454114526337</v>
      </c>
      <c r="V125" s="60">
        <f t="shared" si="6"/>
        <v>8.5026936829122395</v>
      </c>
    </row>
    <row r="126" spans="14:22">
      <c r="N126" t="s">
        <v>1996</v>
      </c>
      <c r="O126" s="113">
        <v>45804</v>
      </c>
      <c r="P126" s="60">
        <v>18.96</v>
      </c>
      <c r="Q126" s="60" cm="1">
        <f t="array" ref="Q126">TREND($Q$27:$Q$111,$R$27:$V$111,R126:V126,0)</f>
        <v>7.1846401228170036</v>
      </c>
      <c r="R126" s="60">
        <f t="shared" si="5"/>
        <v>7.3891899663504255</v>
      </c>
      <c r="S126" s="60">
        <f t="shared" si="5"/>
        <v>7.5996694150591644</v>
      </c>
      <c r="T126" s="60">
        <f t="shared" si="5"/>
        <v>7.8160684647014129</v>
      </c>
      <c r="U126" s="60">
        <f t="shared" si="6"/>
        <v>8.0384369362166233</v>
      </c>
      <c r="V126" s="60">
        <f t="shared" si="6"/>
        <v>8.2676454114526337</v>
      </c>
    </row>
    <row r="127" spans="14:22">
      <c r="N127" t="s">
        <v>1997</v>
      </c>
      <c r="O127" s="113">
        <v>45805</v>
      </c>
      <c r="P127" s="60">
        <v>19.309999999999999</v>
      </c>
      <c r="Q127" s="60" cm="1">
        <f t="array" ref="Q127">TREND($Q$27:$Q$111,$R$27:$V$111,R127:V127,0)</f>
        <v>6.9856285761927461</v>
      </c>
      <c r="R127" s="60">
        <f t="shared" si="5"/>
        <v>7.1846401228170036</v>
      </c>
      <c r="S127" s="60">
        <f t="shared" si="5"/>
        <v>7.3891899663504255</v>
      </c>
      <c r="T127" s="60">
        <f t="shared" si="5"/>
        <v>7.5996694150591644</v>
      </c>
      <c r="U127" s="60">
        <f t="shared" si="6"/>
        <v>7.8160684647014129</v>
      </c>
      <c r="V127" s="60">
        <f t="shared" si="6"/>
        <v>8.0384369362166233</v>
      </c>
    </row>
    <row r="128" spans="14:22">
      <c r="N128" t="s">
        <v>1998</v>
      </c>
      <c r="O128" s="113">
        <v>45806</v>
      </c>
      <c r="P128" s="60">
        <v>19.18</v>
      </c>
      <c r="Q128" s="60" cm="1">
        <f t="array" ref="Q128">TREND($Q$27:$Q$111,$R$27:$V$111,R128:V128,0)</f>
        <v>6.7922069619333536</v>
      </c>
      <c r="R128" s="60">
        <f t="shared" ref="R128:T212" si="7">Q127</f>
        <v>6.9856285761927461</v>
      </c>
      <c r="S128" s="60">
        <f t="shared" si="7"/>
        <v>7.1846401228170036</v>
      </c>
      <c r="T128" s="60">
        <f t="shared" si="7"/>
        <v>7.3891899663504255</v>
      </c>
      <c r="U128" s="60">
        <f t="shared" si="6"/>
        <v>7.5996694150591644</v>
      </c>
      <c r="V128" s="60">
        <f t="shared" si="6"/>
        <v>7.8160684647014129</v>
      </c>
    </row>
    <row r="129" spans="14:22">
      <c r="N129" t="s">
        <v>1999</v>
      </c>
      <c r="O129" s="113">
        <v>45807</v>
      </c>
      <c r="P129" s="60">
        <v>18.57</v>
      </c>
      <c r="Q129" s="60" cm="1">
        <f t="array" ref="Q129">TREND($Q$27:$Q$111,$R$27:$V$111,R129:V129,0)</f>
        <v>6.6041217566105521</v>
      </c>
      <c r="R129" s="60">
        <f t="shared" si="7"/>
        <v>6.7922069619333536</v>
      </c>
      <c r="S129" s="60">
        <f t="shared" si="7"/>
        <v>6.9856285761927461</v>
      </c>
      <c r="T129" s="60">
        <f t="shared" si="7"/>
        <v>7.1846401228170036</v>
      </c>
      <c r="U129" s="60">
        <f t="shared" si="6"/>
        <v>7.3891899663504255</v>
      </c>
      <c r="V129" s="60">
        <f t="shared" si="6"/>
        <v>7.5996694150591644</v>
      </c>
    </row>
    <row r="130" spans="14:22">
      <c r="N130" t="s">
        <v>2000</v>
      </c>
      <c r="O130" s="113">
        <v>45810</v>
      </c>
      <c r="P130" s="60">
        <v>18.36</v>
      </c>
      <c r="Q130" s="60" cm="1">
        <f t="array" ref="Q130">TREND($Q$27:$Q$111,$R$27:$V$111,R130:V130,0)</f>
        <v>6.4212444005000497</v>
      </c>
      <c r="R130" s="60">
        <f t="shared" si="7"/>
        <v>6.6041217566105521</v>
      </c>
      <c r="S130" s="60">
        <f t="shared" si="7"/>
        <v>6.7922069619333536</v>
      </c>
      <c r="T130" s="60">
        <f t="shared" si="7"/>
        <v>6.9856285761927461</v>
      </c>
      <c r="U130" s="60">
        <f t="shared" si="6"/>
        <v>7.1846401228170036</v>
      </c>
      <c r="V130" s="60">
        <f t="shared" si="6"/>
        <v>7.3891899663504255</v>
      </c>
    </row>
    <row r="131" spans="14:22">
      <c r="N131" t="s">
        <v>2001</v>
      </c>
      <c r="O131" s="113">
        <v>45811</v>
      </c>
      <c r="P131" s="60">
        <v>17.690000000000001</v>
      </c>
      <c r="Q131" s="60" cm="1">
        <f t="array" ref="Q131">TREND($Q$27:$Q$111,$R$27:$V$111,R131:V131,0)</f>
        <v>6.24345188843707</v>
      </c>
      <c r="R131" s="60">
        <f t="shared" si="7"/>
        <v>6.4212444005000497</v>
      </c>
      <c r="S131" s="60">
        <f t="shared" si="7"/>
        <v>6.6041217566105521</v>
      </c>
      <c r="T131" s="60">
        <f t="shared" si="7"/>
        <v>6.7922069619333536</v>
      </c>
      <c r="U131" s="60">
        <f t="shared" si="6"/>
        <v>6.9856285761927461</v>
      </c>
      <c r="V131" s="60">
        <f t="shared" si="6"/>
        <v>7.1846401228170036</v>
      </c>
    </row>
    <row r="132" spans="14:22">
      <c r="N132" t="s">
        <v>2002</v>
      </c>
      <c r="O132" s="113">
        <v>45812</v>
      </c>
      <c r="P132" s="60">
        <v>17.61</v>
      </c>
      <c r="Q132" s="60" cm="1">
        <f t="array" ref="Q132">TREND($Q$27:$Q$111,$R$27:$V$111,R132:V132,0)</f>
        <v>6.0705629623880286</v>
      </c>
      <c r="R132" s="60">
        <f t="shared" si="7"/>
        <v>6.24345188843707</v>
      </c>
      <c r="S132" s="60">
        <f t="shared" si="7"/>
        <v>6.4212444005000497</v>
      </c>
      <c r="T132" s="60">
        <f t="shared" si="7"/>
        <v>6.6041217566105521</v>
      </c>
      <c r="U132" s="60">
        <f t="shared" si="6"/>
        <v>6.7922069619333536</v>
      </c>
      <c r="V132" s="60">
        <f t="shared" si="6"/>
        <v>6.9856285761927461</v>
      </c>
    </row>
    <row r="133" spans="14:22">
      <c r="N133" t="s">
        <v>2003</v>
      </c>
      <c r="O133" s="113">
        <v>45813</v>
      </c>
      <c r="P133" s="60">
        <v>18.48</v>
      </c>
      <c r="Q133" s="60" cm="1">
        <f t="array" ref="Q133">TREND($Q$27:$Q$111,$R$27:$V$111,R133:V133,0)</f>
        <v>5.902471639980706</v>
      </c>
      <c r="R133" s="60">
        <f t="shared" si="7"/>
        <v>6.0705629623880286</v>
      </c>
      <c r="S133" s="60">
        <f t="shared" si="7"/>
        <v>6.24345188843707</v>
      </c>
      <c r="T133" s="60">
        <f t="shared" si="7"/>
        <v>6.4212444005000497</v>
      </c>
      <c r="U133" s="60">
        <f t="shared" si="6"/>
        <v>6.6041217566105521</v>
      </c>
      <c r="V133" s="60">
        <f t="shared" si="6"/>
        <v>6.7922069619333536</v>
      </c>
    </row>
    <row r="134" spans="14:22">
      <c r="N134" t="s">
        <v>2004</v>
      </c>
      <c r="O134" s="113">
        <v>45814</v>
      </c>
      <c r="P134" s="60">
        <v>16.77</v>
      </c>
      <c r="Q134" s="60" cm="1">
        <f t="array" ref="Q134">TREND($Q$27:$Q$111,$R$27:$V$111,R134:V134,0)</f>
        <v>5.7390291981877164</v>
      </c>
      <c r="R134" s="60">
        <f t="shared" si="7"/>
        <v>5.902471639980706</v>
      </c>
      <c r="S134" s="60">
        <f t="shared" si="7"/>
        <v>6.0705629623880286</v>
      </c>
      <c r="T134" s="60">
        <f t="shared" si="7"/>
        <v>6.24345188843707</v>
      </c>
      <c r="U134" s="60">
        <f t="shared" si="6"/>
        <v>6.4212444005000497</v>
      </c>
      <c r="V134" s="60">
        <f t="shared" si="6"/>
        <v>6.6041217566105521</v>
      </c>
    </row>
    <row r="135" spans="14:22">
      <c r="N135" t="s">
        <v>2005</v>
      </c>
      <c r="O135" s="113">
        <v>45817</v>
      </c>
      <c r="P135" s="60">
        <v>17.16</v>
      </c>
      <c r="Q135" s="60" cm="1">
        <f t="array" ref="Q135">TREND($Q$27:$Q$111,$R$27:$V$111,R135:V135,0)</f>
        <v>5.5801112779672337</v>
      </c>
      <c r="R135" s="60">
        <f t="shared" si="7"/>
        <v>5.7390291981877164</v>
      </c>
      <c r="S135" s="60">
        <f t="shared" si="7"/>
        <v>5.902471639980706</v>
      </c>
      <c r="T135" s="60">
        <f t="shared" si="7"/>
        <v>6.0705629623880286</v>
      </c>
      <c r="U135" s="60">
        <f t="shared" si="6"/>
        <v>6.24345188843707</v>
      </c>
      <c r="V135" s="60">
        <f t="shared" si="6"/>
        <v>6.4212444005000497</v>
      </c>
    </row>
    <row r="136" spans="14:22">
      <c r="N136" t="s">
        <v>2006</v>
      </c>
      <c r="O136" s="113">
        <v>45818</v>
      </c>
      <c r="P136" s="60">
        <v>16.95</v>
      </c>
      <c r="Q136" s="60" cm="1">
        <f t="array" ref="Q136">TREND($Q$27:$Q$111,$R$27:$V$111,R136:V136,0)</f>
        <v>5.4255969518596476</v>
      </c>
      <c r="R136" s="60">
        <f t="shared" si="7"/>
        <v>5.5801112779672337</v>
      </c>
      <c r="S136" s="60">
        <f t="shared" si="7"/>
        <v>5.7390291981877164</v>
      </c>
      <c r="T136" s="60">
        <f t="shared" si="7"/>
        <v>5.902471639980706</v>
      </c>
      <c r="U136" s="60">
        <f t="shared" si="6"/>
        <v>6.0705629623880286</v>
      </c>
      <c r="V136" s="60">
        <f t="shared" si="6"/>
        <v>6.24345188843707</v>
      </c>
    </row>
    <row r="137" spans="14:22">
      <c r="N137" t="s">
        <v>2007</v>
      </c>
      <c r="O137" s="113">
        <v>45819</v>
      </c>
      <c r="P137" s="60">
        <v>17.260000000000002</v>
      </c>
      <c r="Q137" s="60" cm="1">
        <f t="array" ref="Q137">TREND($Q$27:$Q$111,$R$27:$V$111,R137:V137,0)</f>
        <v>5.2753586020179259</v>
      </c>
      <c r="R137" s="60">
        <f t="shared" si="7"/>
        <v>5.4255969518596476</v>
      </c>
      <c r="S137" s="60">
        <f t="shared" si="7"/>
        <v>5.5801112779672337</v>
      </c>
      <c r="T137" s="60">
        <f t="shared" si="7"/>
        <v>5.7390291981877164</v>
      </c>
      <c r="U137" s="60">
        <f t="shared" si="6"/>
        <v>5.902471639980706</v>
      </c>
      <c r="V137" s="60">
        <f t="shared" si="6"/>
        <v>6.0705629623880286</v>
      </c>
    </row>
    <row r="138" spans="14:22">
      <c r="N138" t="s">
        <v>2008</v>
      </c>
      <c r="O138" s="113">
        <v>45820</v>
      </c>
      <c r="P138" s="60">
        <v>18.02</v>
      </c>
      <c r="Q138" s="60" cm="1">
        <f t="array" ref="Q138">TREND($Q$27:$Q$111,$R$27:$V$111,R138:V138,0)</f>
        <v>5.1292825949542991</v>
      </c>
      <c r="R138" s="60">
        <f t="shared" si="7"/>
        <v>5.2753586020179259</v>
      </c>
      <c r="S138" s="60">
        <f t="shared" si="7"/>
        <v>5.4255969518596476</v>
      </c>
      <c r="T138" s="60">
        <f t="shared" si="7"/>
        <v>5.5801112779672337</v>
      </c>
      <c r="U138" s="60">
        <f t="shared" si="6"/>
        <v>5.7390291981877164</v>
      </c>
      <c r="V138" s="60">
        <f t="shared" si="6"/>
        <v>5.902471639980706</v>
      </c>
    </row>
    <row r="139" spans="14:22">
      <c r="N139" t="s">
        <v>2009</v>
      </c>
      <c r="O139" s="113">
        <v>45821</v>
      </c>
      <c r="P139" s="60">
        <v>20.82</v>
      </c>
      <c r="Q139" s="60" cm="1">
        <f t="array" ref="Q139">TREND($Q$27:$Q$111,$R$27:$V$111,R139:V139,0)</f>
        <v>4.9872509051185459</v>
      </c>
      <c r="R139" s="60">
        <f t="shared" si="7"/>
        <v>5.1292825949542991</v>
      </c>
      <c r="S139" s="60">
        <f t="shared" si="7"/>
        <v>5.2753586020179259</v>
      </c>
      <c r="T139" s="60">
        <f t="shared" si="7"/>
        <v>5.4255969518596476</v>
      </c>
      <c r="U139" s="60">
        <f t="shared" si="6"/>
        <v>5.5801112779672337</v>
      </c>
      <c r="V139" s="60">
        <f t="shared" si="6"/>
        <v>5.7390291981877164</v>
      </c>
    </row>
    <row r="140" spans="14:22">
      <c r="N140" t="s">
        <v>2010</v>
      </c>
      <c r="O140" s="113">
        <v>45824</v>
      </c>
      <c r="P140" s="60">
        <v>19.11</v>
      </c>
      <c r="Q140" s="60" cm="1">
        <f t="array" ref="Q140">TREND($Q$27:$Q$111,$R$27:$V$111,R140:V140,0)</f>
        <v>4.8491519994226708</v>
      </c>
      <c r="R140" s="60">
        <f t="shared" si="7"/>
        <v>4.9872509051185459</v>
      </c>
      <c r="S140" s="60">
        <f t="shared" si="7"/>
        <v>5.1292825949542991</v>
      </c>
      <c r="T140" s="60">
        <f t="shared" si="7"/>
        <v>5.2753586020179259</v>
      </c>
      <c r="U140" s="60">
        <f t="shared" si="6"/>
        <v>5.4255969518596476</v>
      </c>
      <c r="V140" s="60">
        <f t="shared" si="6"/>
        <v>5.5801112779672337</v>
      </c>
    </row>
    <row r="141" spans="14:22">
      <c r="N141" t="s">
        <v>2011</v>
      </c>
      <c r="O141" s="113">
        <v>45825</v>
      </c>
      <c r="P141" s="60">
        <v>21.6</v>
      </c>
      <c r="Q141" s="60" cm="1">
        <f t="array" ref="Q141">TREND($Q$27:$Q$111,$R$27:$V$111,R141:V141,0)</f>
        <v>4.7148774839720513</v>
      </c>
      <c r="R141" s="60">
        <f t="shared" si="7"/>
        <v>4.8491519994226708</v>
      </c>
      <c r="S141" s="60">
        <f t="shared" si="7"/>
        <v>4.9872509051185459</v>
      </c>
      <c r="T141" s="60">
        <f t="shared" si="7"/>
        <v>5.1292825949542991</v>
      </c>
      <c r="U141" s="60">
        <f t="shared" si="6"/>
        <v>5.2753586020179259</v>
      </c>
      <c r="V141" s="60">
        <f t="shared" si="6"/>
        <v>5.4255969518596476</v>
      </c>
    </row>
    <row r="142" spans="14:22">
      <c r="N142" t="s">
        <v>2012</v>
      </c>
      <c r="O142" s="113">
        <v>45826</v>
      </c>
      <c r="P142" s="60">
        <v>20.14</v>
      </c>
      <c r="Q142" s="60" cm="1">
        <f t="array" ref="Q142">TREND($Q$27:$Q$111,$R$27:$V$111,R142:V142,0)</f>
        <v>4.5843205474974003</v>
      </c>
      <c r="R142" s="60">
        <f t="shared" si="7"/>
        <v>4.7148774839720513</v>
      </c>
      <c r="S142" s="60">
        <f t="shared" si="7"/>
        <v>4.8491519994226708</v>
      </c>
      <c r="T142" s="60">
        <f t="shared" si="7"/>
        <v>4.9872509051185459</v>
      </c>
      <c r="U142" s="60">
        <f t="shared" si="6"/>
        <v>5.1292825949542991</v>
      </c>
      <c r="V142" s="60">
        <f t="shared" si="6"/>
        <v>5.2753586020179259</v>
      </c>
    </row>
    <row r="143" spans="14:22">
      <c r="N143" t="s">
        <v>2013</v>
      </c>
      <c r="O143" s="113">
        <v>45827</v>
      </c>
      <c r="P143" s="60">
        <v>22.17</v>
      </c>
      <c r="Q143" s="60" cm="1">
        <f t="array" ref="Q143">TREND($Q$27:$Q$111,$R$27:$V$111,R143:V143,0)</f>
        <v>4.4573790488412222</v>
      </c>
      <c r="R143" s="60">
        <f t="shared" si="7"/>
        <v>4.5843205474974003</v>
      </c>
      <c r="S143" s="60">
        <f t="shared" si="7"/>
        <v>4.7148774839720513</v>
      </c>
      <c r="T143" s="60">
        <f t="shared" si="7"/>
        <v>4.8491519994226708</v>
      </c>
      <c r="U143" s="60">
        <f t="shared" si="6"/>
        <v>4.9872509051185459</v>
      </c>
      <c r="V143" s="60">
        <f t="shared" si="6"/>
        <v>5.1292825949542991</v>
      </c>
    </row>
    <row r="144" spans="14:22">
      <c r="N144" t="s">
        <v>2014</v>
      </c>
      <c r="O144" s="113">
        <v>45828</v>
      </c>
      <c r="P144" s="60">
        <v>20.62</v>
      </c>
      <c r="Q144" s="60" cm="1">
        <f t="array" ref="Q144">TREND($Q$27:$Q$111,$R$27:$V$111,R144:V144,0)</f>
        <v>4.3339524950582673</v>
      </c>
      <c r="R144" s="60">
        <f t="shared" si="7"/>
        <v>4.4573790488412222</v>
      </c>
      <c r="S144" s="60">
        <f t="shared" si="7"/>
        <v>4.5843205474974003</v>
      </c>
      <c r="T144" s="60">
        <f t="shared" si="7"/>
        <v>4.7148774839720513</v>
      </c>
      <c r="U144" s="60">
        <f t="shared" si="6"/>
        <v>4.8491519994226708</v>
      </c>
      <c r="V144" s="60">
        <f t="shared" si="6"/>
        <v>4.9872509051185459</v>
      </c>
    </row>
    <row r="145" spans="14:22">
      <c r="N145" t="s">
        <v>2015</v>
      </c>
      <c r="O145" s="113">
        <v>45831</v>
      </c>
      <c r="P145" s="60">
        <v>19.829999999999998</v>
      </c>
      <c r="Q145" s="60" cm="1">
        <f t="array" ref="Q145">TREND($Q$27:$Q$111,$R$27:$V$111,R145:V145,0)</f>
        <v>4.2139436716112435</v>
      </c>
      <c r="R145" s="60">
        <f t="shared" si="7"/>
        <v>4.3339524950582673</v>
      </c>
      <c r="S145" s="60">
        <f t="shared" si="7"/>
        <v>4.4573790488412222</v>
      </c>
      <c r="T145" s="60">
        <f t="shared" si="7"/>
        <v>4.5843205474974003</v>
      </c>
      <c r="U145" s="60">
        <f t="shared" si="6"/>
        <v>4.7148774839720513</v>
      </c>
      <c r="V145" s="60">
        <f t="shared" si="6"/>
        <v>4.8491519994226708</v>
      </c>
    </row>
    <row r="146" spans="14:22">
      <c r="N146" t="s">
        <v>2016</v>
      </c>
      <c r="O146" s="113">
        <v>45832</v>
      </c>
      <c r="P146" s="60">
        <v>17.48</v>
      </c>
      <c r="Q146" s="60" cm="1">
        <f t="array" ref="Q146">TREND($Q$27:$Q$111,$R$27:$V$111,R146:V146,0)</f>
        <v>4.0972580250469717</v>
      </c>
      <c r="R146" s="60">
        <f t="shared" si="7"/>
        <v>4.2139436716112435</v>
      </c>
      <c r="S146" s="60">
        <f t="shared" si="7"/>
        <v>4.3339524950582673</v>
      </c>
      <c r="T146" s="60">
        <f t="shared" si="7"/>
        <v>4.4573790488412222</v>
      </c>
      <c r="U146" s="60">
        <f t="shared" si="6"/>
        <v>4.5843205474974003</v>
      </c>
      <c r="V146" s="60">
        <f t="shared" si="6"/>
        <v>4.7148774839720513</v>
      </c>
    </row>
    <row r="147" spans="14:22">
      <c r="N147" t="s">
        <v>2017</v>
      </c>
      <c r="O147" s="113">
        <v>45833</v>
      </c>
      <c r="P147" s="60">
        <v>16.760000000000002</v>
      </c>
      <c r="Q147" s="60" cm="1">
        <f t="array" ref="Q147">TREND($Q$27:$Q$111,$R$27:$V$111,R147:V147,0)</f>
        <v>3.9838033835433295</v>
      </c>
      <c r="R147" s="60">
        <f t="shared" si="7"/>
        <v>4.0972580250469717</v>
      </c>
      <c r="S147" s="60">
        <f t="shared" si="7"/>
        <v>4.2139436716112435</v>
      </c>
      <c r="T147" s="60">
        <f t="shared" si="7"/>
        <v>4.3339524950582673</v>
      </c>
      <c r="U147" s="60">
        <f t="shared" si="6"/>
        <v>4.4573790488412222</v>
      </c>
      <c r="V147" s="60">
        <f t="shared" si="6"/>
        <v>4.5843205474974003</v>
      </c>
    </row>
    <row r="148" spans="14:22">
      <c r="N148" t="s">
        <v>2018</v>
      </c>
      <c r="O148" s="113">
        <v>45834</v>
      </c>
      <c r="P148" s="60">
        <v>16.59</v>
      </c>
      <c r="Q148" s="60" cm="1">
        <f t="array" ref="Q148">TREND($Q$27:$Q$111,$R$27:$V$111,R148:V148,0)</f>
        <v>3.8734903915572914</v>
      </c>
      <c r="R148" s="60">
        <f t="shared" si="7"/>
        <v>3.9838033835433295</v>
      </c>
      <c r="S148" s="60">
        <f t="shared" si="7"/>
        <v>4.0972580250469717</v>
      </c>
      <c r="T148" s="60">
        <f t="shared" si="7"/>
        <v>4.2139436716112435</v>
      </c>
      <c r="U148" s="60">
        <f t="shared" si="6"/>
        <v>4.3339524950582673</v>
      </c>
      <c r="V148" s="60">
        <f t="shared" si="6"/>
        <v>4.4573790488412222</v>
      </c>
    </row>
    <row r="149" spans="14:22">
      <c r="N149" t="s">
        <v>2019</v>
      </c>
      <c r="O149" s="113">
        <v>45835</v>
      </c>
      <c r="P149" s="60">
        <v>16.32</v>
      </c>
      <c r="Q149" s="60" cm="1">
        <f t="array" ref="Q149">TREND($Q$27:$Q$111,$R$27:$V$111,R149:V149,0)</f>
        <v>3.7662319856754385</v>
      </c>
      <c r="R149" s="60">
        <f t="shared" si="7"/>
        <v>3.8734903915572914</v>
      </c>
      <c r="S149" s="60">
        <f t="shared" si="7"/>
        <v>3.9838033835433295</v>
      </c>
      <c r="T149" s="60">
        <f t="shared" si="7"/>
        <v>4.0972580250469717</v>
      </c>
      <c r="U149" s="60">
        <f t="shared" si="6"/>
        <v>4.2139436716112435</v>
      </c>
      <c r="V149" s="60">
        <f t="shared" si="6"/>
        <v>4.3339524950582673</v>
      </c>
    </row>
    <row r="150" spans="14:22">
      <c r="N150" t="s">
        <v>2020</v>
      </c>
      <c r="O150" s="113">
        <v>45838</v>
      </c>
      <c r="P150" s="60">
        <v>16.73</v>
      </c>
      <c r="Q150" s="60" cm="1">
        <f t="array" ref="Q150">TREND($Q$27:$Q$111,$R$27:$V$111,R150:V150,0)</f>
        <v>3.6619435997478798</v>
      </c>
      <c r="R150" s="60">
        <f t="shared" si="7"/>
        <v>3.7662319856754385</v>
      </c>
      <c r="S150" s="60">
        <f t="shared" si="7"/>
        <v>3.8734903915572914</v>
      </c>
      <c r="T150" s="60">
        <f t="shared" si="7"/>
        <v>3.9838033835433295</v>
      </c>
      <c r="U150" s="60">
        <f t="shared" si="6"/>
        <v>4.0972580250469717</v>
      </c>
      <c r="V150" s="60">
        <f t="shared" si="6"/>
        <v>4.2139436716112435</v>
      </c>
    </row>
    <row r="151" spans="14:22">
      <c r="N151" t="s">
        <v>2021</v>
      </c>
      <c r="O151" s="113">
        <v>45839</v>
      </c>
      <c r="P151" s="60">
        <v>16.829999999999998</v>
      </c>
      <c r="Q151" s="60" cm="1">
        <f t="array" ref="Q151">TREND($Q$27:$Q$111,$R$27:$V$111,R151:V151,0)</f>
        <v>3.5605430074236888</v>
      </c>
      <c r="R151" s="60">
        <f t="shared" si="7"/>
        <v>3.6619435997478798</v>
      </c>
      <c r="S151" s="60">
        <f t="shared" si="7"/>
        <v>3.7662319856754385</v>
      </c>
      <c r="T151" s="60">
        <f t="shared" si="7"/>
        <v>3.8734903915572914</v>
      </c>
      <c r="U151" s="60">
        <f t="shared" si="6"/>
        <v>3.9838033835433295</v>
      </c>
      <c r="V151" s="60">
        <f t="shared" si="6"/>
        <v>4.0972580250469717</v>
      </c>
    </row>
    <row r="152" spans="14:22">
      <c r="N152" t="s">
        <v>2022</v>
      </c>
      <c r="O152" s="113">
        <v>45840</v>
      </c>
      <c r="P152" s="60">
        <v>16.64</v>
      </c>
      <c r="Q152" s="60" cm="1">
        <f t="array" ref="Q152">TREND($Q$27:$Q$111,$R$27:$V$111,R152:V152,0)</f>
        <v>3.4619502240667397</v>
      </c>
      <c r="R152" s="60">
        <f t="shared" si="7"/>
        <v>3.5605430074236888</v>
      </c>
      <c r="S152" s="60">
        <f t="shared" si="7"/>
        <v>3.6619435997478798</v>
      </c>
      <c r="T152" s="60">
        <f t="shared" si="7"/>
        <v>3.7662319856754385</v>
      </c>
      <c r="U152" s="60">
        <f t="shared" si="6"/>
        <v>3.8734903915572914</v>
      </c>
      <c r="V152" s="60">
        <f t="shared" si="6"/>
        <v>3.9838033835433295</v>
      </c>
    </row>
    <row r="153" spans="14:22">
      <c r="N153" t="s">
        <v>2023</v>
      </c>
      <c r="O153" s="113">
        <v>45841</v>
      </c>
      <c r="P153" s="60">
        <v>16.38</v>
      </c>
      <c r="Q153" s="60" cm="1">
        <f t="array" ref="Q153">TREND($Q$27:$Q$111,$R$27:$V$111,R153:V153,0)</f>
        <v>3.3660875202966443</v>
      </c>
      <c r="R153" s="60">
        <f t="shared" si="7"/>
        <v>3.4619502240667397</v>
      </c>
      <c r="S153" s="60">
        <f t="shared" si="7"/>
        <v>3.5605430074236888</v>
      </c>
      <c r="T153" s="60">
        <f t="shared" si="7"/>
        <v>3.6619435997478798</v>
      </c>
      <c r="U153" s="60">
        <f t="shared" si="6"/>
        <v>3.7662319856754385</v>
      </c>
      <c r="V153" s="60">
        <f t="shared" si="6"/>
        <v>3.8734903915572914</v>
      </c>
    </row>
    <row r="154" spans="14:22">
      <c r="N154" t="s">
        <v>2024</v>
      </c>
      <c r="O154" s="113">
        <v>45842</v>
      </c>
      <c r="P154" s="60">
        <v>17.48</v>
      </c>
      <c r="Q154" s="60" cm="1">
        <f t="array" ref="Q154">TREND($Q$27:$Q$111,$R$27:$V$111,R154:V154,0)</f>
        <v>3.2728792887664233</v>
      </c>
      <c r="R154" s="60">
        <f t="shared" si="7"/>
        <v>3.3660875202966443</v>
      </c>
      <c r="S154" s="60">
        <f t="shared" si="7"/>
        <v>3.4619502240667397</v>
      </c>
      <c r="T154" s="60">
        <f t="shared" si="7"/>
        <v>3.5605430074236888</v>
      </c>
      <c r="U154" s="60">
        <f t="shared" si="6"/>
        <v>3.6619435997478798</v>
      </c>
      <c r="V154" s="60">
        <f t="shared" si="6"/>
        <v>3.7662319856754385</v>
      </c>
    </row>
    <row r="155" spans="14:22">
      <c r="N155" t="s">
        <v>2025</v>
      </c>
      <c r="O155" s="113">
        <v>45845</v>
      </c>
      <c r="P155" s="60">
        <v>17.79</v>
      </c>
      <c r="Q155" s="60" cm="1">
        <f t="array" ref="Q155">TREND($Q$27:$Q$111,$R$27:$V$111,R155:V155,0)</f>
        <v>3.1822520285326608</v>
      </c>
      <c r="R155" s="60">
        <f t="shared" si="7"/>
        <v>3.2728792887664233</v>
      </c>
      <c r="S155" s="60">
        <f t="shared" si="7"/>
        <v>3.3660875202966443</v>
      </c>
      <c r="T155" s="60">
        <f t="shared" si="7"/>
        <v>3.4619502240667397</v>
      </c>
      <c r="U155" s="60">
        <f t="shared" si="6"/>
        <v>3.5605430074236888</v>
      </c>
      <c r="V155" s="60">
        <f t="shared" si="6"/>
        <v>3.6619435997478798</v>
      </c>
    </row>
    <row r="156" spans="14:22">
      <c r="N156" t="s">
        <v>2026</v>
      </c>
      <c r="O156" s="113">
        <v>45846</v>
      </c>
      <c r="P156" s="60">
        <v>16.809999999999999</v>
      </c>
      <c r="Q156" s="60" cm="1">
        <f t="array" ref="Q156">TREND($Q$27:$Q$111,$R$27:$V$111,R156:V156,0)</f>
        <v>3.0941342730417665</v>
      </c>
      <c r="R156" s="60">
        <f t="shared" si="7"/>
        <v>3.1822520285326608</v>
      </c>
      <c r="S156" s="60">
        <f t="shared" si="7"/>
        <v>3.2728792887664233</v>
      </c>
      <c r="T156" s="60">
        <f t="shared" si="7"/>
        <v>3.3660875202966443</v>
      </c>
      <c r="U156" s="60">
        <f t="shared" si="6"/>
        <v>3.4619502240667397</v>
      </c>
      <c r="V156" s="60">
        <f t="shared" si="6"/>
        <v>3.5605430074236888</v>
      </c>
    </row>
    <row r="157" spans="14:22">
      <c r="N157" t="s">
        <v>2027</v>
      </c>
      <c r="O157" s="113">
        <v>45847</v>
      </c>
      <c r="P157" s="60">
        <v>15.94</v>
      </c>
      <c r="Q157" s="60" cm="1">
        <f t="array" ref="Q157">TREND($Q$27:$Q$111,$R$27:$V$111,R157:V157,0)</f>
        <v>3.0084565294355228</v>
      </c>
      <c r="R157" s="60">
        <f t="shared" si="7"/>
        <v>3.0941342730417665</v>
      </c>
      <c r="S157" s="60">
        <f t="shared" si="7"/>
        <v>3.1822520285326608</v>
      </c>
      <c r="T157" s="60">
        <f t="shared" si="7"/>
        <v>3.2728792887664233</v>
      </c>
      <c r="U157" s="60">
        <f t="shared" si="6"/>
        <v>3.3660875202966443</v>
      </c>
      <c r="V157" s="60">
        <f t="shared" si="6"/>
        <v>3.4619502240667397</v>
      </c>
    </row>
    <row r="158" spans="14:22">
      <c r="N158" t="s">
        <v>2028</v>
      </c>
      <c r="O158" s="113">
        <v>45848</v>
      </c>
      <c r="P158" s="60">
        <v>15.78</v>
      </c>
      <c r="Q158" s="60" cm="1">
        <f t="array" ref="Q158">TREND($Q$27:$Q$111,$R$27:$V$111,R158:V158,0)</f>
        <v>2.9251512358046123</v>
      </c>
      <c r="R158" s="60">
        <f t="shared" si="7"/>
        <v>3.0084565294355228</v>
      </c>
      <c r="S158" s="60">
        <f t="shared" si="7"/>
        <v>3.0941342730417665</v>
      </c>
      <c r="T158" s="60">
        <f t="shared" si="7"/>
        <v>3.1822520285326608</v>
      </c>
      <c r="U158" s="60">
        <f t="shared" si="6"/>
        <v>3.2728792887664233</v>
      </c>
      <c r="V158" s="60">
        <f t="shared" si="6"/>
        <v>3.3660875202966443</v>
      </c>
    </row>
    <row r="159" spans="14:22">
      <c r="N159" t="s">
        <v>2029</v>
      </c>
      <c r="O159" s="113">
        <v>45849</v>
      </c>
      <c r="P159" s="60">
        <v>16.399999999999999</v>
      </c>
      <c r="Q159" s="60" cm="1">
        <f t="array" ref="Q159">TREND($Q$27:$Q$111,$R$27:$V$111,R159:V159,0)</f>
        <v>2.8441526965142421</v>
      </c>
      <c r="R159" s="60">
        <f t="shared" si="7"/>
        <v>2.9251512358046123</v>
      </c>
      <c r="S159" s="60">
        <f t="shared" si="7"/>
        <v>3.0084565294355228</v>
      </c>
      <c r="T159" s="60">
        <f t="shared" si="7"/>
        <v>3.0941342730417665</v>
      </c>
      <c r="U159" s="60">
        <f t="shared" si="6"/>
        <v>3.1822520285326608</v>
      </c>
      <c r="V159" s="60">
        <f t="shared" si="6"/>
        <v>3.2728792887664233</v>
      </c>
    </row>
    <row r="160" spans="14:22">
      <c r="N160" t="s">
        <v>2030</v>
      </c>
      <c r="O160" s="113">
        <v>45852</v>
      </c>
      <c r="P160" s="60">
        <v>17.2</v>
      </c>
      <c r="Q160" s="60" cm="1">
        <f t="array" ref="Q160">TREND($Q$27:$Q$111,$R$27:$V$111,R160:V160,0)</f>
        <v>2.7653970372200352</v>
      </c>
      <c r="R160" s="60">
        <f t="shared" si="7"/>
        <v>2.8441526965142421</v>
      </c>
      <c r="S160" s="60">
        <f t="shared" si="7"/>
        <v>2.9251512358046123</v>
      </c>
      <c r="T160" s="60">
        <f t="shared" si="7"/>
        <v>3.0084565294355228</v>
      </c>
      <c r="U160" s="60">
        <f t="shared" si="6"/>
        <v>3.0941342730417665</v>
      </c>
      <c r="V160" s="60">
        <f t="shared" si="6"/>
        <v>3.1822520285326608</v>
      </c>
    </row>
    <row r="161" spans="14:22">
      <c r="N161" t="s">
        <v>2031</v>
      </c>
      <c r="O161" s="113">
        <v>45853</v>
      </c>
      <c r="P161" s="60">
        <v>17.38</v>
      </c>
      <c r="Q161" s="60" cm="1">
        <f t="array" ref="Q161">TREND($Q$27:$Q$111,$R$27:$V$111,R161:V161,0)</f>
        <v>2.6888221520794877</v>
      </c>
      <c r="R161" s="60">
        <f t="shared" si="7"/>
        <v>2.7653970372200352</v>
      </c>
      <c r="S161" s="60">
        <f t="shared" si="7"/>
        <v>2.8441526965142421</v>
      </c>
      <c r="T161" s="60">
        <f t="shared" si="7"/>
        <v>2.9251512358046123</v>
      </c>
      <c r="U161" s="60">
        <f t="shared" si="6"/>
        <v>3.0084565294355228</v>
      </c>
      <c r="V161" s="60">
        <f t="shared" si="6"/>
        <v>3.0941342730417665</v>
      </c>
    </row>
    <row r="162" spans="14:22">
      <c r="N162" t="s">
        <v>2032</v>
      </c>
      <c r="O162" s="113">
        <v>45854</v>
      </c>
      <c r="P162" s="60">
        <v>17.16</v>
      </c>
      <c r="Q162" s="60" cm="1">
        <f t="array" ref="Q162">TREND($Q$27:$Q$111,$R$27:$V$111,R162:V162,0)</f>
        <v>2.6143676541065504</v>
      </c>
      <c r="R162" s="60">
        <f t="shared" si="7"/>
        <v>2.6888221520794877</v>
      </c>
      <c r="S162" s="60">
        <f t="shared" si="7"/>
        <v>2.7653970372200352</v>
      </c>
      <c r="T162" s="60">
        <f t="shared" si="7"/>
        <v>2.8441526965142421</v>
      </c>
      <c r="U162" s="60">
        <f t="shared" si="6"/>
        <v>2.9251512358046123</v>
      </c>
      <c r="V162" s="60">
        <f t="shared" si="6"/>
        <v>3.0084565294355228</v>
      </c>
    </row>
    <row r="163" spans="14:22">
      <c r="N163" t="s">
        <v>2033</v>
      </c>
      <c r="O163" s="113">
        <v>45855</v>
      </c>
      <c r="P163" s="60">
        <v>16.52</v>
      </c>
      <c r="Q163" s="60" cm="1">
        <f t="array" ref="Q163">TREND($Q$27:$Q$111,$R$27:$V$111,R163:V163,0)</f>
        <v>2.541974829436445</v>
      </c>
      <c r="R163" s="60">
        <f t="shared" si="7"/>
        <v>2.6143676541065504</v>
      </c>
      <c r="S163" s="60">
        <f t="shared" si="7"/>
        <v>2.6888221520794877</v>
      </c>
      <c r="T163" s="60">
        <f t="shared" si="7"/>
        <v>2.7653970372200352</v>
      </c>
      <c r="U163" s="60">
        <f t="shared" si="6"/>
        <v>2.8441526965142421</v>
      </c>
      <c r="V163" s="60">
        <f t="shared" si="6"/>
        <v>2.9251512358046123</v>
      </c>
    </row>
    <row r="164" spans="14:22">
      <c r="N164" t="s">
        <v>2034</v>
      </c>
      <c r="O164" s="113">
        <v>45856</v>
      </c>
      <c r="P164" s="60">
        <v>16.41</v>
      </c>
      <c r="Q164" s="60" cm="1">
        <f t="array" ref="Q164">TREND($Q$27:$Q$111,$R$27:$V$111,R164:V164,0)</f>
        <v>2.4715865892703084</v>
      </c>
      <c r="R164" s="60">
        <f t="shared" si="7"/>
        <v>2.541974829436445</v>
      </c>
      <c r="S164" s="60">
        <f t="shared" si="7"/>
        <v>2.6143676541065504</v>
      </c>
      <c r="T164" s="60">
        <f t="shared" si="7"/>
        <v>2.6888221520794877</v>
      </c>
      <c r="U164" s="60">
        <f t="shared" si="6"/>
        <v>2.7653970372200352</v>
      </c>
      <c r="V164" s="60">
        <f t="shared" si="6"/>
        <v>2.8441526965142421</v>
      </c>
    </row>
    <row r="165" spans="14:22">
      <c r="N165" t="s">
        <v>2035</v>
      </c>
      <c r="O165" s="113">
        <v>45859</v>
      </c>
      <c r="P165" s="60">
        <v>16.649999999999999</v>
      </c>
      <c r="Q165" s="60" cm="1">
        <f t="array" ref="Q165">TREND($Q$27:$Q$111,$R$27:$V$111,R165:V165,0)</f>
        <v>2.4031474259692072</v>
      </c>
      <c r="R165" s="60">
        <f t="shared" si="7"/>
        <v>2.4715865892703084</v>
      </c>
      <c r="S165" s="60">
        <f t="shared" si="7"/>
        <v>2.541974829436445</v>
      </c>
      <c r="T165" s="60">
        <f t="shared" si="7"/>
        <v>2.6143676541065504</v>
      </c>
      <c r="U165" s="60">
        <f t="shared" si="6"/>
        <v>2.6888221520794877</v>
      </c>
      <c r="V165" s="60">
        <f t="shared" si="6"/>
        <v>2.7653970372200352</v>
      </c>
    </row>
    <row r="166" spans="14:22">
      <c r="N166" t="s">
        <v>2036</v>
      </c>
      <c r="O166" s="113">
        <v>45860</v>
      </c>
      <c r="P166" s="60">
        <v>16.5</v>
      </c>
      <c r="Q166" s="60" cm="1">
        <f t="array" ref="Q166">TREND($Q$27:$Q$111,$R$27:$V$111,R166:V166,0)</f>
        <v>2.3366033689000454</v>
      </c>
      <c r="R166" s="60">
        <f t="shared" si="7"/>
        <v>2.4031474259692072</v>
      </c>
      <c r="S166" s="60">
        <f t="shared" si="7"/>
        <v>2.4715865892703084</v>
      </c>
      <c r="T166" s="60">
        <f t="shared" si="7"/>
        <v>2.541974829436445</v>
      </c>
      <c r="U166" s="60">
        <f t="shared" si="6"/>
        <v>2.6143676541065504</v>
      </c>
      <c r="V166" s="60">
        <f t="shared" si="6"/>
        <v>2.6888221520794877</v>
      </c>
    </row>
    <row r="167" spans="14:22">
      <c r="N167" t="s">
        <v>2037</v>
      </c>
      <c r="O167" s="113">
        <v>45861</v>
      </c>
      <c r="P167" s="60">
        <v>15.37</v>
      </c>
      <c r="Q167" s="60" cm="1">
        <f t="array" ref="Q167">TREND($Q$27:$Q$111,$R$27:$V$111,R167:V167,0)</f>
        <v>2.2719019417762407</v>
      </c>
      <c r="R167" s="60">
        <f t="shared" si="7"/>
        <v>2.3366033689000454</v>
      </c>
      <c r="S167" s="60">
        <f t="shared" si="7"/>
        <v>2.4031474259692072</v>
      </c>
      <c r="T167" s="60">
        <f t="shared" si="7"/>
        <v>2.4715865892703084</v>
      </c>
      <c r="U167" s="60">
        <f t="shared" si="6"/>
        <v>2.541974829436445</v>
      </c>
      <c r="V167" s="60">
        <f t="shared" si="6"/>
        <v>2.6143676541065504</v>
      </c>
    </row>
    <row r="168" spans="14:22">
      <c r="N168" t="s">
        <v>2038</v>
      </c>
      <c r="O168" s="113">
        <v>45862</v>
      </c>
      <c r="P168" s="60">
        <v>15.39</v>
      </c>
      <c r="Q168" s="60" cm="1">
        <f t="array" ref="Q168">TREND($Q$27:$Q$111,$R$27:$V$111,R168:V168,0)</f>
        <v>2.2089921215595654</v>
      </c>
      <c r="R168" s="60">
        <f t="shared" si="7"/>
        <v>2.2719019417762407</v>
      </c>
      <c r="S168" s="60">
        <f t="shared" si="7"/>
        <v>2.3366033689000454</v>
      </c>
      <c r="T168" s="60">
        <f t="shared" si="7"/>
        <v>2.4031474259692072</v>
      </c>
      <c r="U168" s="60">
        <f t="shared" si="6"/>
        <v>2.4715865892703084</v>
      </c>
      <c r="V168" s="60">
        <f t="shared" si="6"/>
        <v>2.541974829436445</v>
      </c>
    </row>
    <row r="169" spans="14:22">
      <c r="N169" t="s">
        <v>2039</v>
      </c>
      <c r="O169" s="113">
        <v>45863</v>
      </c>
      <c r="P169" s="60">
        <v>14.93</v>
      </c>
      <c r="Q169" s="60" cm="1">
        <f t="array" ref="Q169">TREND($Q$27:$Q$111,$R$27:$V$111,R169:V169,0)</f>
        <v>2.1478242979410944</v>
      </c>
      <c r="R169" s="60">
        <f t="shared" si="7"/>
        <v>2.2089921215595654</v>
      </c>
      <c r="S169" s="60">
        <f t="shared" si="7"/>
        <v>2.2719019417762407</v>
      </c>
      <c r="T169" s="60">
        <f t="shared" si="7"/>
        <v>2.3366033689000454</v>
      </c>
      <c r="U169" s="60">
        <f t="shared" si="6"/>
        <v>2.4031474259692072</v>
      </c>
      <c r="V169" s="60">
        <f t="shared" si="6"/>
        <v>2.4715865892703084</v>
      </c>
    </row>
    <row r="170" spans="14:22">
      <c r="N170" t="s">
        <v>2040</v>
      </c>
      <c r="O170" s="113">
        <v>45866</v>
      </c>
      <c r="P170" s="60">
        <v>15.03</v>
      </c>
      <c r="Q170" s="60" cm="1">
        <f t="array" ref="Q170">TREND($Q$27:$Q$111,$R$27:$V$111,R170:V170,0)</f>
        <v>2.0883502343926112</v>
      </c>
      <c r="R170" s="60">
        <f t="shared" si="7"/>
        <v>2.1478242979410944</v>
      </c>
      <c r="S170" s="60">
        <f t="shared" si="7"/>
        <v>2.2089921215595654</v>
      </c>
      <c r="T170" s="60">
        <f t="shared" si="7"/>
        <v>2.2719019417762407</v>
      </c>
      <c r="U170" s="60">
        <f t="shared" si="6"/>
        <v>2.3366033689000454</v>
      </c>
      <c r="V170" s="60">
        <f t="shared" si="6"/>
        <v>2.4031474259692072</v>
      </c>
    </row>
    <row r="171" spans="14:22">
      <c r="N171" t="s">
        <v>2041</v>
      </c>
      <c r="O171" s="113">
        <v>45867</v>
      </c>
      <c r="P171" s="60">
        <v>15.98</v>
      </c>
      <c r="Q171" s="60" cm="1">
        <f t="array" ref="Q171">TREND($Q$27:$Q$111,$R$27:$V$111,R171:V171,0)</f>
        <v>2.0305230300659103</v>
      </c>
      <c r="R171" s="60">
        <f t="shared" si="7"/>
        <v>2.0883502343926112</v>
      </c>
      <c r="S171" s="60">
        <f t="shared" si="7"/>
        <v>2.1478242979410944</v>
      </c>
      <c r="T171" s="60">
        <f t="shared" si="7"/>
        <v>2.2089921215595654</v>
      </c>
      <c r="U171" s="60">
        <f t="shared" si="6"/>
        <v>2.2719019417762407</v>
      </c>
      <c r="V171" s="60">
        <f t="shared" si="6"/>
        <v>2.3366033689000454</v>
      </c>
    </row>
    <row r="172" spans="14:22">
      <c r="N172" t="s">
        <v>2042</v>
      </c>
      <c r="O172" s="113">
        <v>45868</v>
      </c>
      <c r="P172" s="60">
        <v>15.48</v>
      </c>
      <c r="Q172" s="60" cm="1">
        <f t="array" ref="Q172">TREND($Q$27:$Q$111,$R$27:$V$111,R172:V172,0)</f>
        <v>1.9742970827948296</v>
      </c>
      <c r="R172" s="60">
        <f t="shared" si="7"/>
        <v>2.0305230300659103</v>
      </c>
      <c r="S172" s="60">
        <f t="shared" si="7"/>
        <v>2.0883502343926112</v>
      </c>
      <c r="T172" s="60">
        <f t="shared" si="7"/>
        <v>2.1478242979410944</v>
      </c>
      <c r="U172" s="60">
        <f t="shared" si="6"/>
        <v>2.2089921215595654</v>
      </c>
      <c r="V172" s="60">
        <f t="shared" si="6"/>
        <v>2.2719019417762407</v>
      </c>
    </row>
    <row r="173" spans="14:22">
      <c r="N173" t="s">
        <v>2043</v>
      </c>
      <c r="O173" s="113">
        <v>45869</v>
      </c>
      <c r="P173" s="60">
        <v>16.72</v>
      </c>
      <c r="Q173" s="60" cm="1">
        <f t="array" ref="Q173">TREND($Q$27:$Q$111,$R$27:$V$111,R173:V173,0)</f>
        <v>1.9196280531793701</v>
      </c>
      <c r="R173" s="60">
        <f t="shared" si="7"/>
        <v>1.9742970827948296</v>
      </c>
      <c r="S173" s="60">
        <f t="shared" si="7"/>
        <v>2.0305230300659103</v>
      </c>
      <c r="T173" s="60">
        <f t="shared" si="7"/>
        <v>2.0883502343926112</v>
      </c>
      <c r="U173" s="60">
        <f t="shared" si="6"/>
        <v>2.1478242979410944</v>
      </c>
      <c r="V173" s="60">
        <f t="shared" si="6"/>
        <v>2.2089921215595654</v>
      </c>
    </row>
    <row r="174" spans="14:22">
      <c r="N174" t="s">
        <v>2044</v>
      </c>
      <c r="O174" s="113">
        <v>45870</v>
      </c>
      <c r="P174" s="60">
        <v>20.38</v>
      </c>
      <c r="Q174" s="60" cm="1">
        <f t="array" ref="Q174">TREND($Q$27:$Q$111,$R$27:$V$111,R174:V174,0)</f>
        <v>1.8664728295763342</v>
      </c>
      <c r="R174" s="60">
        <f t="shared" si="7"/>
        <v>1.9196280531793701</v>
      </c>
      <c r="S174" s="60">
        <f t="shared" si="7"/>
        <v>1.9742970827948296</v>
      </c>
      <c r="T174" s="60">
        <f t="shared" si="7"/>
        <v>2.0305230300659103</v>
      </c>
      <c r="U174" s="60">
        <f t="shared" si="6"/>
        <v>2.0883502343926112</v>
      </c>
      <c r="V174" s="60">
        <f t="shared" si="6"/>
        <v>2.1478242979410944</v>
      </c>
    </row>
    <row r="175" spans="14:22">
      <c r="N175" t="s">
        <v>2045</v>
      </c>
      <c r="O175" s="113">
        <v>45873</v>
      </c>
      <c r="P175" s="60">
        <v>17.52</v>
      </c>
      <c r="Q175" s="60" cm="1">
        <f t="array" ref="Q175">TREND($Q$27:$Q$111,$R$27:$V$111,R175:V175,0)</f>
        <v>1.8147894941293587</v>
      </c>
      <c r="R175" s="60">
        <f t="shared" si="7"/>
        <v>1.8664728295763342</v>
      </c>
      <c r="S175" s="60">
        <f t="shared" si="7"/>
        <v>1.9196280531793701</v>
      </c>
      <c r="T175" s="60">
        <f t="shared" si="7"/>
        <v>1.9742970827948296</v>
      </c>
      <c r="U175" s="60">
        <f t="shared" si="6"/>
        <v>2.0305230300659103</v>
      </c>
      <c r="V175" s="60">
        <f t="shared" si="6"/>
        <v>2.0883502343926112</v>
      </c>
    </row>
    <row r="176" spans="14:22">
      <c r="N176" t="s">
        <v>2046</v>
      </c>
      <c r="O176" s="113">
        <v>45874</v>
      </c>
      <c r="P176" s="60">
        <v>17.850000000000001</v>
      </c>
      <c r="Q176" s="60" cm="1">
        <f t="array" ref="Q176">TREND($Q$27:$Q$111,$R$27:$V$111,R176:V176,0)</f>
        <v>1.7645372897023772</v>
      </c>
      <c r="R176" s="60">
        <f t="shared" si="7"/>
        <v>1.8147894941293587</v>
      </c>
      <c r="S176" s="60">
        <f t="shared" si="7"/>
        <v>1.8664728295763342</v>
      </c>
      <c r="T176" s="60">
        <f t="shared" si="7"/>
        <v>1.9196280531793701</v>
      </c>
      <c r="U176" s="60">
        <f t="shared" si="6"/>
        <v>1.9742970827948296</v>
      </c>
      <c r="V176" s="60">
        <f t="shared" si="6"/>
        <v>2.0305230300659103</v>
      </c>
    </row>
    <row r="177" spans="14:22">
      <c r="N177" t="s">
        <v>2047</v>
      </c>
      <c r="O177" s="113">
        <v>45875</v>
      </c>
      <c r="P177" s="60">
        <v>16.77</v>
      </c>
      <c r="Q177" s="60" cm="1">
        <f t="array" ref="Q177">TREND($Q$27:$Q$111,$R$27:$V$111,R177:V177,0)</f>
        <v>1.7156765877367288</v>
      </c>
      <c r="R177" s="60">
        <f t="shared" si="7"/>
        <v>1.7645372897023772</v>
      </c>
      <c r="S177" s="60">
        <f t="shared" si="7"/>
        <v>1.8147894941293587</v>
      </c>
      <c r="T177" s="60">
        <f t="shared" si="7"/>
        <v>1.8664728295763342</v>
      </c>
      <c r="U177" s="60">
        <f t="shared" si="6"/>
        <v>1.9196280531793701</v>
      </c>
      <c r="V177" s="60">
        <f t="shared" si="6"/>
        <v>1.9742970827948296</v>
      </c>
    </row>
    <row r="178" spans="14:22">
      <c r="N178" t="s">
        <v>2048</v>
      </c>
      <c r="O178" s="113">
        <v>45876</v>
      </c>
      <c r="P178" s="60">
        <v>16.57</v>
      </c>
      <c r="Q178" s="60" cm="1">
        <f t="array" ref="Q178">TREND($Q$27:$Q$111,$R$27:$V$111,R178:V178,0)</f>
        <v>1.6681688570072182</v>
      </c>
      <c r="R178" s="60">
        <f t="shared" si="7"/>
        <v>1.7156765877367288</v>
      </c>
      <c r="S178" s="60">
        <f t="shared" si="7"/>
        <v>1.7645372897023772</v>
      </c>
      <c r="T178" s="60">
        <f t="shared" si="7"/>
        <v>1.8147894941293587</v>
      </c>
      <c r="U178" s="60">
        <f t="shared" si="6"/>
        <v>1.8664728295763342</v>
      </c>
      <c r="V178" s="60">
        <f t="shared" si="6"/>
        <v>1.9196280531793701</v>
      </c>
    </row>
    <row r="179" spans="14:22">
      <c r="N179" t="s">
        <v>2049</v>
      </c>
      <c r="O179" s="113">
        <v>45877</v>
      </c>
      <c r="P179" s="60">
        <v>15.15</v>
      </c>
      <c r="Q179" s="60" cm="1">
        <f t="array" ref="Q179">TREND($Q$27:$Q$111,$R$27:$V$111,R179:V179,0)</f>
        <v>1.6219766332297831</v>
      </c>
      <c r="R179" s="60">
        <f t="shared" si="7"/>
        <v>1.6681688570072182</v>
      </c>
      <c r="S179" s="60">
        <f t="shared" si="7"/>
        <v>1.7156765877367288</v>
      </c>
      <c r="T179" s="60">
        <f t="shared" si="7"/>
        <v>1.7645372897023772</v>
      </c>
      <c r="U179" s="60">
        <f t="shared" si="6"/>
        <v>1.8147894941293587</v>
      </c>
      <c r="V179" s="60">
        <f t="shared" si="6"/>
        <v>1.8664728295763342</v>
      </c>
    </row>
    <row r="180" spans="14:22">
      <c r="N180" t="s">
        <v>2050</v>
      </c>
      <c r="O180" s="113">
        <v>45880</v>
      </c>
      <c r="P180" s="60">
        <v>16.25</v>
      </c>
      <c r="Q180" s="60" cm="1">
        <f t="array" ref="Q180">TREND($Q$27:$Q$111,$R$27:$V$111,R180:V180,0)</f>
        <v>1.5770634895218645</v>
      </c>
      <c r="R180" s="60">
        <f t="shared" si="7"/>
        <v>1.6219766332297831</v>
      </c>
      <c r="S180" s="60">
        <f t="shared" si="7"/>
        <v>1.6681688570072182</v>
      </c>
      <c r="T180" s="60">
        <f t="shared" si="7"/>
        <v>1.7156765877367288</v>
      </c>
      <c r="U180" s="60">
        <f t="shared" si="6"/>
        <v>1.7645372897023772</v>
      </c>
      <c r="V180" s="60">
        <f t="shared" si="6"/>
        <v>1.8147894941293587</v>
      </c>
    </row>
    <row r="181" spans="14:22">
      <c r="N181" t="s">
        <v>2051</v>
      </c>
      <c r="O181" s="113">
        <v>45881</v>
      </c>
      <c r="P181" s="60">
        <v>14.73</v>
      </c>
      <c r="Q181" s="60" cm="1">
        <f t="array" ref="Q181">TREND($Q$27:$Q$111,$R$27:$V$111,R181:V181,0)</f>
        <v>1.5333940076748116</v>
      </c>
      <c r="R181" s="60">
        <f t="shared" si="7"/>
        <v>1.5770634895218645</v>
      </c>
      <c r="S181" s="60">
        <f t="shared" si="7"/>
        <v>1.6219766332297831</v>
      </c>
      <c r="T181" s="60">
        <f t="shared" si="7"/>
        <v>1.6681688570072182</v>
      </c>
      <c r="U181" s="60">
        <f t="shared" si="6"/>
        <v>1.7156765877367288</v>
      </c>
      <c r="V181" s="60">
        <f t="shared" si="6"/>
        <v>1.7645372897023772</v>
      </c>
    </row>
    <row r="182" spans="14:22">
      <c r="N182" t="s">
        <v>2052</v>
      </c>
      <c r="O182" s="113">
        <v>45882</v>
      </c>
      <c r="P182" s="60">
        <v>14.49</v>
      </c>
      <c r="Q182" s="60" cm="1">
        <f t="array" ref="Q182">TREND($Q$27:$Q$111,$R$27:$V$111,R182:V182,0)</f>
        <v>1.4909337502230748</v>
      </c>
      <c r="R182" s="60">
        <f t="shared" si="7"/>
        <v>1.5333940076748116</v>
      </c>
      <c r="S182" s="60">
        <f t="shared" si="7"/>
        <v>1.5770634895218645</v>
      </c>
      <c r="T182" s="60">
        <f t="shared" si="7"/>
        <v>1.6219766332297831</v>
      </c>
      <c r="U182" s="60">
        <f t="shared" si="6"/>
        <v>1.6681688570072182</v>
      </c>
      <c r="V182" s="60">
        <f t="shared" si="6"/>
        <v>1.7156765877367288</v>
      </c>
    </row>
    <row r="183" spans="14:22">
      <c r="N183" t="s">
        <v>2053</v>
      </c>
      <c r="O183" s="113">
        <v>45883</v>
      </c>
      <c r="P183" s="60">
        <v>14.83</v>
      </c>
      <c r="Q183" s="60" cm="1">
        <f t="array" ref="Q183">TREND($Q$27:$Q$111,$R$27:$V$111,R183:V183,0)</f>
        <v>1.4496492332881197</v>
      </c>
      <c r="R183" s="60">
        <f t="shared" si="7"/>
        <v>1.4909337502230748</v>
      </c>
      <c r="S183" s="60">
        <f t="shared" si="7"/>
        <v>1.5333940076748116</v>
      </c>
      <c r="T183" s="60">
        <f t="shared" si="7"/>
        <v>1.5770634895218645</v>
      </c>
      <c r="U183" s="60">
        <f t="shared" si="6"/>
        <v>1.6219766332297831</v>
      </c>
      <c r="V183" s="60">
        <f t="shared" si="6"/>
        <v>1.6681688570072182</v>
      </c>
    </row>
    <row r="184" spans="14:22">
      <c r="N184" t="s">
        <v>2054</v>
      </c>
      <c r="O184" s="113">
        <v>45884</v>
      </c>
      <c r="P184" s="60">
        <v>15.09</v>
      </c>
      <c r="Q184" s="60" cm="1">
        <f t="array" ref="Q184">TREND($Q$27:$Q$111,$R$27:$V$111,R184:V184,0)</f>
        <v>1.4095079001721673</v>
      </c>
      <c r="R184" s="60">
        <f t="shared" si="7"/>
        <v>1.4496492332881197</v>
      </c>
      <c r="S184" s="60">
        <f t="shared" si="7"/>
        <v>1.4909337502230748</v>
      </c>
      <c r="T184" s="60">
        <f t="shared" si="7"/>
        <v>1.5333940076748116</v>
      </c>
      <c r="U184" s="60">
        <f t="shared" si="6"/>
        <v>1.5770634895218645</v>
      </c>
      <c r="V184" s="60">
        <f t="shared" si="6"/>
        <v>1.6219766332297831</v>
      </c>
    </row>
    <row r="185" spans="14:22">
      <c r="N185" t="s">
        <v>2055</v>
      </c>
      <c r="O185" s="113">
        <v>45887</v>
      </c>
      <c r="P185" s="60">
        <v>14.99</v>
      </c>
      <c r="Q185" s="60" cm="1">
        <f t="array" ref="Q185">TREND($Q$27:$Q$111,$R$27:$V$111,R185:V185,0)</f>
        <v>1.3704780956848832</v>
      </c>
      <c r="R185" s="60">
        <f t="shared" si="7"/>
        <v>1.4095079001721673</v>
      </c>
      <c r="S185" s="60">
        <f t="shared" si="7"/>
        <v>1.4496492332881197</v>
      </c>
      <c r="T185" s="60">
        <f t="shared" si="7"/>
        <v>1.4909337502230748</v>
      </c>
      <c r="U185" s="60">
        <f t="shared" si="6"/>
        <v>1.5333940076748116</v>
      </c>
      <c r="V185" s="60">
        <f t="shared" si="6"/>
        <v>1.5770634895218645</v>
      </c>
    </row>
    <row r="186" spans="14:22">
      <c r="N186" t="s">
        <v>2056</v>
      </c>
      <c r="O186" s="113">
        <v>45888</v>
      </c>
      <c r="P186" s="60">
        <v>15.57</v>
      </c>
      <c r="Q186" s="60" cm="1">
        <f t="array" ref="Q186">TREND($Q$27:$Q$111,$R$27:$V$111,R186:V186,0)</f>
        <v>1.332529041180035</v>
      </c>
      <c r="R186" s="60">
        <f t="shared" si="7"/>
        <v>1.3704780956848832</v>
      </c>
      <c r="S186" s="60">
        <f t="shared" si="7"/>
        <v>1.4095079001721673</v>
      </c>
      <c r="T186" s="60">
        <f t="shared" si="7"/>
        <v>1.4496492332881197</v>
      </c>
      <c r="U186" s="60">
        <f t="shared" si="6"/>
        <v>1.4909337502230748</v>
      </c>
      <c r="V186" s="60">
        <f t="shared" si="6"/>
        <v>1.5333940076748116</v>
      </c>
    </row>
    <row r="187" spans="14:22">
      <c r="N187" t="s">
        <v>2057</v>
      </c>
      <c r="O187" s="113">
        <v>45889</v>
      </c>
      <c r="P187" s="60">
        <v>15.69</v>
      </c>
      <c r="Q187" s="60" cm="1">
        <f t="array" ref="Q187">TREND($Q$27:$Q$111,$R$27:$V$111,R187:V187,0)</f>
        <v>1.2956308102836178</v>
      </c>
      <c r="R187" s="60">
        <f t="shared" si="7"/>
        <v>1.332529041180035</v>
      </c>
      <c r="S187" s="60">
        <f t="shared" si="7"/>
        <v>1.3704780956848832</v>
      </c>
      <c r="T187" s="60">
        <f t="shared" si="7"/>
        <v>1.4095079001721673</v>
      </c>
      <c r="U187" s="60">
        <f t="shared" si="6"/>
        <v>1.4496492332881197</v>
      </c>
      <c r="V187" s="60">
        <f t="shared" si="6"/>
        <v>1.4909337502230748</v>
      </c>
    </row>
    <row r="188" spans="14:22">
      <c r="N188" t="s">
        <v>2058</v>
      </c>
      <c r="O188" s="113">
        <v>45890</v>
      </c>
      <c r="P188" s="60">
        <v>16.600000000000001</v>
      </c>
      <c r="Q188" s="60" cm="1">
        <f t="array" ref="Q188">TREND($Q$27:$Q$111,$R$27:$V$111,R188:V188,0)</f>
        <v>1.259754305294283</v>
      </c>
      <c r="R188" s="60">
        <f t="shared" si="7"/>
        <v>1.2956308102836178</v>
      </c>
      <c r="S188" s="60">
        <f t="shared" si="7"/>
        <v>1.332529041180035</v>
      </c>
      <c r="T188" s="60">
        <f t="shared" si="7"/>
        <v>1.3704780956848832</v>
      </c>
      <c r="U188" s="60">
        <f t="shared" si="6"/>
        <v>1.4095079001721673</v>
      </c>
      <c r="V188" s="60">
        <f t="shared" si="6"/>
        <v>1.4496492332881197</v>
      </c>
    </row>
    <row r="189" spans="14:22">
      <c r="N189" t="s">
        <v>2059</v>
      </c>
      <c r="O189" s="113">
        <v>45891</v>
      </c>
      <c r="P189" s="60">
        <v>14.22</v>
      </c>
      <c r="Q189" s="60" cm="1">
        <f t="array" ref="Q189">TREND($Q$27:$Q$111,$R$27:$V$111,R189:V189,0)</f>
        <v>1.2248712342369168</v>
      </c>
      <c r="R189" s="60">
        <f t="shared" si="7"/>
        <v>1.259754305294283</v>
      </c>
      <c r="S189" s="60">
        <f t="shared" si="7"/>
        <v>1.2956308102836178</v>
      </c>
      <c r="T189" s="60">
        <f t="shared" si="7"/>
        <v>1.332529041180035</v>
      </c>
      <c r="U189" s="60">
        <f t="shared" si="6"/>
        <v>1.3704780956848832</v>
      </c>
      <c r="V189" s="60">
        <f t="shared" si="6"/>
        <v>1.4095079001721673</v>
      </c>
    </row>
    <row r="190" spans="14:22">
      <c r="N190" t="s">
        <v>2060</v>
      </c>
      <c r="O190" s="113">
        <v>45894</v>
      </c>
      <c r="P190" s="60">
        <v>14.79</v>
      </c>
      <c r="Q190" s="60" cm="1">
        <f t="array" ref="Q190">TREND($Q$27:$Q$111,$R$27:$V$111,R190:V190,0)</f>
        <v>1.1909540885518859</v>
      </c>
      <c r="R190" s="60">
        <f t="shared" si="7"/>
        <v>1.2248712342369168</v>
      </c>
      <c r="S190" s="60">
        <f t="shared" si="7"/>
        <v>1.259754305294283</v>
      </c>
      <c r="T190" s="60">
        <f t="shared" si="7"/>
        <v>1.2956308102836178</v>
      </c>
      <c r="U190" s="60">
        <f t="shared" si="6"/>
        <v>1.332529041180035</v>
      </c>
      <c r="V190" s="60">
        <f t="shared" si="6"/>
        <v>1.3704780956848832</v>
      </c>
    </row>
    <row r="191" spans="14:22">
      <c r="N191" t="s">
        <v>2061</v>
      </c>
      <c r="O191" s="113">
        <v>45895</v>
      </c>
      <c r="P191" s="60">
        <v>14.62</v>
      </c>
      <c r="Q191" s="60" cm="1">
        <f t="array" ref="Q191">TREND($Q$27:$Q$111,$R$27:$V$111,R191:V191,0)</f>
        <v>1.1579761214019271</v>
      </c>
      <c r="R191" s="60">
        <f t="shared" si="7"/>
        <v>1.1909540885518859</v>
      </c>
      <c r="S191" s="60">
        <f t="shared" si="7"/>
        <v>1.2248712342369168</v>
      </c>
      <c r="T191" s="60">
        <f t="shared" si="7"/>
        <v>1.259754305294283</v>
      </c>
      <c r="U191" s="60">
        <f t="shared" si="6"/>
        <v>1.2956308102836178</v>
      </c>
      <c r="V191" s="60">
        <f t="shared" si="6"/>
        <v>1.332529041180035</v>
      </c>
    </row>
    <row r="192" spans="14:22">
      <c r="N192" t="s">
        <v>2062</v>
      </c>
      <c r="O192" s="113">
        <v>45896</v>
      </c>
      <c r="P192" s="60">
        <v>14.85</v>
      </c>
      <c r="Q192" s="60" cm="1">
        <f t="array" ref="Q192">TREND($Q$27:$Q$111,$R$27:$V$111,R192:V192,0)</f>
        <v>1.1259113265797618</v>
      </c>
      <c r="R192" s="60">
        <f t="shared" si="7"/>
        <v>1.1579761214019271</v>
      </c>
      <c r="S192" s="60">
        <f t="shared" si="7"/>
        <v>1.1909540885518859</v>
      </c>
      <c r="T192" s="60">
        <f t="shared" si="7"/>
        <v>1.2248712342369168</v>
      </c>
      <c r="U192" s="60">
        <f t="shared" si="6"/>
        <v>1.259754305294283</v>
      </c>
      <c r="V192" s="60">
        <f t="shared" si="6"/>
        <v>1.2956308102836178</v>
      </c>
    </row>
    <row r="193" spans="14:22">
      <c r="N193" t="s">
        <v>2063</v>
      </c>
      <c r="O193" s="113">
        <v>45897</v>
      </c>
      <c r="P193" s="60">
        <v>14.43</v>
      </c>
      <c r="Q193" s="60" cm="1">
        <f t="array" ref="Q193">TREND($Q$27:$Q$111,$R$27:$V$111,R193:V193,0)</f>
        <v>1.0947344179997982</v>
      </c>
      <c r="R193" s="60">
        <f t="shared" si="7"/>
        <v>1.1259113265797618</v>
      </c>
      <c r="S193" s="60">
        <f t="shared" si="7"/>
        <v>1.1579761214019271</v>
      </c>
      <c r="T193" s="60">
        <f t="shared" si="7"/>
        <v>1.1909540885518859</v>
      </c>
      <c r="U193" s="60">
        <f t="shared" si="6"/>
        <v>1.2248712342369168</v>
      </c>
      <c r="V193" s="60">
        <f t="shared" si="6"/>
        <v>1.259754305294283</v>
      </c>
    </row>
    <row r="194" spans="14:22">
      <c r="N194" t="s">
        <v>2064</v>
      </c>
      <c r="O194" s="113">
        <v>45898</v>
      </c>
      <c r="P194" s="60">
        <v>15.36</v>
      </c>
      <c r="Q194" s="60" cm="1">
        <f t="array" ref="Q194">TREND($Q$27:$Q$111,$R$27:$V$111,R194:V194,0)</f>
        <v>1.0644208097576642</v>
      </c>
      <c r="R194" s="60">
        <f t="shared" si="7"/>
        <v>1.0947344179997982</v>
      </c>
      <c r="S194" s="60">
        <f t="shared" si="7"/>
        <v>1.1259113265797618</v>
      </c>
      <c r="T194" s="60">
        <f t="shared" si="7"/>
        <v>1.1579761214019271</v>
      </c>
      <c r="U194" s="60">
        <f t="shared" si="6"/>
        <v>1.1909540885518859</v>
      </c>
      <c r="V194" s="60">
        <f t="shared" si="6"/>
        <v>1.2248712342369168</v>
      </c>
    </row>
    <row r="195" spans="14:22">
      <c r="N195" t="s">
        <v>2065</v>
      </c>
      <c r="O195" s="113">
        <v>45901</v>
      </c>
      <c r="P195" s="60">
        <v>16.12</v>
      </c>
      <c r="Q195" s="60" cm="1">
        <f t="array" ref="Q195">TREND($Q$27:$Q$111,$R$27:$V$111,R195:V195,0)</f>
        <v>1.0349465967419418</v>
      </c>
      <c r="R195" s="60">
        <f t="shared" si="7"/>
        <v>1.0644208097576642</v>
      </c>
      <c r="S195" s="60">
        <f t="shared" si="7"/>
        <v>1.0947344179997982</v>
      </c>
      <c r="T195" s="60">
        <f t="shared" si="7"/>
        <v>1.1259113265797618</v>
      </c>
      <c r="U195" s="60">
        <f t="shared" si="6"/>
        <v>1.1579761214019271</v>
      </c>
      <c r="V195" s="60">
        <f t="shared" si="6"/>
        <v>1.1909540885518859</v>
      </c>
    </row>
    <row r="196" spans="14:22">
      <c r="N196" t="s">
        <v>2066</v>
      </c>
      <c r="O196" s="113">
        <v>45902</v>
      </c>
      <c r="P196" s="60">
        <v>17.170000000000002</v>
      </c>
      <c r="Q196" s="60" cm="1">
        <f t="array" ref="Q196">TREND($Q$27:$Q$111,$R$27:$V$111,R196:V196,0)</f>
        <v>1.0062885357827496</v>
      </c>
      <c r="R196" s="60">
        <f t="shared" si="7"/>
        <v>1.0349465967419418</v>
      </c>
      <c r="S196" s="60">
        <f t="shared" si="7"/>
        <v>1.0644208097576642</v>
      </c>
      <c r="T196" s="60">
        <f t="shared" si="7"/>
        <v>1.0947344179997982</v>
      </c>
      <c r="U196" s="60">
        <f t="shared" si="6"/>
        <v>1.1259113265797618</v>
      </c>
      <c r="V196" s="60">
        <f t="shared" si="6"/>
        <v>1.1579761214019271</v>
      </c>
    </row>
    <row r="197" spans="14:22">
      <c r="N197" t="s">
        <v>2067</v>
      </c>
      <c r="O197" s="113">
        <v>45903</v>
      </c>
      <c r="P197" s="60">
        <v>16.350000000000001</v>
      </c>
      <c r="Q197" s="60" cm="1">
        <f t="array" ref="Q197">TREND($Q$27:$Q$111,$R$27:$V$111,R197:V197,0)</f>
        <v>0.97842402732232903</v>
      </c>
      <c r="R197" s="60">
        <f t="shared" si="7"/>
        <v>1.0062885357827496</v>
      </c>
      <c r="S197" s="60">
        <f t="shared" si="7"/>
        <v>1.0349465967419418</v>
      </c>
      <c r="T197" s="60">
        <f t="shared" si="7"/>
        <v>1.0644208097576642</v>
      </c>
      <c r="U197" s="60">
        <f t="shared" si="6"/>
        <v>1.0947344179997982</v>
      </c>
      <c r="V197" s="60">
        <f t="shared" si="6"/>
        <v>1.1259113265797618</v>
      </c>
    </row>
    <row r="198" spans="14:22">
      <c r="N198" t="s">
        <v>2068</v>
      </c>
      <c r="O198" s="113">
        <v>45904</v>
      </c>
      <c r="P198" s="60">
        <v>15.3</v>
      </c>
      <c r="Q198" s="60" cm="1">
        <f t="array" ref="Q198">TREND($Q$27:$Q$111,$R$27:$V$111,R198:V198,0)</f>
        <v>0.9513310975931889</v>
      </c>
      <c r="R198" s="60">
        <f t="shared" si="7"/>
        <v>0.97842402732232903</v>
      </c>
      <c r="S198" s="60">
        <f t="shared" si="7"/>
        <v>1.0062885357827496</v>
      </c>
      <c r="T198" s="60">
        <f t="shared" si="7"/>
        <v>1.0349465967419418</v>
      </c>
      <c r="U198" s="60">
        <f t="shared" si="6"/>
        <v>1.0644208097576642</v>
      </c>
      <c r="V198" s="60">
        <f t="shared" si="6"/>
        <v>1.0947344179997982</v>
      </c>
    </row>
    <row r="199" spans="14:22">
      <c r="N199" t="s">
        <v>2069</v>
      </c>
      <c r="O199" s="113">
        <v>45905</v>
      </c>
      <c r="P199" s="60">
        <v>15.18</v>
      </c>
      <c r="Q199" s="60" cm="1">
        <f t="array" ref="Q199">TREND($Q$27:$Q$111,$R$27:$V$111,R199:V199,0)</f>
        <v>0.92498838128973171</v>
      </c>
      <c r="R199" s="60">
        <f t="shared" si="7"/>
        <v>0.9513310975931889</v>
      </c>
      <c r="S199" s="60">
        <f t="shared" si="7"/>
        <v>0.97842402732232903</v>
      </c>
      <c r="T199" s="60">
        <f t="shared" si="7"/>
        <v>1.0062885357827496</v>
      </c>
      <c r="U199" s="60">
        <f t="shared" si="6"/>
        <v>1.0349465967419418</v>
      </c>
      <c r="V199" s="60">
        <f t="shared" si="6"/>
        <v>1.0644208097576642</v>
      </c>
    </row>
    <row r="200" spans="14:22">
      <c r="N200" t="s">
        <v>2070</v>
      </c>
      <c r="O200" s="113">
        <v>45908</v>
      </c>
      <c r="P200" s="60">
        <v>15.11</v>
      </c>
      <c r="Q200" s="60" cm="1">
        <f t="array" ref="Q200">TREND($Q$27:$Q$111,$R$27:$V$111,R200:V200,0)</f>
        <v>0.89937510471971738</v>
      </c>
      <c r="R200" s="60">
        <f t="shared" si="7"/>
        <v>0.92498838128973171</v>
      </c>
      <c r="S200" s="60">
        <f t="shared" si="7"/>
        <v>0.9513310975931889</v>
      </c>
      <c r="T200" s="60">
        <f t="shared" si="7"/>
        <v>0.97842402732232903</v>
      </c>
      <c r="U200" s="60">
        <f t="shared" si="6"/>
        <v>1.0062885357827496</v>
      </c>
      <c r="V200" s="60">
        <f t="shared" si="6"/>
        <v>1.0349465967419418</v>
      </c>
    </row>
    <row r="201" spans="14:22">
      <c r="N201" t="s">
        <v>2071</v>
      </c>
      <c r="O201" s="113">
        <v>45909</v>
      </c>
      <c r="P201" s="60">
        <v>15.04</v>
      </c>
      <c r="Q201" s="60" cm="1">
        <f t="array" ref="Q201">TREND($Q$27:$Q$111,$R$27:$V$111,R201:V201,0)</f>
        <v>0.87447106942226638</v>
      </c>
      <c r="R201" s="60">
        <f t="shared" si="7"/>
        <v>0.89937510471971738</v>
      </c>
      <c r="S201" s="60">
        <f t="shared" si="7"/>
        <v>0.92498838128973171</v>
      </c>
      <c r="T201" s="60">
        <f t="shared" si="7"/>
        <v>0.9513310975931889</v>
      </c>
      <c r="U201" s="60">
        <f t="shared" si="6"/>
        <v>0.97842402732232903</v>
      </c>
      <c r="V201" s="60">
        <f t="shared" si="6"/>
        <v>1.0062885357827496</v>
      </c>
    </row>
    <row r="202" spans="14:22">
      <c r="N202" t="s">
        <v>2072</v>
      </c>
      <c r="O202" s="113">
        <v>45910</v>
      </c>
      <c r="P202" s="60">
        <v>15.35</v>
      </c>
      <c r="Q202" s="60" cm="1">
        <f t="array" ref="Q202">TREND($Q$27:$Q$111,$R$27:$V$111,R202:V202,0)</f>
        <v>0.85025663623948566</v>
      </c>
      <c r="R202" s="60">
        <f t="shared" si="7"/>
        <v>0.87447106942226638</v>
      </c>
      <c r="S202" s="60">
        <f t="shared" si="7"/>
        <v>0.89937510471971738</v>
      </c>
      <c r="T202" s="60">
        <f t="shared" si="7"/>
        <v>0.92498838128973171</v>
      </c>
      <c r="U202" s="60">
        <f t="shared" si="6"/>
        <v>0.9513310975931889</v>
      </c>
      <c r="V202" s="60">
        <f t="shared" si="6"/>
        <v>0.97842402732232903</v>
      </c>
    </row>
    <row r="203" spans="14:22">
      <c r="N203" t="s">
        <v>2073</v>
      </c>
      <c r="O203" s="113">
        <v>45911</v>
      </c>
      <c r="P203" s="60">
        <v>14.71</v>
      </c>
      <c r="Q203" s="60" cm="1">
        <f t="array" ref="Q203">TREND($Q$27:$Q$111,$R$27:$V$111,R203:V203,0)</f>
        <v>0.8267127098291599</v>
      </c>
      <c r="R203" s="60">
        <f t="shared" si="7"/>
        <v>0.85025663623948566</v>
      </c>
      <c r="S203" s="60">
        <f t="shared" si="7"/>
        <v>0.87447106942226638</v>
      </c>
      <c r="T203" s="60">
        <f t="shared" si="7"/>
        <v>0.89937510471971738</v>
      </c>
      <c r="U203" s="60">
        <f t="shared" si="6"/>
        <v>0.92498838128973171</v>
      </c>
      <c r="V203" s="60">
        <f t="shared" si="6"/>
        <v>0.9513310975931889</v>
      </c>
    </row>
    <row r="204" spans="14:22">
      <c r="N204" t="s">
        <v>2074</v>
      </c>
      <c r="O204" s="113">
        <v>45912</v>
      </c>
      <c r="P204" s="60">
        <v>14.76</v>
      </c>
      <c r="Q204" s="60" cm="1">
        <f t="array" ref="Q204">TREND($Q$27:$Q$111,$R$27:$V$111,R204:V204,0)</f>
        <v>0.80382072360628909</v>
      </c>
      <c r="R204" s="60">
        <f t="shared" si="7"/>
        <v>0.8267127098291599</v>
      </c>
      <c r="S204" s="60">
        <f t="shared" si="7"/>
        <v>0.85025663623948566</v>
      </c>
      <c r="T204" s="60">
        <f t="shared" si="7"/>
        <v>0.87447106942226638</v>
      </c>
      <c r="U204" s="60">
        <f t="shared" si="6"/>
        <v>0.89937510471971738</v>
      </c>
      <c r="V204" s="60">
        <f t="shared" si="6"/>
        <v>0.92498838128973171</v>
      </c>
    </row>
    <row r="205" spans="14:22">
      <c r="N205" t="s">
        <v>2075</v>
      </c>
      <c r="O205" s="113">
        <v>45915</v>
      </c>
      <c r="P205" s="60">
        <v>15.69</v>
      </c>
      <c r="Q205" s="60" cm="1">
        <f t="array" ref="Q205">TREND($Q$27:$Q$111,$R$27:$V$111,R205:V205,0)</f>
        <v>0.78156262510160324</v>
      </c>
      <c r="R205" s="60">
        <f t="shared" si="7"/>
        <v>0.80382072360628909</v>
      </c>
      <c r="S205" s="60">
        <f t="shared" si="7"/>
        <v>0.8267127098291599</v>
      </c>
      <c r="T205" s="60">
        <f t="shared" si="7"/>
        <v>0.85025663623948566</v>
      </c>
      <c r="U205" s="60">
        <f t="shared" si="6"/>
        <v>0.87447106942226638</v>
      </c>
      <c r="V205" s="60">
        <f t="shared" si="6"/>
        <v>0.89937510471971738</v>
      </c>
    </row>
    <row r="206" spans="14:22">
      <c r="N206" t="s">
        <v>2076</v>
      </c>
      <c r="O206" s="113">
        <v>45916</v>
      </c>
      <c r="P206" s="60">
        <v>16.36</v>
      </c>
      <c r="Q206" s="60" cm="1">
        <f t="array" ref="Q206">TREND($Q$27:$Q$111,$R$27:$V$111,R206:V206,0)</f>
        <v>0.75992086172550388</v>
      </c>
      <c r="R206" s="60">
        <f t="shared" si="7"/>
        <v>0.78156262510160324</v>
      </c>
      <c r="S206" s="60">
        <f t="shared" si="7"/>
        <v>0.80382072360628909</v>
      </c>
      <c r="T206" s="60">
        <f t="shared" si="7"/>
        <v>0.8267127098291599</v>
      </c>
      <c r="U206" s="60">
        <f t="shared" si="6"/>
        <v>0.85025663623948566</v>
      </c>
      <c r="V206" s="60">
        <f t="shared" si="6"/>
        <v>0.87447106942226638</v>
      </c>
    </row>
    <row r="207" spans="14:22">
      <c r="N207" t="s">
        <v>2077</v>
      </c>
      <c r="O207" s="113">
        <v>45917</v>
      </c>
      <c r="P207" s="60">
        <v>15.72</v>
      </c>
      <c r="Q207" s="60" cm="1">
        <f t="array" ref="Q207">TREND($Q$27:$Q$111,$R$27:$V$111,R207:V207,0)</f>
        <v>0.73887836692620756</v>
      </c>
      <c r="R207" s="60">
        <f t="shared" si="7"/>
        <v>0.75992086172550388</v>
      </c>
      <c r="S207" s="60">
        <f t="shared" si="7"/>
        <v>0.78156262510160324</v>
      </c>
      <c r="T207" s="60">
        <f t="shared" si="7"/>
        <v>0.80382072360628909</v>
      </c>
      <c r="U207" s="60">
        <f t="shared" si="6"/>
        <v>0.8267127098291599</v>
      </c>
      <c r="V207" s="60">
        <f t="shared" si="6"/>
        <v>0.85025663623948566</v>
      </c>
    </row>
    <row r="208" spans="14:22">
      <c r="N208" t="s">
        <v>2078</v>
      </c>
      <c r="O208" s="113">
        <v>45918</v>
      </c>
      <c r="P208" s="60">
        <v>15.7</v>
      </c>
      <c r="Q208" s="60" cm="1">
        <f t="array" ref="Q208">TREND($Q$27:$Q$111,$R$27:$V$111,R208:V208,0)</f>
        <v>0.71841854673117589</v>
      </c>
      <c r="R208" s="60">
        <f t="shared" si="7"/>
        <v>0.73887836692620756</v>
      </c>
      <c r="S208" s="60">
        <f t="shared" si="7"/>
        <v>0.75992086172550388</v>
      </c>
      <c r="T208" s="60">
        <f t="shared" si="7"/>
        <v>0.78156262510160324</v>
      </c>
      <c r="U208" s="60">
        <f t="shared" si="6"/>
        <v>0.80382072360628909</v>
      </c>
      <c r="V208" s="60">
        <f t="shared" si="6"/>
        <v>0.8267127098291599</v>
      </c>
    </row>
    <row r="209" spans="14:22">
      <c r="N209" t="s">
        <v>2079</v>
      </c>
      <c r="O209" s="113">
        <v>45919</v>
      </c>
      <c r="P209" s="60">
        <v>15.45</v>
      </c>
      <c r="Q209" s="60" cm="1">
        <f t="array" ref="Q209">TREND($Q$27:$Q$111,$R$27:$V$111,R209:V209,0)</f>
        <v>0.6985252666612185</v>
      </c>
      <c r="R209" s="60">
        <f t="shared" si="7"/>
        <v>0.71841854673117589</v>
      </c>
      <c r="S209" s="60">
        <f t="shared" si="7"/>
        <v>0.73887836692620756</v>
      </c>
      <c r="T209" s="60">
        <f t="shared" si="7"/>
        <v>0.75992086172550388</v>
      </c>
      <c r="U209" s="60">
        <f t="shared" si="6"/>
        <v>0.78156262510160324</v>
      </c>
      <c r="V209" s="60">
        <f t="shared" si="6"/>
        <v>0.80382072360628909</v>
      </c>
    </row>
    <row r="210" spans="14:22">
      <c r="N210" t="s">
        <v>2080</v>
      </c>
      <c r="O210" s="113">
        <v>45922</v>
      </c>
      <c r="P210" s="60">
        <v>16.100000000000001</v>
      </c>
      <c r="Q210" s="60" cm="1">
        <f t="array" ref="Q210">TREND($Q$27:$Q$111,$R$27:$V$111,R210:V210,0)</f>
        <v>0.67918283900694876</v>
      </c>
      <c r="R210" s="60">
        <f t="shared" si="7"/>
        <v>0.6985252666612185</v>
      </c>
      <c r="S210" s="60">
        <f t="shared" si="7"/>
        <v>0.71841854673117589</v>
      </c>
      <c r="T210" s="60">
        <f t="shared" si="7"/>
        <v>0.73887836692620756</v>
      </c>
      <c r="U210" s="60">
        <f t="shared" si="6"/>
        <v>0.75992086172550388</v>
      </c>
      <c r="V210" s="60">
        <f t="shared" si="6"/>
        <v>0.78156262510160324</v>
      </c>
    </row>
    <row r="211" spans="14:22">
      <c r="N211" t="s">
        <v>2081</v>
      </c>
      <c r="O211" s="113">
        <v>45923</v>
      </c>
      <c r="P211" s="60">
        <v>16.64</v>
      </c>
      <c r="Q211" s="60" cm="1">
        <f t="array" ref="Q211">TREND($Q$27:$Q$111,$R$27:$V$111,R211:V211,0)</f>
        <v>0.66037601045756023</v>
      </c>
      <c r="R211" s="60">
        <f t="shared" si="7"/>
        <v>0.67918283900694876</v>
      </c>
      <c r="S211" s="60">
        <f t="shared" si="7"/>
        <v>0.6985252666612185</v>
      </c>
      <c r="T211" s="60">
        <f t="shared" si="7"/>
        <v>0.71841854673117589</v>
      </c>
      <c r="U211" s="60">
        <f t="shared" si="6"/>
        <v>0.73887836692620756</v>
      </c>
      <c r="V211" s="60">
        <f t="shared" si="6"/>
        <v>0.75992086172550388</v>
      </c>
    </row>
    <row r="212" spans="14:22">
      <c r="N212" t="s">
        <v>2082</v>
      </c>
      <c r="O212" s="113">
        <v>45924</v>
      </c>
      <c r="P212" s="60">
        <v>16.18</v>
      </c>
      <c r="Q212" s="60" cm="1">
        <f t="array" ref="Q212">TREND($Q$27:$Q$111,$R$27:$V$111,R212:V212,0)</f>
        <v>0.64208995007216607</v>
      </c>
      <c r="R212" s="60">
        <f t="shared" si="7"/>
        <v>0.66037601045756023</v>
      </c>
      <c r="S212" s="60">
        <f t="shared" si="7"/>
        <v>0.67918283900694876</v>
      </c>
      <c r="T212" s="60">
        <f t="shared" si="7"/>
        <v>0.6985252666612185</v>
      </c>
      <c r="U212" s="60">
        <f t="shared" si="6"/>
        <v>0.71841854673117589</v>
      </c>
      <c r="V212" s="60">
        <f t="shared" si="6"/>
        <v>0.73887836692620756</v>
      </c>
    </row>
    <row r="213" spans="14:22">
      <c r="N213" t="s">
        <v>2083</v>
      </c>
      <c r="O213" s="113">
        <v>45925</v>
      </c>
      <c r="P213" s="60">
        <v>16.739999999999998</v>
      </c>
      <c r="Q213" s="60" cm="1">
        <f t="array" ref="Q213">TREND($Q$27:$Q$111,$R$27:$V$111,R213:V213,0)</f>
        <v>0.62431023758421689</v>
      </c>
      <c r="R213" s="60">
        <f t="shared" ref="R213:T216" si="8">Q212</f>
        <v>0.64208995007216607</v>
      </c>
      <c r="S213" s="60">
        <f t="shared" si="8"/>
        <v>0.66037601045756023</v>
      </c>
      <c r="T213" s="60">
        <f t="shared" si="8"/>
        <v>0.67918283900694876</v>
      </c>
      <c r="U213" s="60">
        <f t="shared" si="6"/>
        <v>0.6985252666612185</v>
      </c>
      <c r="V213" s="60">
        <f t="shared" si="6"/>
        <v>0.71841854673117589</v>
      </c>
    </row>
    <row r="214" spans="14:22">
      <c r="N214" t="s">
        <v>2084</v>
      </c>
      <c r="O214" s="113">
        <v>45926</v>
      </c>
      <c r="P214" s="60">
        <v>15.29</v>
      </c>
      <c r="Q214" s="60" cm="1">
        <f t="array" ref="Q214">TREND($Q$27:$Q$111,$R$27:$V$111,R214:V214,0)</f>
        <v>0.6070228520297738</v>
      </c>
      <c r="R214" s="60">
        <f t="shared" si="8"/>
        <v>0.62431023758421689</v>
      </c>
      <c r="S214" s="60">
        <f t="shared" si="8"/>
        <v>0.64208995007216607</v>
      </c>
      <c r="T214" s="60">
        <f t="shared" si="8"/>
        <v>0.66037601045756023</v>
      </c>
      <c r="U214" s="60">
        <f t="shared" si="6"/>
        <v>0.67918283900694876</v>
      </c>
      <c r="V214" s="60">
        <f t="shared" si="6"/>
        <v>0.6985252666612185</v>
      </c>
    </row>
    <row r="215" spans="14:22">
      <c r="N215" t="s">
        <v>2085</v>
      </c>
      <c r="O215" s="113">
        <v>45929</v>
      </c>
      <c r="P215" s="60">
        <v>16.12</v>
      </c>
      <c r="Q215" s="60" cm="1">
        <f t="array" ref="Q215">TREND($Q$27:$Q$111,$R$27:$V$111,R215:V215,0)</f>
        <v>0.59021416069066901</v>
      </c>
      <c r="R215" s="60">
        <f t="shared" si="8"/>
        <v>0.6070228520297738</v>
      </c>
      <c r="S215" s="60">
        <f t="shared" si="8"/>
        <v>0.62431023758421689</v>
      </c>
      <c r="T215" s="60">
        <f t="shared" si="8"/>
        <v>0.64208995007216607</v>
      </c>
      <c r="U215" s="60">
        <f t="shared" si="6"/>
        <v>0.66037601045756023</v>
      </c>
      <c r="V215" s="60">
        <f t="shared" si="6"/>
        <v>0.67918283900694876</v>
      </c>
    </row>
    <row r="216" spans="14:22">
      <c r="N216" t="s">
        <v>2086</v>
      </c>
      <c r="O216" s="113">
        <v>45930</v>
      </c>
      <c r="P216" s="60">
        <v>16.28</v>
      </c>
      <c r="Q216" s="60" cm="1">
        <f t="array" ref="Q216">TREND($Q$27:$Q$111,$R$27:$V$111,R216:V216,0)</f>
        <v>0.57387090834383347</v>
      </c>
      <c r="R216" s="60">
        <f t="shared" si="8"/>
        <v>0.59021416069066901</v>
      </c>
      <c r="S216" s="60">
        <f t="shared" si="8"/>
        <v>0.6070228520297738</v>
      </c>
      <c r="T216" s="60">
        <f t="shared" si="8"/>
        <v>0.62431023758421689</v>
      </c>
      <c r="U216" s="60">
        <f t="shared" si="6"/>
        <v>0.64208995007216607</v>
      </c>
      <c r="V216" s="60">
        <f t="shared" si="6"/>
        <v>0.66037601045756023</v>
      </c>
    </row>
    <row r="217" spans="14:22">
      <c r="N217" t="s">
        <v>2087</v>
      </c>
      <c r="O217" s="113">
        <v>45931</v>
      </c>
      <c r="P217" s="60">
        <v>16.29</v>
      </c>
      <c r="Q217" s="60"/>
      <c r="R217" s="60"/>
      <c r="S217" s="60"/>
      <c r="T217" s="60"/>
      <c r="U217" s="60"/>
      <c r="V217" s="60"/>
    </row>
    <row r="218" spans="14:22">
      <c r="N218" t="s">
        <v>2088</v>
      </c>
      <c r="O218" s="113">
        <v>45932</v>
      </c>
      <c r="P218" s="60">
        <v>16.63</v>
      </c>
      <c r="Q218" s="60"/>
      <c r="R218" s="60"/>
      <c r="S218" s="60"/>
      <c r="T218" s="60"/>
      <c r="U218" s="60"/>
      <c r="V218" s="60"/>
    </row>
    <row r="219" spans="14:22">
      <c r="N219" t="s">
        <v>2089</v>
      </c>
      <c r="O219" s="113">
        <v>45933</v>
      </c>
      <c r="P219" s="60">
        <v>16.649999999999999</v>
      </c>
      <c r="Q219" s="60"/>
      <c r="R219" s="60"/>
      <c r="S219" s="60"/>
      <c r="T219" s="60"/>
      <c r="U219" s="60"/>
      <c r="V219" s="60"/>
    </row>
    <row r="220" spans="14:22">
      <c r="N220" t="s">
        <v>2090</v>
      </c>
      <c r="O220" s="113">
        <v>45936</v>
      </c>
      <c r="P220" s="60">
        <v>16.37</v>
      </c>
      <c r="Q220" s="60"/>
      <c r="R220" s="60"/>
      <c r="S220" s="60"/>
      <c r="T220" s="60"/>
      <c r="U220" s="60"/>
      <c r="V220" s="60"/>
    </row>
    <row r="221" spans="14:22">
      <c r="N221" t="s">
        <v>2091</v>
      </c>
      <c r="O221" s="113">
        <v>45937</v>
      </c>
      <c r="P221" s="60">
        <v>17.239999999999998</v>
      </c>
      <c r="Q221" s="60"/>
      <c r="R221" s="60"/>
      <c r="S221" s="60"/>
      <c r="T221" s="60"/>
      <c r="U221" s="60"/>
      <c r="V221" s="60"/>
    </row>
    <row r="222" spans="14:22">
      <c r="N222" t="s">
        <v>2092</v>
      </c>
      <c r="O222" s="113">
        <v>45938</v>
      </c>
      <c r="P222" s="60">
        <v>16.3</v>
      </c>
      <c r="Q222" s="60"/>
      <c r="R222" s="60"/>
      <c r="S222" s="60"/>
      <c r="T222" s="60"/>
      <c r="U222" s="60"/>
      <c r="V222" s="60"/>
    </row>
    <row r="223" spans="14:22">
      <c r="N223" t="s">
        <v>2093</v>
      </c>
      <c r="O223" s="113">
        <v>45939</v>
      </c>
      <c r="P223" s="60">
        <v>16.43</v>
      </c>
      <c r="Q223" s="60"/>
      <c r="R223" s="60"/>
      <c r="S223" s="60"/>
      <c r="T223" s="60"/>
      <c r="U223" s="60"/>
      <c r="V223" s="60"/>
    </row>
    <row r="224" spans="14:22">
      <c r="O224" s="113"/>
      <c r="P224" s="60"/>
      <c r="Q224" s="60"/>
      <c r="R224" s="60"/>
      <c r="S224" s="60"/>
      <c r="T224" s="60"/>
      <c r="U224" s="60"/>
      <c r="V224" s="60"/>
    </row>
    <row r="225" spans="15:22">
      <c r="O225" s="113"/>
      <c r="P225" s="60"/>
      <c r="Q225" s="60"/>
      <c r="R225" s="60"/>
      <c r="S225" s="60"/>
      <c r="T225" s="60"/>
      <c r="U225" s="60"/>
      <c r="V225" s="60"/>
    </row>
    <row r="226" spans="15:22">
      <c r="O226" s="113"/>
      <c r="P226" s="60"/>
      <c r="Q226" s="60"/>
      <c r="R226" s="60"/>
      <c r="S226" s="60"/>
      <c r="T226" s="60"/>
      <c r="U226" s="60"/>
      <c r="V226" s="60"/>
    </row>
    <row r="227" spans="15:22">
      <c r="O227" s="113"/>
      <c r="P227" s="60"/>
      <c r="Q227" s="60"/>
      <c r="R227" s="60"/>
      <c r="S227" s="60"/>
      <c r="T227" s="60"/>
      <c r="U227" s="60"/>
      <c r="V227" s="60"/>
    </row>
    <row r="228" spans="15:22">
      <c r="O228" s="113"/>
    </row>
    <row r="229" spans="15:22">
      <c r="O229" s="113"/>
    </row>
    <row r="230" spans="15:22">
      <c r="O230" s="113"/>
    </row>
    <row r="231" spans="15:22">
      <c r="O231" s="113"/>
    </row>
    <row r="232" spans="15:22">
      <c r="O232" s="113"/>
    </row>
    <row r="233" spans="15:22">
      <c r="O233" s="113"/>
    </row>
    <row r="234" spans="15:22">
      <c r="O234" s="113"/>
    </row>
    <row r="235" spans="15:22">
      <c r="O235" s="113"/>
    </row>
    <row r="236" spans="15:22">
      <c r="O236" s="113"/>
    </row>
    <row r="237" spans="15:22">
      <c r="O237" s="113"/>
    </row>
    <row r="238" spans="15:22">
      <c r="O238" s="113"/>
    </row>
    <row r="239" spans="15:22">
      <c r="O239" s="113"/>
    </row>
    <row r="240" spans="15:22">
      <c r="O240" s="113"/>
    </row>
    <row r="241" spans="15:15">
      <c r="O241" s="113"/>
    </row>
    <row r="242" spans="15:15">
      <c r="O242" s="113"/>
    </row>
    <row r="243" spans="15:15">
      <c r="O243" s="1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69997-F0AE-4EB4-89BE-7422958BE359}">
  <sheetPr codeName="Sheet24"/>
  <dimension ref="A1:BW147"/>
  <sheetViews>
    <sheetView zoomScale="85" zoomScaleNormal="85" workbookViewId="0"/>
  </sheetViews>
  <sheetFormatPr defaultColWidth="9.140625" defaultRowHeight="14.45"/>
  <cols>
    <col min="1" max="1" width="29.140625" style="27" customWidth="1"/>
    <col min="2" max="2" width="9.140625" style="27"/>
    <col min="3" max="3" width="27.85546875" style="27" customWidth="1"/>
    <col min="4" max="4" width="9.140625" style="27"/>
    <col min="5" max="5" width="17" style="27" customWidth="1"/>
    <col min="6" max="6" width="9.140625" style="27"/>
    <col min="7" max="9" width="13.85546875" style="27" customWidth="1"/>
    <col min="10" max="19" width="9.140625" style="27"/>
    <col min="20" max="20" width="12" style="27" bestFit="1" customWidth="1"/>
    <col min="21" max="24" width="9.140625" style="27"/>
    <col min="25" max="25" width="13.28515625" style="27" bestFit="1" customWidth="1"/>
    <col min="26" max="29" width="9.140625" style="27"/>
    <col min="30" max="30" width="13.28515625" style="27" bestFit="1" customWidth="1"/>
    <col min="31" max="31" width="13.28515625" style="27" customWidth="1"/>
    <col min="32" max="33" width="9.140625" style="27"/>
    <col min="34" max="34" width="13.28515625" style="27" bestFit="1" customWidth="1"/>
    <col min="35" max="38" width="9.140625" style="27"/>
    <col min="39" max="39" width="9.140625" style="27" customWidth="1"/>
    <col min="40" max="40" width="9.140625" style="27"/>
    <col min="41" max="41" width="10" style="27" bestFit="1" customWidth="1"/>
    <col min="42" max="55" width="9.140625" style="27"/>
    <col min="56" max="57" width="11.85546875" style="27" bestFit="1" customWidth="1"/>
    <col min="58" max="64" width="9.140625" style="27"/>
    <col min="65" max="65" width="11.85546875" style="27" bestFit="1" customWidth="1"/>
    <col min="66" max="66" width="9.140625" style="27"/>
    <col min="67" max="67" width="11.85546875" style="27" bestFit="1" customWidth="1"/>
    <col min="68" max="16384" width="9.140625" style="27"/>
  </cols>
  <sheetData>
    <row r="1" spans="1:74" ht="15.6">
      <c r="A1" s="258" t="s">
        <v>1833</v>
      </c>
      <c r="B1" s="259"/>
      <c r="C1" s="259"/>
      <c r="D1" s="259"/>
      <c r="E1" s="259"/>
      <c r="F1" s="259"/>
      <c r="G1" s="259"/>
      <c r="H1" s="259"/>
      <c r="I1" s="260"/>
    </row>
    <row r="2" spans="1:74" ht="15.6">
      <c r="A2" s="261" t="s">
        <v>2094</v>
      </c>
      <c r="B2" s="262"/>
      <c r="C2" s="262"/>
      <c r="D2" s="262"/>
      <c r="E2" s="262"/>
      <c r="F2" s="262"/>
      <c r="G2" s="262"/>
      <c r="H2" s="262"/>
      <c r="I2" s="263"/>
    </row>
    <row r="3" spans="1:74" ht="15.6">
      <c r="A3" s="261" t="s">
        <v>2095</v>
      </c>
      <c r="B3" s="262"/>
      <c r="C3" s="262"/>
      <c r="D3" s="262"/>
      <c r="E3" s="262"/>
      <c r="F3" s="262"/>
      <c r="G3" s="262"/>
      <c r="H3" s="262"/>
      <c r="I3" s="263"/>
    </row>
    <row r="4" spans="1:74" ht="15.6">
      <c r="A4" s="261" t="s">
        <v>2096</v>
      </c>
      <c r="B4" s="262"/>
      <c r="C4" s="262"/>
      <c r="D4" s="262"/>
      <c r="E4" s="262"/>
      <c r="F4" s="262"/>
      <c r="G4" s="262"/>
      <c r="H4" s="262"/>
      <c r="I4" s="263"/>
    </row>
    <row r="5" spans="1:74" ht="15.6">
      <c r="A5" s="261" t="s">
        <v>2097</v>
      </c>
      <c r="B5" s="262"/>
      <c r="C5" s="262"/>
      <c r="D5" s="262"/>
      <c r="E5" s="262"/>
      <c r="F5" s="262"/>
      <c r="G5" s="262"/>
      <c r="H5" s="262"/>
      <c r="I5" s="263"/>
    </row>
    <row r="6" spans="1:74" ht="15.6">
      <c r="A6" s="261" t="s">
        <v>2098</v>
      </c>
      <c r="B6" s="262"/>
      <c r="C6" s="262"/>
      <c r="D6" s="262"/>
      <c r="E6" s="262"/>
      <c r="F6" s="262"/>
      <c r="G6" s="262"/>
      <c r="H6" s="262"/>
      <c r="I6" s="263"/>
    </row>
    <row r="7" spans="1:74" ht="15.6">
      <c r="A7" s="261" t="s">
        <v>2099</v>
      </c>
      <c r="B7" s="262"/>
      <c r="C7" s="262"/>
      <c r="D7" s="262"/>
      <c r="E7" s="262"/>
      <c r="F7" s="262"/>
      <c r="G7" s="262"/>
      <c r="H7" s="262"/>
      <c r="I7" s="263"/>
    </row>
    <row r="8" spans="1:74" ht="15.6">
      <c r="A8" s="261" t="s">
        <v>2100</v>
      </c>
      <c r="B8" s="262"/>
      <c r="C8" s="262"/>
      <c r="D8" s="262"/>
      <c r="E8" s="262"/>
      <c r="F8" s="262"/>
      <c r="G8" s="262"/>
      <c r="H8" s="262"/>
      <c r="I8" s="263"/>
    </row>
    <row r="9" spans="1:74" ht="15.6">
      <c r="A9" s="261" t="s">
        <v>2101</v>
      </c>
      <c r="B9" s="262"/>
      <c r="C9" s="262"/>
      <c r="D9" s="262"/>
      <c r="E9" s="262"/>
      <c r="F9" s="262"/>
      <c r="G9" s="262"/>
      <c r="H9" s="262"/>
      <c r="I9" s="263"/>
      <c r="AR9" s="46" t="s">
        <v>2102</v>
      </c>
      <c r="AS9" s="46" t="s">
        <v>1846</v>
      </c>
      <c r="AT9" s="46" t="s">
        <v>1847</v>
      </c>
      <c r="AU9" s="46" t="s">
        <v>1848</v>
      </c>
      <c r="AV9" s="46" t="s">
        <v>1849</v>
      </c>
      <c r="AW9" s="46" t="s">
        <v>1850</v>
      </c>
      <c r="AX9" s="46" t="s">
        <v>1851</v>
      </c>
      <c r="AY9" s="46" t="s">
        <v>2103</v>
      </c>
      <c r="AZ9" s="46" t="s">
        <v>2104</v>
      </c>
      <c r="BA9" s="46" t="s">
        <v>2105</v>
      </c>
      <c r="BB9" s="46" t="s">
        <v>52</v>
      </c>
      <c r="BD9" t="s">
        <v>2106</v>
      </c>
      <c r="BE9" s="27" t="s">
        <v>1847</v>
      </c>
      <c r="BF9" s="27" t="s">
        <v>1849</v>
      </c>
      <c r="BG9" s="27" t="s">
        <v>1850</v>
      </c>
      <c r="BH9" s="27" t="s">
        <v>2105</v>
      </c>
      <c r="BI9" s="27" t="s">
        <v>2103</v>
      </c>
      <c r="BJ9" s="27" t="s">
        <v>2104</v>
      </c>
      <c r="BK9" s="27" t="s">
        <v>1848</v>
      </c>
      <c r="BL9" s="27" t="s">
        <v>1851</v>
      </c>
      <c r="BN9" s="27" t="s">
        <v>2106</v>
      </c>
      <c r="BO9" s="27" t="s">
        <v>1847</v>
      </c>
      <c r="BP9" s="27" t="s">
        <v>1849</v>
      </c>
      <c r="BQ9" s="27" t="s">
        <v>1850</v>
      </c>
      <c r="BR9" s="27" t="s">
        <v>2105</v>
      </c>
      <c r="BS9" s="27" t="s">
        <v>2103</v>
      </c>
      <c r="BT9" s="27" t="s">
        <v>2104</v>
      </c>
      <c r="BU9" s="27" t="s">
        <v>1848</v>
      </c>
      <c r="BV9" s="27" t="s">
        <v>1851</v>
      </c>
    </row>
    <row r="10" spans="1:74" ht="15.95" thickBot="1">
      <c r="A10" s="264" t="s">
        <v>2107</v>
      </c>
      <c r="B10" s="265"/>
      <c r="C10" s="265"/>
      <c r="D10" s="265"/>
      <c r="E10" s="265"/>
      <c r="F10" s="265"/>
      <c r="G10" s="265"/>
      <c r="H10" s="265"/>
      <c r="I10" s="266"/>
      <c r="AQ10" s="27" t="str">
        <f>RIGHT(AR10,3)</f>
        <v>pdr</v>
      </c>
      <c r="AR10" s="46" t="s">
        <v>331</v>
      </c>
      <c r="AS10" s="46">
        <v>0</v>
      </c>
      <c r="AT10" s="46">
        <v>0.85199999999999998</v>
      </c>
      <c r="AU10" s="46">
        <v>0.30099999999999999</v>
      </c>
      <c r="AV10" s="46">
        <v>2E-3</v>
      </c>
      <c r="AW10" s="46">
        <v>0</v>
      </c>
      <c r="AX10" s="46">
        <v>0.19500000000000001</v>
      </c>
      <c r="AY10" s="46">
        <v>0</v>
      </c>
      <c r="AZ10" s="46">
        <v>0.23699999999999999</v>
      </c>
      <c r="BA10" s="46">
        <v>1.9E-2</v>
      </c>
      <c r="BB10" s="46">
        <v>1.61</v>
      </c>
      <c r="BD10" t="s">
        <v>333</v>
      </c>
      <c r="BE10">
        <f>IFERROR(INDEX($AS$10:$BB$75,MATCH($BD10,$AQ$10:$AQ$74,0),MATCH(BE$9,$AS$9:$BB$9,0))/INDEX($AS$80:$BB$145,MATCH($BD10,$AQ$80:$AQ$145,0),MATCH(BE$9,$AS$79:$BB$79,0)),0)*BE80</f>
        <v>0</v>
      </c>
      <c r="BF10">
        <f t="shared" ref="BF10:BL10" si="0">IFERROR(INDEX($AS$10:$BB$75,MATCH($BD10,$AQ$10:$AQ$74,0),MATCH(BF$9,$AS$9:$BB$9,0))/INDEX($AS$80:$BB$145,MATCH($BD10,$AQ$80:$AQ$145,0),MATCH(BF$9,$AS$79:$BB$79,0)),0)*BF80</f>
        <v>97730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2071.9445121951221</v>
      </c>
      <c r="BL10">
        <f t="shared" si="0"/>
        <v>0</v>
      </c>
      <c r="BN10" s="27" t="s">
        <v>333</v>
      </c>
      <c r="BO10" s="27">
        <f>'Weighted US Tariff'!Z83</f>
        <v>0</v>
      </c>
      <c r="BP10" s="27">
        <f>'Weighted US Tariff'!AA83</f>
        <v>1.6168250000001501E-2</v>
      </c>
      <c r="BQ10" s="27">
        <f>'Weighted US Tariff'!AB83</f>
        <v>0</v>
      </c>
      <c r="BR10" s="27">
        <f>'Weighted US Tariff'!AC83</f>
        <v>0</v>
      </c>
      <c r="BS10" s="27">
        <f>'Weighted US Tariff'!AD83</f>
        <v>15</v>
      </c>
      <c r="BT10" s="27">
        <f>'Weighted US Tariff'!AE83</f>
        <v>0</v>
      </c>
      <c r="BU10" s="27">
        <f>'Weighted US Tariff'!AF83</f>
        <v>25</v>
      </c>
      <c r="BV10" s="27">
        <f>'Weighted US Tariff'!AG83</f>
        <v>0</v>
      </c>
    </row>
    <row r="11" spans="1:74" ht="15" thickBot="1">
      <c r="AQ11" s="27" t="str">
        <f t="shared" ref="AQ11:AQ74" si="1">RIGHT(AR11,3)</f>
        <v>wht</v>
      </c>
      <c r="AR11" s="46" t="s">
        <v>334</v>
      </c>
      <c r="AS11" s="46">
        <v>0</v>
      </c>
      <c r="AT11" s="46">
        <v>0.13900000000000001</v>
      </c>
      <c r="AU11" s="46">
        <v>5.9</v>
      </c>
      <c r="AV11" s="46">
        <v>757</v>
      </c>
      <c r="AW11" s="46">
        <v>2.54</v>
      </c>
      <c r="AX11" s="46">
        <v>6.8000000000000005E-2</v>
      </c>
      <c r="AY11" s="46">
        <v>2E-3</v>
      </c>
      <c r="AZ11" s="46">
        <v>2.27</v>
      </c>
      <c r="BA11" s="46">
        <v>0.249</v>
      </c>
      <c r="BB11" s="46">
        <v>769</v>
      </c>
      <c r="BD11" t="s">
        <v>336</v>
      </c>
      <c r="BE11">
        <f t="shared" ref="BE11:BL11" si="2">IFERROR(INDEX($AS$10:$BB$75,MATCH($BD11,$AQ$10:$AQ$74,0),MATCH(BE$9,$AS$9:$BB$9,0))/INDEX($AS$80:$BB$145,MATCH($BD11,$AQ$80:$AQ$145,0),MATCH(BE$9,$AS$79:$BB$79,0)),0)*BE81</f>
        <v>0</v>
      </c>
      <c r="BF11">
        <f t="shared" si="2"/>
        <v>750144135.54609942</v>
      </c>
      <c r="BG11">
        <f t="shared" si="2"/>
        <v>302920.77490774909</v>
      </c>
      <c r="BH11">
        <f t="shared" si="2"/>
        <v>35566.838709677424</v>
      </c>
      <c r="BI11">
        <f t="shared" si="2"/>
        <v>0</v>
      </c>
      <c r="BJ11">
        <f t="shared" si="2"/>
        <v>18543058.857509628</v>
      </c>
      <c r="BK11">
        <f t="shared" si="2"/>
        <v>571222.49635036499</v>
      </c>
      <c r="BL11">
        <f t="shared" si="2"/>
        <v>66641.619047619053</v>
      </c>
      <c r="BN11" s="27" t="s">
        <v>336</v>
      </c>
      <c r="BO11" s="27">
        <f>'Weighted US Tariff'!Z84</f>
        <v>0</v>
      </c>
      <c r="BP11" s="27">
        <f>'Weighted US Tariff'!AA84</f>
        <v>1.6168250000001501E-2</v>
      </c>
      <c r="BQ11" s="27">
        <f>'Weighted US Tariff'!AB84</f>
        <v>7.8059749999997898E-3</v>
      </c>
      <c r="BR11" s="27">
        <f>'Weighted US Tariff'!AC84</f>
        <v>10</v>
      </c>
      <c r="BS11" s="27">
        <f>'Weighted US Tariff'!AD84</f>
        <v>0</v>
      </c>
      <c r="BT11" s="27">
        <f>'Weighted US Tariff'!AE84</f>
        <v>15</v>
      </c>
      <c r="BU11" s="27">
        <f>'Weighted US Tariff'!AF84</f>
        <v>10.136395712297499</v>
      </c>
      <c r="BV11" s="27">
        <f>'Weighted US Tariff'!AG84</f>
        <v>13.601224460047099</v>
      </c>
    </row>
    <row r="12" spans="1:74">
      <c r="A12" s="330" t="s">
        <v>2108</v>
      </c>
      <c r="B12" s="331"/>
      <c r="AQ12" s="27" t="str">
        <f t="shared" si="1"/>
        <v>gro</v>
      </c>
      <c r="AR12" s="46" t="s">
        <v>337</v>
      </c>
      <c r="AS12" s="46">
        <v>0</v>
      </c>
      <c r="AT12" s="46">
        <v>0.61799999999999999</v>
      </c>
      <c r="AU12" s="46">
        <v>227</v>
      </c>
      <c r="AV12" s="46">
        <v>623</v>
      </c>
      <c r="AW12" s="46">
        <v>19.5</v>
      </c>
      <c r="AX12" s="46">
        <v>122</v>
      </c>
      <c r="AY12" s="46">
        <v>4.8000000000000001E-2</v>
      </c>
      <c r="AZ12" s="46">
        <v>46</v>
      </c>
      <c r="BA12" s="46">
        <v>6.9000000000000006E-2</v>
      </c>
      <c r="BB12" s="46">
        <v>1038</v>
      </c>
      <c r="BD12" t="s">
        <v>339</v>
      </c>
      <c r="BE12">
        <f t="shared" ref="BE12:BL12" si="3">IFERROR(INDEX($AS$10:$BB$75,MATCH($BD12,$AQ$10:$AQ$74,0),MATCH(BE$9,$AS$9:$BB$9,0))/INDEX($AS$80:$BB$145,MATCH($BD12,$AQ$80:$AQ$145,0),MATCH(BE$9,$AS$79:$BB$79,0)),0)*BE82</f>
        <v>929271.77354260092</v>
      </c>
      <c r="BF12">
        <f t="shared" si="3"/>
        <v>623094823.68197882</v>
      </c>
      <c r="BG12">
        <f t="shared" si="3"/>
        <v>11541935.543478262</v>
      </c>
      <c r="BH12">
        <f t="shared" si="3"/>
        <v>284970</v>
      </c>
      <c r="BI12">
        <f t="shared" si="3"/>
        <v>38615.25</v>
      </c>
      <c r="BJ12">
        <f t="shared" si="3"/>
        <v>51237705.302782327</v>
      </c>
      <c r="BK12">
        <f t="shared" si="3"/>
        <v>92547071.92957747</v>
      </c>
      <c r="BL12">
        <f t="shared" si="3"/>
        <v>103928952.4861111</v>
      </c>
      <c r="BN12" s="27" t="s">
        <v>339</v>
      </c>
      <c r="BO12" s="27">
        <f>'Weighted US Tariff'!Z85</f>
        <v>19.716024779333701</v>
      </c>
      <c r="BP12" s="27">
        <f>'Weighted US Tariff'!AA85</f>
        <v>1.6168250000001501E-2</v>
      </c>
      <c r="BQ12" s="27">
        <f>'Weighted US Tariff'!AB85</f>
        <v>7.8059749999997898E-3</v>
      </c>
      <c r="BR12" s="27">
        <f>'Weighted US Tariff'!AC85</f>
        <v>10</v>
      </c>
      <c r="BS12" s="27">
        <f>'Weighted US Tariff'!AD85</f>
        <v>15</v>
      </c>
      <c r="BT12" s="27">
        <f>'Weighted US Tariff'!AE85</f>
        <v>14.9957786144648</v>
      </c>
      <c r="BU12" s="27">
        <f>'Weighted US Tariff'!AF85</f>
        <v>12.389364749538601</v>
      </c>
      <c r="BV12" s="27">
        <f>'Weighted US Tariff'!AG85</f>
        <v>9.9757078405952999</v>
      </c>
    </row>
    <row r="13" spans="1:74">
      <c r="A13" s="332" t="s">
        <v>2109</v>
      </c>
      <c r="B13" s="333">
        <f>0.3*0.58</f>
        <v>0.17399999999999999</v>
      </c>
      <c r="AQ13" s="27" t="str">
        <f t="shared" si="1"/>
        <v>v_f</v>
      </c>
      <c r="AR13" s="46" t="s">
        <v>340</v>
      </c>
      <c r="AS13" s="46">
        <v>0</v>
      </c>
      <c r="AT13" s="46">
        <v>256</v>
      </c>
      <c r="AU13" s="46">
        <v>3299</v>
      </c>
      <c r="AV13" s="46">
        <v>2440</v>
      </c>
      <c r="AW13" s="46">
        <v>13991</v>
      </c>
      <c r="AX13" s="46">
        <v>6840</v>
      </c>
      <c r="AY13" s="46">
        <v>9.06</v>
      </c>
      <c r="AZ13" s="46">
        <v>406</v>
      </c>
      <c r="BA13" s="46">
        <v>8.17</v>
      </c>
      <c r="BB13" s="46">
        <v>27248</v>
      </c>
      <c r="BD13" t="s">
        <v>342</v>
      </c>
      <c r="BE13">
        <f t="shared" ref="BE13:BL13" si="4">IFERROR(INDEX($AS$10:$BB$75,MATCH($BD13,$AQ$10:$AQ$74,0),MATCH(BE$9,$AS$9:$BB$9,0))/INDEX($AS$80:$BB$145,MATCH($BD13,$AQ$80:$AQ$145,0),MATCH(BE$9,$AS$79:$BB$79,0)),0)*BE83</f>
        <v>240623761.24822694</v>
      </c>
      <c r="BF13">
        <f t="shared" si="4"/>
        <v>3610085650.4387565</v>
      </c>
      <c r="BG13">
        <f t="shared" si="4"/>
        <v>20624309281.102337</v>
      </c>
      <c r="BH13">
        <f t="shared" si="4"/>
        <v>2311071.0226415093</v>
      </c>
      <c r="BI13">
        <f t="shared" si="4"/>
        <v>7287310.4802919719</v>
      </c>
      <c r="BJ13">
        <f t="shared" si="4"/>
        <v>353429421.66197187</v>
      </c>
      <c r="BK13">
        <f t="shared" si="4"/>
        <v>3198240206.3250995</v>
      </c>
      <c r="BL13">
        <f t="shared" si="4"/>
        <v>8467140000.4047737</v>
      </c>
      <c r="BN13" s="27" t="s">
        <v>342</v>
      </c>
      <c r="BO13" s="27">
        <f>'Weighted US Tariff'!Z86</f>
        <v>18.465108736476001</v>
      </c>
      <c r="BP13" s="27">
        <f>'Weighted US Tariff'!AA86</f>
        <v>1.6168250000001501E-2</v>
      </c>
      <c r="BQ13" s="27">
        <f>'Weighted US Tariff'!AB86</f>
        <v>7.8059749999997898E-3</v>
      </c>
      <c r="BR13" s="27">
        <f>'Weighted US Tariff'!AC86</f>
        <v>9.58739376184778</v>
      </c>
      <c r="BS13" s="27">
        <f>'Weighted US Tariff'!AD86</f>
        <v>14.689303261516899</v>
      </c>
      <c r="BT13" s="27">
        <f>'Weighted US Tariff'!AE86</f>
        <v>12.1657926934464</v>
      </c>
      <c r="BU13" s="27">
        <f>'Weighted US Tariff'!AF86</f>
        <v>4.3494251399218404</v>
      </c>
      <c r="BV13" s="27">
        <f>'Weighted US Tariff'!AG86</f>
        <v>6.0049979478243998</v>
      </c>
    </row>
    <row r="14" spans="1:74">
      <c r="A14" s="332" t="s">
        <v>2110</v>
      </c>
      <c r="B14" s="333">
        <v>0.5</v>
      </c>
      <c r="AQ14" s="27" t="str">
        <f t="shared" si="1"/>
        <v>osd</v>
      </c>
      <c r="AR14" s="46" t="s">
        <v>343</v>
      </c>
      <c r="AS14" s="46">
        <v>0</v>
      </c>
      <c r="AT14" s="46">
        <v>9.15</v>
      </c>
      <c r="AU14" s="46">
        <v>316</v>
      </c>
      <c r="AV14" s="46">
        <v>615</v>
      </c>
      <c r="AW14" s="46">
        <v>24.2</v>
      </c>
      <c r="AX14" s="46">
        <v>63.4</v>
      </c>
      <c r="AY14" s="46">
        <v>0.38400000000000001</v>
      </c>
      <c r="AZ14" s="46">
        <v>33.700000000000003</v>
      </c>
      <c r="BA14" s="46">
        <v>1.62</v>
      </c>
      <c r="BB14" s="46">
        <v>1063</v>
      </c>
      <c r="BD14" t="s">
        <v>345</v>
      </c>
      <c r="BE14">
        <f t="shared" ref="BE14:BL14" si="5">IFERROR(INDEX($AS$10:$BB$75,MATCH($BD14,$AQ$10:$AQ$74,0),MATCH(BE$9,$AS$9:$BB$9,0))/INDEX($AS$80:$BB$145,MATCH($BD14,$AQ$80:$AQ$145,0),MATCH(BE$9,$AS$79:$BB$79,0)),0)*BE84</f>
        <v>10494848.699999999</v>
      </c>
      <c r="BF14">
        <f t="shared" si="5"/>
        <v>674172994.3577075</v>
      </c>
      <c r="BG14">
        <f t="shared" si="5"/>
        <v>25083742.546296295</v>
      </c>
      <c r="BH14">
        <f t="shared" si="5"/>
        <v>484260.81428571435</v>
      </c>
      <c r="BI14">
        <f t="shared" si="5"/>
        <v>143018.00619195047</v>
      </c>
      <c r="BJ14">
        <f t="shared" si="5"/>
        <v>64880636.419540234</v>
      </c>
      <c r="BK14">
        <f t="shared" si="5"/>
        <v>261460963.73809522</v>
      </c>
      <c r="BL14">
        <f t="shared" si="5"/>
        <v>61459445.691075504</v>
      </c>
      <c r="BN14" s="27" t="s">
        <v>345</v>
      </c>
      <c r="BO14" s="27">
        <f>'Weighted US Tariff'!Z87</f>
        <v>20</v>
      </c>
      <c r="BP14" s="27">
        <f>'Weighted US Tariff'!AA87</f>
        <v>1.6168250000001501E-2</v>
      </c>
      <c r="BQ14" s="27">
        <f>'Weighted US Tariff'!AB87</f>
        <v>7.8059749999997898E-3</v>
      </c>
      <c r="BR14" s="27">
        <f>'Weighted US Tariff'!AC87</f>
        <v>5.6822390602561001E-2</v>
      </c>
      <c r="BS14" s="27">
        <f>'Weighted US Tariff'!AD87</f>
        <v>15</v>
      </c>
      <c r="BT14" s="27">
        <f>'Weighted US Tariff'!AE87</f>
        <v>13.004492405654601</v>
      </c>
      <c r="BU14" s="27">
        <f>'Weighted US Tariff'!AF87</f>
        <v>13.4798588398377</v>
      </c>
      <c r="BV14" s="27">
        <f>'Weighted US Tariff'!AG87</f>
        <v>10.3564616714404</v>
      </c>
    </row>
    <row r="15" spans="1:74">
      <c r="A15" s="332" t="s">
        <v>2111</v>
      </c>
      <c r="B15" s="333">
        <v>0.31470999999999999</v>
      </c>
      <c r="AQ15" s="27" t="str">
        <f t="shared" si="1"/>
        <v>c_b</v>
      </c>
      <c r="AR15" s="46" t="s">
        <v>346</v>
      </c>
      <c r="AS15" s="46">
        <v>0</v>
      </c>
      <c r="AT15" s="46">
        <v>2.3E-2</v>
      </c>
      <c r="AU15" s="46">
        <v>1.03</v>
      </c>
      <c r="AV15" s="46">
        <v>1E-3</v>
      </c>
      <c r="AW15" s="46">
        <v>0.40500000000000003</v>
      </c>
      <c r="AX15" s="46">
        <v>7.1999999999999995E-2</v>
      </c>
      <c r="AY15" s="46">
        <v>0</v>
      </c>
      <c r="AZ15" s="46">
        <v>0.17699999999999999</v>
      </c>
      <c r="BA15" s="46">
        <v>0.113</v>
      </c>
      <c r="BB15" s="46">
        <v>1.82</v>
      </c>
      <c r="BD15" t="s">
        <v>348</v>
      </c>
      <c r="BE15">
        <f t="shared" ref="BE15:BL15" si="6">IFERROR(INDEX($AS$10:$BB$75,MATCH($BD15,$AQ$10:$AQ$74,0),MATCH(BE$9,$AS$9:$BB$9,0))/INDEX($AS$80:$BB$145,MATCH($BD15,$AQ$80:$AQ$145,0),MATCH(BE$9,$AS$79:$BB$79,0)),0)*BE85</f>
        <v>4474.9024390243894</v>
      </c>
      <c r="BF15">
        <f t="shared" si="6"/>
        <v>14404650</v>
      </c>
      <c r="BG15">
        <f t="shared" si="6"/>
        <v>1194359.2332268371</v>
      </c>
      <c r="BH15">
        <f t="shared" si="6"/>
        <v>0</v>
      </c>
      <c r="BI15">
        <f t="shared" si="6"/>
        <v>0</v>
      </c>
      <c r="BJ15">
        <f t="shared" si="6"/>
        <v>56481.220588235286</v>
      </c>
      <c r="BK15">
        <f t="shared" si="6"/>
        <v>2015633.2298136645</v>
      </c>
      <c r="BL15">
        <f t="shared" si="6"/>
        <v>220693.04697986576</v>
      </c>
      <c r="BN15" s="27" t="s">
        <v>348</v>
      </c>
      <c r="BO15" s="27">
        <f>'Weighted US Tariff'!Z88</f>
        <v>20</v>
      </c>
      <c r="BP15" s="27">
        <f>'Weighted US Tariff'!AA88</f>
        <v>1.6168250000001501E-2</v>
      </c>
      <c r="BQ15" s="27">
        <f>'Weighted US Tariff'!AB88</f>
        <v>7.8059749999997898E-3</v>
      </c>
      <c r="BR15" s="27">
        <f>'Weighted US Tariff'!AC88</f>
        <v>0</v>
      </c>
      <c r="BS15" s="27">
        <f>'Weighted US Tariff'!AD88</f>
        <v>0</v>
      </c>
      <c r="BT15" s="27">
        <f>'Weighted US Tariff'!AE88</f>
        <v>15</v>
      </c>
      <c r="BU15" s="27">
        <f>'Weighted US Tariff'!AF88</f>
        <v>15.3622363639249</v>
      </c>
      <c r="BV15" s="27">
        <f>'Weighted US Tariff'!AG88</f>
        <v>21.900015764858299</v>
      </c>
    </row>
    <row r="16" spans="1:74" ht="15" thickBot="1">
      <c r="A16" s="334" t="s">
        <v>2112</v>
      </c>
      <c r="B16" s="335">
        <v>0.20570358140754377</v>
      </c>
      <c r="AQ16" s="27" t="str">
        <f t="shared" si="1"/>
        <v>pfb</v>
      </c>
      <c r="AR16" s="46" t="s">
        <v>349</v>
      </c>
      <c r="AS16" s="46">
        <v>0</v>
      </c>
      <c r="AT16" s="46">
        <v>0.03</v>
      </c>
      <c r="AU16" s="46">
        <v>49.4</v>
      </c>
      <c r="AV16" s="46">
        <v>0.123</v>
      </c>
      <c r="AW16" s="46">
        <v>2.5499999999999998</v>
      </c>
      <c r="AX16" s="46">
        <v>0.65200000000000002</v>
      </c>
      <c r="AY16" s="46">
        <v>3.3000000000000002E-2</v>
      </c>
      <c r="AZ16" s="46">
        <v>4.71</v>
      </c>
      <c r="BA16" s="46">
        <v>0.22600000000000001</v>
      </c>
      <c r="BB16" s="46">
        <v>57.7</v>
      </c>
      <c r="BD16" t="s">
        <v>351</v>
      </c>
      <c r="BE16">
        <f t="shared" ref="BE16:BL16" si="7">IFERROR(INDEX($AS$10:$BB$75,MATCH($BD16,$AQ$10:$AQ$74,0),MATCH(BE$9,$AS$9:$BB$9,0))/INDEX($AS$80:$BB$145,MATCH($BD16,$AQ$80:$AQ$145,0),MATCH(BE$9,$AS$79:$BB$79,0)),0)*BE86</f>
        <v>275424.4736842105</v>
      </c>
      <c r="BF16">
        <f t="shared" si="7"/>
        <v>283318.96875</v>
      </c>
      <c r="BG16">
        <f t="shared" si="7"/>
        <v>3659716.9014084507</v>
      </c>
      <c r="BH16">
        <f t="shared" si="7"/>
        <v>144006.51515151517</v>
      </c>
      <c r="BI16">
        <f t="shared" si="7"/>
        <v>101321.31428571428</v>
      </c>
      <c r="BJ16">
        <f t="shared" si="7"/>
        <v>3781312.9214145383</v>
      </c>
      <c r="BK16">
        <f t="shared" si="7"/>
        <v>32940454.728723403</v>
      </c>
      <c r="BL16">
        <f t="shared" si="7"/>
        <v>233342.46616541353</v>
      </c>
      <c r="BN16" s="27" t="s">
        <v>351</v>
      </c>
      <c r="BO16" s="27">
        <f>'Weighted US Tariff'!Z89</f>
        <v>20</v>
      </c>
      <c r="BP16" s="27">
        <f>'Weighted US Tariff'!AA89</f>
        <v>1.6168250000001501E-2</v>
      </c>
      <c r="BQ16" s="27">
        <f>'Weighted US Tariff'!AB89</f>
        <v>7.8059749999997898E-3</v>
      </c>
      <c r="BR16" s="27">
        <f>'Weighted US Tariff'!AC89</f>
        <v>10</v>
      </c>
      <c r="BS16" s="27">
        <f>'Weighted US Tariff'!AD89</f>
        <v>15</v>
      </c>
      <c r="BT16" s="27">
        <f>'Weighted US Tariff'!AE89</f>
        <v>15</v>
      </c>
      <c r="BU16" s="27">
        <f>'Weighted US Tariff'!AF89</f>
        <v>23.5136339667296</v>
      </c>
      <c r="BV16" s="27">
        <f>'Weighted US Tariff'!AG89</f>
        <v>21.607476747710699</v>
      </c>
    </row>
    <row r="17" spans="1:74">
      <c r="AQ17" s="27" t="str">
        <f t="shared" si="1"/>
        <v>ocr</v>
      </c>
      <c r="AR17" s="46" t="s">
        <v>352</v>
      </c>
      <c r="AS17" s="46">
        <v>0</v>
      </c>
      <c r="AT17" s="46">
        <v>155</v>
      </c>
      <c r="AU17" s="46">
        <v>5992</v>
      </c>
      <c r="AV17" s="46">
        <v>778</v>
      </c>
      <c r="AW17" s="46">
        <v>377</v>
      </c>
      <c r="AX17" s="46">
        <v>4080</v>
      </c>
      <c r="AY17" s="46">
        <v>42.1</v>
      </c>
      <c r="AZ17" s="46">
        <v>307</v>
      </c>
      <c r="BA17" s="46">
        <v>18.5</v>
      </c>
      <c r="BB17" s="46">
        <v>11750</v>
      </c>
      <c r="BD17" t="s">
        <v>354</v>
      </c>
      <c r="BE17">
        <f t="shared" ref="BE17:BL17" si="8">IFERROR(INDEX($AS$10:$BB$75,MATCH($BD17,$AQ$10:$AQ$74,0),MATCH(BE$9,$AS$9:$BB$9,0))/INDEX($AS$80:$BB$145,MATCH($BD17,$AQ$80:$AQ$145,0),MATCH(BE$9,$AS$79:$BB$79,0)),0)*BE87</f>
        <v>151787287.32142857</v>
      </c>
      <c r="BF17">
        <f t="shared" si="8"/>
        <v>1321058294.4703946</v>
      </c>
      <c r="BG17">
        <f t="shared" si="8"/>
        <v>569594214.40652823</v>
      </c>
      <c r="BH17">
        <f t="shared" si="8"/>
        <v>9055061.30859375</v>
      </c>
      <c r="BI17">
        <f t="shared" si="8"/>
        <v>63925984.378865987</v>
      </c>
      <c r="BJ17">
        <f t="shared" si="8"/>
        <v>284598113.23452157</v>
      </c>
      <c r="BK17">
        <f t="shared" si="8"/>
        <v>6316446166.9842806</v>
      </c>
      <c r="BL17">
        <f t="shared" si="8"/>
        <v>4912872108.1967211</v>
      </c>
      <c r="BN17" s="27" t="s">
        <v>354</v>
      </c>
      <c r="BO17" s="27">
        <f>'Weighted US Tariff'!Z90</f>
        <v>14.067594507717599</v>
      </c>
      <c r="BP17" s="27">
        <f>'Weighted US Tariff'!AA90</f>
        <v>1.6168250000001501E-2</v>
      </c>
      <c r="BQ17" s="27">
        <f>'Weighted US Tariff'!AB90</f>
        <v>7.8059749999997898E-3</v>
      </c>
      <c r="BR17" s="27">
        <f>'Weighted US Tariff'!AC90</f>
        <v>8.4186401114040308</v>
      </c>
      <c r="BS17" s="27">
        <f>'Weighted US Tariff'!AD90</f>
        <v>2.0142271023999099</v>
      </c>
      <c r="BT17" s="27">
        <f>'Weighted US Tariff'!AE90</f>
        <v>12.4390202408498</v>
      </c>
      <c r="BU17" s="27">
        <f>'Weighted US Tariff'!AF90</f>
        <v>2.7300333969426198</v>
      </c>
      <c r="BV17" s="27">
        <f>'Weighted US Tariff'!AG90</f>
        <v>3.5877334075984599</v>
      </c>
    </row>
    <row r="18" spans="1:74">
      <c r="AQ18" s="27" t="str">
        <f t="shared" si="1"/>
        <v>ctl</v>
      </c>
      <c r="AR18" s="46" t="s">
        <v>355</v>
      </c>
      <c r="AS18" s="46">
        <v>0</v>
      </c>
      <c r="AT18" s="46">
        <v>0.26</v>
      </c>
      <c r="AU18" s="46">
        <v>29</v>
      </c>
      <c r="AV18" s="46">
        <v>1063</v>
      </c>
      <c r="AW18" s="46">
        <v>747</v>
      </c>
      <c r="AX18" s="46">
        <v>9.24</v>
      </c>
      <c r="AY18" s="46">
        <v>0.36799999999999999</v>
      </c>
      <c r="AZ18" s="46">
        <v>264</v>
      </c>
      <c r="BA18" s="46">
        <v>14.3</v>
      </c>
      <c r="BB18" s="46">
        <v>2127</v>
      </c>
      <c r="BD18" t="s">
        <v>357</v>
      </c>
      <c r="BE18">
        <f t="shared" ref="BE18:BL18" si="9">IFERROR(INDEX($AS$10:$BB$75,MATCH($BD18,$AQ$10:$AQ$74,0),MATCH(BE$9,$AS$9:$BB$9,0))/INDEX($AS$80:$BB$145,MATCH($BD18,$AQ$80:$AQ$145,0),MATCH(BE$9,$AS$79:$BB$79,0)),0)*BE88</f>
        <v>0</v>
      </c>
      <c r="BF18">
        <f t="shared" si="9"/>
        <v>1978589393.6963732</v>
      </c>
      <c r="BG18">
        <f t="shared" si="9"/>
        <v>1343171597.4766483</v>
      </c>
      <c r="BH18">
        <f t="shared" si="9"/>
        <v>72974451.949238583</v>
      </c>
      <c r="BI18">
        <f t="shared" si="9"/>
        <v>7492231.1853088476</v>
      </c>
      <c r="BJ18">
        <f t="shared" si="9"/>
        <v>370289952.3888889</v>
      </c>
      <c r="BK18">
        <f t="shared" si="9"/>
        <v>16319208.531468531</v>
      </c>
      <c r="BL18">
        <f t="shared" si="9"/>
        <v>20172102.866666667</v>
      </c>
      <c r="BN18" s="27" t="s">
        <v>357</v>
      </c>
      <c r="BO18" s="27">
        <f>'Weighted US Tariff'!Z91</f>
        <v>0</v>
      </c>
      <c r="BP18" s="27">
        <f>'Weighted US Tariff'!AA91</f>
        <v>1.6317419999998799E-2</v>
      </c>
      <c r="BQ18" s="27">
        <f>'Weighted US Tariff'!AB91</f>
        <v>7.2289249999995999E-3</v>
      </c>
      <c r="BR18" s="27">
        <f>'Weighted US Tariff'!AC91</f>
        <v>10</v>
      </c>
      <c r="BS18" s="27">
        <f>'Weighted US Tariff'!AD91</f>
        <v>15</v>
      </c>
      <c r="BT18" s="27">
        <f>'Weighted US Tariff'!AE91</f>
        <v>14.999999999999901</v>
      </c>
      <c r="BU18" s="27">
        <f>'Weighted US Tariff'!AF91</f>
        <v>12.183118144958399</v>
      </c>
      <c r="BV18" s="27">
        <f>'Weighted US Tariff'!AG91</f>
        <v>10.1155126801637</v>
      </c>
    </row>
    <row r="19" spans="1:74">
      <c r="AQ19" s="27" t="str">
        <f t="shared" si="1"/>
        <v>oap</v>
      </c>
      <c r="AR19" s="46" t="s">
        <v>358</v>
      </c>
      <c r="AS19" s="46">
        <v>0</v>
      </c>
      <c r="AT19" s="46">
        <v>160</v>
      </c>
      <c r="AU19" s="46">
        <v>567</v>
      </c>
      <c r="AV19" s="46">
        <v>764</v>
      </c>
      <c r="AW19" s="46">
        <v>113</v>
      </c>
      <c r="AX19" s="46">
        <v>83.4</v>
      </c>
      <c r="AY19" s="46">
        <v>0.14399999999999999</v>
      </c>
      <c r="AZ19" s="46">
        <v>125</v>
      </c>
      <c r="BA19" s="46">
        <v>16.100000000000001</v>
      </c>
      <c r="BB19" s="46">
        <v>1829</v>
      </c>
      <c r="BD19" t="s">
        <v>360</v>
      </c>
      <c r="BE19">
        <f t="shared" ref="BE19:BL19" si="10">IFERROR(INDEX($AS$10:$BB$75,MATCH($BD19,$AQ$10:$AQ$74,0),MATCH(BE$9,$AS$9:$BB$9,0))/INDEX($AS$80:$BB$145,MATCH($BD19,$AQ$80:$AQ$145,0),MATCH(BE$9,$AS$79:$BB$79,0)),0)*BE89</f>
        <v>145475526.40000001</v>
      </c>
      <c r="BF19">
        <f t="shared" si="10"/>
        <v>973152929.0504452</v>
      </c>
      <c r="BG19">
        <f t="shared" si="10"/>
        <v>101720299.40776698</v>
      </c>
      <c r="BH19">
        <f t="shared" si="10"/>
        <v>24400108.306451615</v>
      </c>
      <c r="BI19">
        <f t="shared" si="10"/>
        <v>4649244.7135135131</v>
      </c>
      <c r="BJ19">
        <f t="shared" si="10"/>
        <v>161336728.90625</v>
      </c>
      <c r="BK19">
        <f t="shared" si="10"/>
        <v>868962997.47115386</v>
      </c>
      <c r="BL19">
        <f t="shared" si="10"/>
        <v>134607732.50467291</v>
      </c>
      <c r="BN19" s="27" t="s">
        <v>360</v>
      </c>
      <c r="BO19" s="27">
        <f>'Weighted US Tariff'!Z92</f>
        <v>19.983430914435601</v>
      </c>
      <c r="BP19" s="27">
        <f>'Weighted US Tariff'!AA92</f>
        <v>1.6317419999998799E-2</v>
      </c>
      <c r="BQ19" s="27">
        <f>'Weighted US Tariff'!AB92</f>
        <v>7.2289249999995999E-3</v>
      </c>
      <c r="BR19" s="27">
        <f>'Weighted US Tariff'!AC92</f>
        <v>10</v>
      </c>
      <c r="BS19" s="27">
        <f>'Weighted US Tariff'!AD92</f>
        <v>15</v>
      </c>
      <c r="BT19" s="27">
        <f>'Weighted US Tariff'!AE92</f>
        <v>14.998871464544999</v>
      </c>
      <c r="BU19" s="27">
        <f>'Weighted US Tariff'!AF92</f>
        <v>14.9387073665223</v>
      </c>
      <c r="BV19" s="27">
        <f>'Weighted US Tariff'!AG92</f>
        <v>10.443276517251601</v>
      </c>
    </row>
    <row r="20" spans="1:74">
      <c r="AQ20" s="27" t="str">
        <f t="shared" si="1"/>
        <v>rmk</v>
      </c>
      <c r="AR20" s="46" t="s">
        <v>361</v>
      </c>
      <c r="AS20" s="46">
        <v>0</v>
      </c>
      <c r="AT20" s="46">
        <v>0.17</v>
      </c>
      <c r="AU20" s="46">
        <v>5.19</v>
      </c>
      <c r="AV20" s="46">
        <v>7.0999999999999994E-2</v>
      </c>
      <c r="AW20" s="46">
        <v>3.5999999999999997E-2</v>
      </c>
      <c r="AX20" s="46">
        <v>0.221</v>
      </c>
      <c r="AY20" s="46">
        <v>0.01</v>
      </c>
      <c r="AZ20" s="46">
        <v>1.21</v>
      </c>
      <c r="BA20" s="46">
        <v>4.1000000000000002E-2</v>
      </c>
      <c r="BB20" s="46">
        <v>6.96</v>
      </c>
      <c r="BD20" t="s">
        <v>366</v>
      </c>
      <c r="BE20">
        <f t="shared" ref="BE20:BL20" si="11">IFERROR(INDEX($AS$10:$BB$75,MATCH($BD20,$AQ$10:$AQ$74,0),MATCH(BE$9,$AS$9:$BB$9,0))/INDEX($AS$80:$BB$145,MATCH($BD20,$AQ$80:$AQ$145,0),MATCH(BE$9,$AS$79:$BB$79,0)),0)*BE90</f>
        <v>7308.1348314606739</v>
      </c>
      <c r="BF20">
        <f t="shared" si="11"/>
        <v>455645.09309967136</v>
      </c>
      <c r="BG20">
        <f t="shared" si="11"/>
        <v>19303.117647058822</v>
      </c>
      <c r="BH20">
        <f t="shared" si="11"/>
        <v>92017.042744656923</v>
      </c>
      <c r="BI20">
        <f t="shared" si="11"/>
        <v>0</v>
      </c>
      <c r="BJ20">
        <f t="shared" si="11"/>
        <v>5039373.5703703705</v>
      </c>
      <c r="BK20">
        <f t="shared" si="11"/>
        <v>751508.31958762882</v>
      </c>
      <c r="BL20">
        <f t="shared" si="11"/>
        <v>82018.665198237897</v>
      </c>
      <c r="BN20" s="27" t="s">
        <v>366</v>
      </c>
      <c r="BO20" s="27">
        <f>'Weighted US Tariff'!Z93</f>
        <v>20</v>
      </c>
      <c r="BP20" s="27">
        <f>'Weighted US Tariff'!AA93</f>
        <v>0.131042835</v>
      </c>
      <c r="BQ20" s="27">
        <f>'Weighted US Tariff'!AB93</f>
        <v>0.77892297499999796</v>
      </c>
      <c r="BR20" s="27">
        <f>'Weighted US Tariff'!AC93</f>
        <v>10</v>
      </c>
      <c r="BS20" s="27">
        <f>'Weighted US Tariff'!AD93</f>
        <v>0</v>
      </c>
      <c r="BT20" s="27">
        <f>'Weighted US Tariff'!AE93</f>
        <v>15</v>
      </c>
      <c r="BU20" s="27">
        <f>'Weighted US Tariff'!AF93</f>
        <v>10.3070965309669</v>
      </c>
      <c r="BV20" s="27">
        <f>'Weighted US Tariff'!AG93</f>
        <v>10</v>
      </c>
    </row>
    <row r="21" spans="1:74">
      <c r="X21" s="27" t="s">
        <v>2102</v>
      </c>
      <c r="Y21" s="27" t="s">
        <v>1846</v>
      </c>
      <c r="Z21" s="27" t="s">
        <v>1847</v>
      </c>
      <c r="AA21" s="27" t="s">
        <v>1848</v>
      </c>
      <c r="AB21" s="27" t="s">
        <v>1849</v>
      </c>
      <c r="AC21" s="27" t="s">
        <v>1850</v>
      </c>
      <c r="AD21" s="27" t="s">
        <v>1851</v>
      </c>
      <c r="AE21" s="27" t="s">
        <v>52</v>
      </c>
      <c r="AG21" s="27" t="s">
        <v>2113</v>
      </c>
      <c r="AH21" s="27" t="s">
        <v>2102</v>
      </c>
      <c r="AN21" s="46" t="s">
        <v>2113</v>
      </c>
      <c r="AO21" s="46" t="s">
        <v>2102</v>
      </c>
      <c r="AQ21" s="27" t="str">
        <f t="shared" si="1"/>
        <v>wol</v>
      </c>
      <c r="AR21" s="46" t="s">
        <v>364</v>
      </c>
      <c r="AS21" s="46">
        <v>0</v>
      </c>
      <c r="AT21" s="46">
        <v>8.2000000000000003E-2</v>
      </c>
      <c r="AU21" s="46">
        <v>1.51</v>
      </c>
      <c r="AV21" s="46">
        <v>2.71</v>
      </c>
      <c r="AW21" s="46">
        <v>0.18099999999999999</v>
      </c>
      <c r="AX21" s="46">
        <v>1.83</v>
      </c>
      <c r="AY21" s="46">
        <v>2.3E-2</v>
      </c>
      <c r="AZ21" s="46">
        <v>1.83</v>
      </c>
      <c r="BA21" s="46">
        <v>0.68700000000000006</v>
      </c>
      <c r="BB21" s="46">
        <v>8.85</v>
      </c>
      <c r="BD21" t="s">
        <v>369</v>
      </c>
      <c r="BE21">
        <f t="shared" ref="BE21:BL21" si="12">IFERROR(INDEX($AS$10:$BB$75,MATCH($BD21,$AQ$10:$AQ$74,0),MATCH(BE$9,$AS$9:$BB$9,0))/INDEX($AS$80:$BB$145,MATCH($BD21,$AQ$80:$AQ$145,0),MATCH(BE$9,$AS$79:$BB$79,0)),0)*BE91</f>
        <v>25032095.117647059</v>
      </c>
      <c r="BF21">
        <f t="shared" si="12"/>
        <v>202677848.28625</v>
      </c>
      <c r="BG21">
        <f t="shared" si="12"/>
        <v>164384750.35740075</v>
      </c>
      <c r="BH21">
        <f t="shared" si="12"/>
        <v>1741787.4615384615</v>
      </c>
      <c r="BI21">
        <f t="shared" si="12"/>
        <v>426091.34615384613</v>
      </c>
      <c r="BJ21">
        <f t="shared" si="12"/>
        <v>104080187.45579268</v>
      </c>
      <c r="BK21">
        <f t="shared" si="12"/>
        <v>97389474.456521735</v>
      </c>
      <c r="BL21">
        <f t="shared" si="12"/>
        <v>55865432.017167382</v>
      </c>
      <c r="BN21" s="27" t="s">
        <v>369</v>
      </c>
      <c r="BO21" s="27">
        <f>'Weighted US Tariff'!Z94</f>
        <v>17.429952274658199</v>
      </c>
      <c r="BP21" s="27">
        <f>'Weighted US Tariff'!AA94</f>
        <v>5.0682783203596102</v>
      </c>
      <c r="BQ21" s="27">
        <f>'Weighted US Tariff'!AB94</f>
        <v>0.78630595756472099</v>
      </c>
      <c r="BR21" s="27">
        <f>'Weighted US Tariff'!AC94</f>
        <v>9.5188795959988699</v>
      </c>
      <c r="BS21" s="27">
        <f>'Weighted US Tariff'!AD94</f>
        <v>5.91348009071727</v>
      </c>
      <c r="BT21" s="27">
        <f>'Weighted US Tariff'!AE94</f>
        <v>12.855964966473501</v>
      </c>
      <c r="BU21" s="27">
        <f>'Weighted US Tariff'!AF94</f>
        <v>12.329861123004401</v>
      </c>
      <c r="BV21" s="27">
        <f>'Weighted US Tariff'!AG94</f>
        <v>9.3178614324360396</v>
      </c>
    </row>
    <row r="22" spans="1:74">
      <c r="F22" s="27" t="s">
        <v>2114</v>
      </c>
      <c r="H22" s="27" t="s">
        <v>2115</v>
      </c>
      <c r="X22" s="27" t="s">
        <v>1846</v>
      </c>
      <c r="Y22" s="40">
        <v>0</v>
      </c>
      <c r="Z22" s="27">
        <v>222282.98800000001</v>
      </c>
      <c r="AA22" s="27">
        <v>1146095.8130000001</v>
      </c>
      <c r="AB22" s="27">
        <v>332503.40999999997</v>
      </c>
      <c r="AC22" s="27">
        <v>279542.24</v>
      </c>
      <c r="AD22" s="40">
        <v>297590.43800000002</v>
      </c>
      <c r="AE22" s="40">
        <v>2278014.889</v>
      </c>
      <c r="AG22" s="27" t="s">
        <v>1846</v>
      </c>
      <c r="AH22" s="40">
        <v>0</v>
      </c>
      <c r="AN22" s="46" t="s">
        <v>1846</v>
      </c>
      <c r="AO22" s="46">
        <v>0</v>
      </c>
      <c r="AQ22" s="27" t="str">
        <f t="shared" si="1"/>
        <v>frs</v>
      </c>
      <c r="AR22" s="46" t="s">
        <v>367</v>
      </c>
      <c r="AS22" s="46">
        <v>0</v>
      </c>
      <c r="AT22" s="46">
        <v>16.8</v>
      </c>
      <c r="AU22" s="46">
        <v>82.5</v>
      </c>
      <c r="AV22" s="46">
        <v>78.7</v>
      </c>
      <c r="AW22" s="46">
        <v>67.900000000000006</v>
      </c>
      <c r="AX22" s="46">
        <v>38.299999999999997</v>
      </c>
      <c r="AY22" s="46">
        <v>1.25</v>
      </c>
      <c r="AZ22" s="46">
        <v>45.9</v>
      </c>
      <c r="BA22" s="46">
        <v>2.17</v>
      </c>
      <c r="BB22" s="46">
        <v>334</v>
      </c>
      <c r="BD22" t="s">
        <v>372</v>
      </c>
      <c r="BE22">
        <f t="shared" ref="BE22:BL22" si="13">IFERROR(INDEX($AS$10:$BB$75,MATCH($BD22,$AQ$10:$AQ$74,0),MATCH(BE$9,$AS$9:$BB$9,0))/INDEX($AS$80:$BB$145,MATCH($BD22,$AQ$80:$AQ$145,0),MATCH(BE$9,$AS$79:$BB$79,0)),0)*BE92</f>
        <v>11934228.586118251</v>
      </c>
      <c r="BF22">
        <f t="shared" si="13"/>
        <v>1520142824.1649015</v>
      </c>
      <c r="BG22">
        <f t="shared" si="13"/>
        <v>228399175.53719008</v>
      </c>
      <c r="BH22">
        <f t="shared" si="13"/>
        <v>149228770.56129032</v>
      </c>
      <c r="BI22">
        <f t="shared" si="13"/>
        <v>59406456.370192304</v>
      </c>
      <c r="BJ22">
        <f t="shared" si="13"/>
        <v>138650534.55292907</v>
      </c>
      <c r="BK22">
        <f t="shared" si="13"/>
        <v>751543676.18239653</v>
      </c>
      <c r="BL22">
        <f t="shared" si="13"/>
        <v>374711486.19379842</v>
      </c>
      <c r="BN22" s="27" t="s">
        <v>372</v>
      </c>
      <c r="BO22" s="27">
        <f>'Weighted US Tariff'!Z95</f>
        <v>19.169954529828999</v>
      </c>
      <c r="BP22" s="27">
        <f>'Weighted US Tariff'!AA95</f>
        <v>1.7892209999999499E-2</v>
      </c>
      <c r="BQ22" s="27">
        <f>'Weighted US Tariff'!AB95</f>
        <v>0</v>
      </c>
      <c r="BR22" s="27">
        <f>'Weighted US Tariff'!AC95</f>
        <v>9.9998566759986307</v>
      </c>
      <c r="BS22" s="27">
        <f>'Weighted US Tariff'!AD95</f>
        <v>14.9979727339473</v>
      </c>
      <c r="BT22" s="27">
        <f>'Weighted US Tariff'!AE95</f>
        <v>14.9698277012938</v>
      </c>
      <c r="BU22" s="27">
        <f>'Weighted US Tariff'!AF95</f>
        <v>13.364109133052599</v>
      </c>
      <c r="BV22" s="27">
        <f>'Weighted US Tariff'!AG95</f>
        <v>11.612171314966799</v>
      </c>
    </row>
    <row r="23" spans="1:74">
      <c r="B23" s="27" t="s">
        <v>2116</v>
      </c>
      <c r="C23" s="27" t="s">
        <v>2117</v>
      </c>
      <c r="D23" s="27" t="s">
        <v>2118</v>
      </c>
      <c r="E23" s="27" t="s">
        <v>2119</v>
      </c>
      <c r="F23" s="27" t="s">
        <v>2120</v>
      </c>
      <c r="G23" s="27" t="s">
        <v>28</v>
      </c>
      <c r="H23" s="27" t="s">
        <v>2120</v>
      </c>
      <c r="I23" s="27" t="s">
        <v>2121</v>
      </c>
      <c r="X23" s="27" t="s">
        <v>1847</v>
      </c>
      <c r="Y23" s="40">
        <v>538805.88699999999</v>
      </c>
      <c r="Z23" s="27">
        <v>167332.07</v>
      </c>
      <c r="AA23" s="27">
        <v>1630893.8589999999</v>
      </c>
      <c r="AB23" s="27">
        <v>40627.947</v>
      </c>
      <c r="AC23" s="27">
        <v>43211.625</v>
      </c>
      <c r="AD23" s="27">
        <v>310172.50400000002</v>
      </c>
      <c r="AE23" s="27">
        <v>2731043.892</v>
      </c>
      <c r="AG23" s="27" t="s">
        <v>1847</v>
      </c>
      <c r="AH23" s="40">
        <f>AO23</f>
        <v>378274</v>
      </c>
      <c r="AN23" s="46" t="s">
        <v>1847</v>
      </c>
      <c r="AO23" s="46">
        <v>378274</v>
      </c>
      <c r="AQ23" s="27" t="str">
        <f t="shared" si="1"/>
        <v>fsh</v>
      </c>
      <c r="AR23" s="46" t="s">
        <v>370</v>
      </c>
      <c r="AS23" s="46">
        <v>0</v>
      </c>
      <c r="AT23" s="46">
        <v>5.85</v>
      </c>
      <c r="AU23" s="46">
        <v>784</v>
      </c>
      <c r="AV23" s="46">
        <v>1458</v>
      </c>
      <c r="AW23" s="46">
        <v>136</v>
      </c>
      <c r="AX23" s="46">
        <v>223</v>
      </c>
      <c r="AY23" s="46">
        <v>33.4</v>
      </c>
      <c r="AZ23" s="46">
        <v>78</v>
      </c>
      <c r="BA23" s="46">
        <v>278</v>
      </c>
      <c r="BB23" s="46">
        <v>2997</v>
      </c>
      <c r="BD23" t="s">
        <v>375</v>
      </c>
      <c r="BE23">
        <f t="shared" ref="BE23:BL23" si="14">IFERROR(INDEX($AS$10:$BB$75,MATCH($BD23,$AQ$10:$AQ$74,0),MATCH(BE$9,$AS$9:$BB$9,0))/INDEX($AS$80:$BB$145,MATCH($BD23,$AQ$80:$AQ$145,0),MATCH(BE$9,$AS$79:$BB$79,0)),0)*BE93</f>
        <v>5589474.4931506859</v>
      </c>
      <c r="BF23">
        <f t="shared" si="14"/>
        <v>199941208.16577539</v>
      </c>
      <c r="BG23">
        <f t="shared" si="14"/>
        <v>1693.0232558139535</v>
      </c>
      <c r="BH23">
        <f t="shared" si="14"/>
        <v>4658448.2142857146</v>
      </c>
      <c r="BI23">
        <f t="shared" si="14"/>
        <v>0</v>
      </c>
      <c r="BJ23">
        <f t="shared" si="14"/>
        <v>14470447.268041236</v>
      </c>
      <c r="BK23">
        <f t="shared" si="14"/>
        <v>84667.410714285725</v>
      </c>
      <c r="BL23">
        <f t="shared" si="14"/>
        <v>139136706.62376237</v>
      </c>
      <c r="BN23" s="27" t="s">
        <v>375</v>
      </c>
      <c r="BO23" s="27">
        <f>'Weighted US Tariff'!Z96</f>
        <v>10</v>
      </c>
      <c r="BP23" s="27">
        <f>'Weighted US Tariff'!AA96</f>
        <v>7.7975495544812895E-2</v>
      </c>
      <c r="BQ23" s="27">
        <f>'Weighted US Tariff'!AB96</f>
        <v>9.2931141749999995</v>
      </c>
      <c r="BR23" s="27">
        <f>'Weighted US Tariff'!AC96</f>
        <v>0</v>
      </c>
      <c r="BS23" s="27">
        <f>'Weighted US Tariff'!AD96</f>
        <v>0</v>
      </c>
      <c r="BT23" s="27">
        <f>'Weighted US Tariff'!AE96</f>
        <v>0</v>
      </c>
      <c r="BU23" s="27">
        <f>'Weighted US Tariff'!AF96</f>
        <v>0</v>
      </c>
      <c r="BV23" s="27">
        <f>'Weighted US Tariff'!AG96</f>
        <v>0</v>
      </c>
    </row>
    <row r="24" spans="1:74">
      <c r="C24" s="27" t="s">
        <v>2122</v>
      </c>
      <c r="D24" s="58">
        <f>BW125/100</f>
        <v>0.14386955336938378</v>
      </c>
      <c r="E24" s="57">
        <f>(D24*-$B$13*F24*H24)+(D24*100)*H24*F24*(1+$B$14)/100</f>
        <v>1.2349939084544253E-2</v>
      </c>
      <c r="F24" s="31">
        <f>B15</f>
        <v>0.31470999999999999</v>
      </c>
      <c r="G24" s="27">
        <f>1-F24</f>
        <v>0.68528999999999995</v>
      </c>
      <c r="H24" s="37">
        <f>B16</f>
        <v>0.20570358140754377</v>
      </c>
      <c r="I24" s="27">
        <f ca="1">'F6 Distribution (C)'!N23</f>
        <v>-1670.7824617056278</v>
      </c>
      <c r="J24" s="27">
        <f ca="1">-4843.79/I24</f>
        <v>2.8991147028531703</v>
      </c>
      <c r="M24" s="42"/>
      <c r="T24" s="27">
        <f>'F6 Distribution (C)'!$L$26</f>
        <v>146730</v>
      </c>
      <c r="X24" s="27" t="s">
        <v>1848</v>
      </c>
      <c r="Y24" s="40">
        <v>1426123.125</v>
      </c>
      <c r="Z24" s="27">
        <v>1525186.547</v>
      </c>
      <c r="AA24" s="27">
        <v>9615760.125</v>
      </c>
      <c r="AB24" s="27">
        <v>120624.557</v>
      </c>
      <c r="AC24" s="27">
        <v>94848.107999999993</v>
      </c>
      <c r="AD24" s="27">
        <v>932388.34400000004</v>
      </c>
      <c r="AE24" s="27">
        <v>13714930.806</v>
      </c>
      <c r="AG24" s="27" t="s">
        <v>1848</v>
      </c>
      <c r="AH24" s="40">
        <f>AO31-AH23-AH25-AH26-AH27</f>
        <v>1173342</v>
      </c>
      <c r="AN24" s="46" t="s">
        <v>1848</v>
      </c>
      <c r="AO24" s="46">
        <v>594391</v>
      </c>
      <c r="AQ24" s="27" t="str">
        <f t="shared" si="1"/>
        <v>coa</v>
      </c>
      <c r="AR24" s="46" t="s">
        <v>373</v>
      </c>
      <c r="AS24" s="46">
        <v>0</v>
      </c>
      <c r="AT24" s="46">
        <v>4.2000000000000003E-2</v>
      </c>
      <c r="AU24" s="46">
        <v>45.7</v>
      </c>
      <c r="AV24" s="46">
        <v>76.3</v>
      </c>
      <c r="AW24" s="46">
        <v>0.05</v>
      </c>
      <c r="AX24" s="46">
        <v>309</v>
      </c>
      <c r="AY24" s="46">
        <v>0</v>
      </c>
      <c r="AZ24" s="46">
        <v>0.495</v>
      </c>
      <c r="BA24" s="46">
        <v>1.4999999999999999E-2</v>
      </c>
      <c r="BB24" s="46">
        <v>431</v>
      </c>
      <c r="BD24" t="s">
        <v>378</v>
      </c>
      <c r="BE24">
        <f t="shared" ref="BE24:BL24" si="15">IFERROR(INDEX($AS$10:$BB$75,MATCH($BD24,$AQ$10:$AQ$74,0),MATCH(BE$9,$AS$9:$BB$9,0))/INDEX($AS$80:$BB$145,MATCH($BD24,$AQ$80:$AQ$145,0),MATCH(BE$9,$AS$79:$BB$79,0)),0)*BE94</f>
        <v>0</v>
      </c>
      <c r="BF24">
        <f t="shared" si="15"/>
        <v>96767066751.091721</v>
      </c>
      <c r="BG24">
        <f t="shared" si="15"/>
        <v>5866509041.4519472</v>
      </c>
      <c r="BH24">
        <f t="shared" si="15"/>
        <v>952650019.11627913</v>
      </c>
      <c r="BI24">
        <f t="shared" si="15"/>
        <v>0</v>
      </c>
      <c r="BJ24">
        <f t="shared" si="15"/>
        <v>36244.821846553968</v>
      </c>
      <c r="BK24">
        <f t="shared" si="15"/>
        <v>43088016054.321716</v>
      </c>
      <c r="BL24">
        <f t="shared" si="15"/>
        <v>5952622011.3272982</v>
      </c>
      <c r="BN24" s="27" t="s">
        <v>378</v>
      </c>
      <c r="BO24" s="27">
        <f>'Weighted US Tariff'!Z97</f>
        <v>0</v>
      </c>
      <c r="BP24" s="27">
        <f>'Weighted US Tariff'!AA97</f>
        <v>7.0283239999999705E-2</v>
      </c>
      <c r="BQ24" s="27">
        <f>'Weighted US Tariff'!AB97</f>
        <v>9.2931141749999995</v>
      </c>
      <c r="BR24" s="27">
        <f>'Weighted US Tariff'!AC97</f>
        <v>0</v>
      </c>
      <c r="BS24" s="27">
        <f>'Weighted US Tariff'!AD97</f>
        <v>0</v>
      </c>
      <c r="BT24" s="27">
        <f>'Weighted US Tariff'!AE97</f>
        <v>0</v>
      </c>
      <c r="BU24" s="27">
        <f>'Weighted US Tariff'!AF97</f>
        <v>0</v>
      </c>
      <c r="BV24" s="27">
        <f>'Weighted US Tariff'!AG97</f>
        <v>0</v>
      </c>
    </row>
    <row r="25" spans="1:74">
      <c r="A25" s="27" t="s">
        <v>2123</v>
      </c>
      <c r="B25" s="124">
        <v>0</v>
      </c>
      <c r="C25" s="27" t="s">
        <v>2122</v>
      </c>
      <c r="D25" s="58">
        <f>BW55/100</f>
        <v>0.11937874079073296</v>
      </c>
      <c r="E25" s="57">
        <f>(D25*-$B$13*F25*H25)+(D25*100)*H25*F25*(1+$B$14)/100</f>
        <v>9.2880170082548057E-3</v>
      </c>
      <c r="F25" s="31">
        <f>F24*(SUM(AG45:AG92)/AG110)/(SUM(AA45:AA92)/AA110)</f>
        <v>0.31576729585514757</v>
      </c>
      <c r="G25" s="27">
        <f>1-F25</f>
        <v>0.68423270414485238</v>
      </c>
      <c r="H25" s="37">
        <f>H24*(SUM(AF45:AF92)/SUM(AG45:AG92))/(SUM(Z45:Z92)/SUM(AA45:AA92))</f>
        <v>0.18581695388263539</v>
      </c>
      <c r="I25" s="27">
        <f ca="1">I24*E25/E24</f>
        <v>-1256.5451388206884</v>
      </c>
      <c r="K25" s="44"/>
      <c r="L25" s="31"/>
      <c r="M25" s="42"/>
      <c r="T25" s="45"/>
      <c r="X25" s="27" t="s">
        <v>1849</v>
      </c>
      <c r="Y25" s="40">
        <v>332330.71899999998</v>
      </c>
      <c r="Z25" s="27">
        <v>31070.134999999998</v>
      </c>
      <c r="AA25" s="27">
        <v>103054.818</v>
      </c>
      <c r="AB25" s="27">
        <v>0</v>
      </c>
      <c r="AC25" s="27">
        <v>5945.2730000000001</v>
      </c>
      <c r="AD25" s="27">
        <v>14950.491</v>
      </c>
      <c r="AE25" s="27">
        <v>487351.43599999999</v>
      </c>
      <c r="AG25" s="27" t="s">
        <v>1849</v>
      </c>
      <c r="AH25" s="40">
        <f>AO25</f>
        <v>359161</v>
      </c>
      <c r="AN25" s="46" t="s">
        <v>1849</v>
      </c>
      <c r="AO25" s="46">
        <v>359161</v>
      </c>
      <c r="AQ25" s="27" t="str">
        <f t="shared" si="1"/>
        <v>oil</v>
      </c>
      <c r="AR25" s="46" t="s">
        <v>376</v>
      </c>
      <c r="AS25" s="46">
        <v>0</v>
      </c>
      <c r="AT25" s="46">
        <v>36.799999999999997</v>
      </c>
      <c r="AU25" s="46">
        <v>74502</v>
      </c>
      <c r="AV25" s="46">
        <v>46275</v>
      </c>
      <c r="AW25" s="46">
        <v>6404</v>
      </c>
      <c r="AX25" s="46">
        <v>6503</v>
      </c>
      <c r="AY25" s="46">
        <v>0.04</v>
      </c>
      <c r="AZ25" s="46">
        <v>80.400000000000006</v>
      </c>
      <c r="BA25" s="46">
        <v>222</v>
      </c>
      <c r="BB25" s="46">
        <v>134023</v>
      </c>
      <c r="BD25" t="s">
        <v>381</v>
      </c>
      <c r="BE25">
        <f t="shared" ref="BE25:BL25" si="16">IFERROR(INDEX($AS$10:$BB$75,MATCH($BD25,$AQ$10:$AQ$74,0),MATCH(BE$9,$AS$9:$BB$9,0))/INDEX($AS$80:$BB$145,MATCH($BD25,$AQ$80:$AQ$145,0),MATCH(BE$9,$AS$79:$BB$79,0)),0)*BE95</f>
        <v>0</v>
      </c>
      <c r="BF25">
        <f t="shared" si="16"/>
        <v>4979445846.3059731</v>
      </c>
      <c r="BG25">
        <f t="shared" si="16"/>
        <v>154317.23809523808</v>
      </c>
      <c r="BH25">
        <f t="shared" si="16"/>
        <v>0</v>
      </c>
      <c r="BI25">
        <f t="shared" si="16"/>
        <v>0</v>
      </c>
      <c r="BJ25">
        <f t="shared" si="16"/>
        <v>0</v>
      </c>
      <c r="BK25">
        <f t="shared" si="16"/>
        <v>1141258810.498008</v>
      </c>
      <c r="BL25">
        <f t="shared" si="16"/>
        <v>1978782.461538462</v>
      </c>
      <c r="BN25" s="27" t="s">
        <v>381</v>
      </c>
      <c r="BO25" s="27">
        <f>'Weighted US Tariff'!Z98</f>
        <v>10</v>
      </c>
      <c r="BP25" s="27">
        <f>'Weighted US Tariff'!AA98</f>
        <v>7.0283239999999705E-2</v>
      </c>
      <c r="BQ25" s="27">
        <f>'Weighted US Tariff'!AB98</f>
        <v>9.2931141749999995</v>
      </c>
      <c r="BR25" s="27">
        <f>'Weighted US Tariff'!AC98</f>
        <v>0</v>
      </c>
      <c r="BS25" s="27">
        <f>'Weighted US Tariff'!AD98</f>
        <v>0</v>
      </c>
      <c r="BT25" s="27">
        <f>'Weighted US Tariff'!AE98</f>
        <v>0</v>
      </c>
      <c r="BU25" s="27">
        <f>'Weighted US Tariff'!AF98</f>
        <v>0</v>
      </c>
      <c r="BV25" s="27">
        <f>'Weighted US Tariff'!AG98</f>
        <v>0</v>
      </c>
    </row>
    <row r="26" spans="1:74">
      <c r="B26" s="124"/>
      <c r="C26" s="124"/>
      <c r="T26" s="45"/>
      <c r="X26" s="27" t="s">
        <v>1850</v>
      </c>
      <c r="Y26" s="40">
        <v>352268.28700000001</v>
      </c>
      <c r="Z26" s="27">
        <v>17133.007000000001</v>
      </c>
      <c r="AA26" s="27">
        <v>58859.694000000003</v>
      </c>
      <c r="AB26" s="27">
        <v>11866.677</v>
      </c>
      <c r="AC26" s="27">
        <v>0</v>
      </c>
      <c r="AD26" s="27">
        <v>22315.762999999999</v>
      </c>
      <c r="AE26" s="27">
        <v>462443.429</v>
      </c>
      <c r="AG26" s="27" t="s">
        <v>1850</v>
      </c>
      <c r="AH26" s="40">
        <f>AO26</f>
        <v>384989</v>
      </c>
      <c r="AN26" s="46" t="s">
        <v>1850</v>
      </c>
      <c r="AO26" s="46">
        <v>384989</v>
      </c>
      <c r="AQ26" s="27" t="str">
        <f t="shared" si="1"/>
        <v>gas</v>
      </c>
      <c r="AR26" s="46" t="s">
        <v>379</v>
      </c>
      <c r="AS26" s="46">
        <v>0</v>
      </c>
      <c r="AT26" s="46">
        <v>0</v>
      </c>
      <c r="AU26" s="46">
        <v>1204</v>
      </c>
      <c r="AV26" s="46">
        <v>17307</v>
      </c>
      <c r="AW26" s="46">
        <v>3.2000000000000001E-2</v>
      </c>
      <c r="AX26" s="46">
        <v>18.600000000000001</v>
      </c>
      <c r="AY26" s="46">
        <v>0</v>
      </c>
      <c r="AZ26" s="46">
        <v>6.49</v>
      </c>
      <c r="BA26" s="46">
        <v>6.2E-2</v>
      </c>
      <c r="BB26" s="46">
        <v>18536</v>
      </c>
      <c r="BD26" t="s">
        <v>384</v>
      </c>
      <c r="BE26">
        <f t="shared" ref="BE26:BL26" si="17">IFERROR(INDEX($AS$10:$BB$75,MATCH($BD26,$AQ$10:$AQ$74,0),MATCH(BE$9,$AS$9:$BB$9,0))/INDEX($AS$80:$BB$145,MATCH($BD26,$AQ$80:$AQ$145,0),MATCH(BE$9,$AS$79:$BB$79,0)),0)*BE96</f>
        <v>306652545.73968256</v>
      </c>
      <c r="BF26">
        <f t="shared" si="17"/>
        <v>1537176778.5610142</v>
      </c>
      <c r="BG26">
        <f t="shared" si="17"/>
        <v>509189725.79479766</v>
      </c>
      <c r="BH26">
        <f t="shared" si="17"/>
        <v>50460617.681415923</v>
      </c>
      <c r="BI26">
        <f t="shared" si="17"/>
        <v>33867441.611854687</v>
      </c>
      <c r="BJ26">
        <f t="shared" si="17"/>
        <v>361466328.8019048</v>
      </c>
      <c r="BK26">
        <f t="shared" si="17"/>
        <v>1887521559.6693122</v>
      </c>
      <c r="BL26">
        <f t="shared" si="17"/>
        <v>1883180006.6502314</v>
      </c>
      <c r="BN26" s="27" t="s">
        <v>384</v>
      </c>
      <c r="BO26" s="27">
        <f>'Weighted US Tariff'!Z99</f>
        <v>11.8252485449632</v>
      </c>
      <c r="BP26" s="27">
        <f>'Weighted US Tariff'!AA99</f>
        <v>1.2814146617683999</v>
      </c>
      <c r="BQ26" s="27">
        <f>'Weighted US Tariff'!AB99</f>
        <v>3.4531125000000697E-2</v>
      </c>
      <c r="BR26" s="27">
        <f>'Weighted US Tariff'!AC99</f>
        <v>9.19907587590661</v>
      </c>
      <c r="BS26" s="27">
        <f>'Weighted US Tariff'!AD99</f>
        <v>6.7070694866455796</v>
      </c>
      <c r="BT26" s="27">
        <f>'Weighted US Tariff'!AE99</f>
        <v>11.8735204033207</v>
      </c>
      <c r="BU26" s="27">
        <f>'Weighted US Tariff'!AF99</f>
        <v>10.1829395019389</v>
      </c>
      <c r="BV26" s="27">
        <f>'Weighted US Tariff'!AG99</f>
        <v>1.7404579983358599</v>
      </c>
    </row>
    <row r="27" spans="1:74">
      <c r="D27" s="59"/>
      <c r="X27" s="27" t="s">
        <v>1851</v>
      </c>
      <c r="Y27" s="40">
        <v>235947.723</v>
      </c>
      <c r="Z27" s="27">
        <v>499372.77299999999</v>
      </c>
      <c r="AA27" s="27">
        <v>883062.07799999998</v>
      </c>
      <c r="AB27" s="27">
        <v>17432.705999999998</v>
      </c>
      <c r="AC27" s="27">
        <v>19709.168000000001</v>
      </c>
      <c r="AD27" s="27">
        <v>148783.215</v>
      </c>
      <c r="AE27" s="27">
        <v>1804307.6629999999</v>
      </c>
      <c r="AG27" s="27" t="s">
        <v>1851</v>
      </c>
      <c r="AH27" s="40">
        <f>AO27+AO28</f>
        <v>377105</v>
      </c>
      <c r="AN27" s="46" t="s">
        <v>1851</v>
      </c>
      <c r="AO27" s="46">
        <v>238969</v>
      </c>
      <c r="AQ27" s="27" t="str">
        <f t="shared" si="1"/>
        <v>oxt</v>
      </c>
      <c r="AR27" s="46" t="s">
        <v>382</v>
      </c>
      <c r="AS27" s="46">
        <v>0</v>
      </c>
      <c r="AT27" s="46">
        <v>277</v>
      </c>
      <c r="AU27" s="46">
        <v>2365</v>
      </c>
      <c r="AV27" s="46">
        <v>1352</v>
      </c>
      <c r="AW27" s="46">
        <v>363</v>
      </c>
      <c r="AX27" s="46">
        <v>1339</v>
      </c>
      <c r="AY27" s="46">
        <v>49.7</v>
      </c>
      <c r="AZ27" s="46">
        <v>457</v>
      </c>
      <c r="BA27" s="46">
        <v>40.799999999999997</v>
      </c>
      <c r="BB27" s="46">
        <v>6243</v>
      </c>
      <c r="BD27" t="s">
        <v>387</v>
      </c>
      <c r="BE27">
        <f t="shared" ref="BE27:BL27" si="18">IFERROR(INDEX($AS$10:$BB$75,MATCH($BD27,$AQ$10:$AQ$74,0),MATCH(BE$9,$AS$9:$BB$9,0))/INDEX($AS$80:$BB$145,MATCH($BD27,$AQ$80:$AQ$145,0),MATCH(BE$9,$AS$79:$BB$79,0)),0)*BE97</f>
        <v>67283.609243697487</v>
      </c>
      <c r="BF27">
        <f t="shared" si="18"/>
        <v>3102309427.2700734</v>
      </c>
      <c r="BG27">
        <f t="shared" si="18"/>
        <v>1988552361.9963338</v>
      </c>
      <c r="BH27">
        <f t="shared" si="18"/>
        <v>8390036.1319554839</v>
      </c>
      <c r="BI27">
        <f t="shared" si="18"/>
        <v>81235019.04761903</v>
      </c>
      <c r="BJ27">
        <f t="shared" si="18"/>
        <v>60394841.142857142</v>
      </c>
      <c r="BK27">
        <f t="shared" si="18"/>
        <v>3325150506.7643056</v>
      </c>
      <c r="BL27">
        <f t="shared" si="18"/>
        <v>4089322995.9700084</v>
      </c>
      <c r="BN27" s="27" t="s">
        <v>387</v>
      </c>
      <c r="BO27" s="27">
        <f>'Weighted US Tariff'!Z100</f>
        <v>20</v>
      </c>
      <c r="BP27" s="27">
        <f>'Weighted US Tariff'!AA100</f>
        <v>0.92901297999999899</v>
      </c>
      <c r="BQ27" s="27">
        <f>'Weighted US Tariff'!AB100</f>
        <v>0.13673027499999901</v>
      </c>
      <c r="BR27" s="27">
        <f>'Weighted US Tariff'!AC100</f>
        <v>1.6810051002872799</v>
      </c>
      <c r="BS27" s="27">
        <f>'Weighted US Tariff'!AD100</f>
        <v>0</v>
      </c>
      <c r="BT27" s="27">
        <f>'Weighted US Tariff'!AE100</f>
        <v>6.4443814936246397</v>
      </c>
      <c r="BU27" s="27">
        <f>'Weighted US Tariff'!AF100</f>
        <v>1.2113250841522101</v>
      </c>
      <c r="BV27" s="27">
        <f>'Weighted US Tariff'!AG100</f>
        <v>2.5435838205669299</v>
      </c>
    </row>
    <row r="28" spans="1:74">
      <c r="X28" s="27" t="s">
        <v>52</v>
      </c>
      <c r="Y28" s="40">
        <v>2885475.74</v>
      </c>
      <c r="Z28" s="27">
        <v>2462377.5210000002</v>
      </c>
      <c r="AA28" s="27">
        <v>13437726.388</v>
      </c>
      <c r="AB28" s="27">
        <v>523055.29700000002</v>
      </c>
      <c r="AC28" s="27">
        <v>443256.41499999998</v>
      </c>
      <c r="AD28" s="27">
        <v>1726200.753</v>
      </c>
      <c r="AE28" s="27">
        <v>21478092.114</v>
      </c>
      <c r="AG28" s="27" t="s">
        <v>52</v>
      </c>
      <c r="AH28" s="40">
        <f>AO31</f>
        <v>2672871</v>
      </c>
      <c r="AN28" s="46" t="s">
        <v>2103</v>
      </c>
      <c r="AO28" s="46">
        <v>138136</v>
      </c>
      <c r="AQ28" s="27" t="str">
        <f t="shared" si="1"/>
        <v>cmt</v>
      </c>
      <c r="AR28" s="46" t="s">
        <v>385</v>
      </c>
      <c r="AS28" s="46">
        <v>0</v>
      </c>
      <c r="AT28" s="46">
        <v>36.5</v>
      </c>
      <c r="AU28" s="46">
        <v>1494</v>
      </c>
      <c r="AV28" s="46">
        <v>1530</v>
      </c>
      <c r="AW28" s="46">
        <v>1138</v>
      </c>
      <c r="AX28" s="46">
        <v>2243</v>
      </c>
      <c r="AY28" s="46">
        <v>26</v>
      </c>
      <c r="AZ28" s="46">
        <v>28.8</v>
      </c>
      <c r="BA28" s="46">
        <v>5.91</v>
      </c>
      <c r="BB28" s="46">
        <v>6502</v>
      </c>
      <c r="BD28" t="s">
        <v>390</v>
      </c>
      <c r="BE28">
        <f t="shared" ref="BE28:BL28" si="19">IFERROR(INDEX($AS$10:$BB$75,MATCH($BD28,$AQ$10:$AQ$74,0),MATCH(BE$9,$AS$9:$BB$9,0))/INDEX($AS$80:$BB$145,MATCH($BD28,$AQ$80:$AQ$145,0),MATCH(BE$9,$AS$79:$BB$79,0)),0)*BE98</f>
        <v>2485415.6044776118</v>
      </c>
      <c r="BF28">
        <f t="shared" si="19"/>
        <v>2470009964.0827069</v>
      </c>
      <c r="BG28">
        <f t="shared" si="19"/>
        <v>298228726.56862748</v>
      </c>
      <c r="BH28">
        <f t="shared" si="19"/>
        <v>14578261.537142856</v>
      </c>
      <c r="BI28">
        <f t="shared" si="19"/>
        <v>43422.851239669428</v>
      </c>
      <c r="BJ28">
        <f t="shared" si="19"/>
        <v>275973066.97456491</v>
      </c>
      <c r="BK28">
        <f t="shared" si="19"/>
        <v>692792675.63157892</v>
      </c>
      <c r="BL28">
        <f t="shared" si="19"/>
        <v>175217749.06034485</v>
      </c>
      <c r="BN28" s="27" t="s">
        <v>390</v>
      </c>
      <c r="BO28" s="27">
        <f>'Weighted US Tariff'!Z101</f>
        <v>19.9964645691812</v>
      </c>
      <c r="BP28" s="27">
        <f>'Weighted US Tariff'!AA101</f>
        <v>0.92901297999999899</v>
      </c>
      <c r="BQ28" s="27">
        <f>'Weighted US Tariff'!AB101</f>
        <v>0.13673027499999901</v>
      </c>
      <c r="BR28" s="27">
        <f>'Weighted US Tariff'!AC101</f>
        <v>10</v>
      </c>
      <c r="BS28" s="27">
        <f>'Weighted US Tariff'!AD101</f>
        <v>15</v>
      </c>
      <c r="BT28" s="27">
        <f>'Weighted US Tariff'!AE101</f>
        <v>14.995697924799</v>
      </c>
      <c r="BU28" s="27">
        <f>'Weighted US Tariff'!AF101</f>
        <v>2.8214865205670798</v>
      </c>
      <c r="BV28" s="27">
        <f>'Weighted US Tariff'!AG101</f>
        <v>9.7809603450133</v>
      </c>
    </row>
    <row r="29" spans="1:74">
      <c r="D29" s="58"/>
      <c r="E29" s="57"/>
      <c r="M29" s="42"/>
      <c r="N29" s="31"/>
      <c r="P29" s="37"/>
      <c r="AN29" s="46" t="s">
        <v>2104</v>
      </c>
      <c r="AO29" s="46">
        <v>449100</v>
      </c>
      <c r="AQ29" s="27" t="str">
        <f t="shared" si="1"/>
        <v>omt</v>
      </c>
      <c r="AR29" s="46" t="s">
        <v>388</v>
      </c>
      <c r="AS29" s="46">
        <v>0</v>
      </c>
      <c r="AT29" s="46">
        <v>5.65</v>
      </c>
      <c r="AU29" s="46">
        <v>407</v>
      </c>
      <c r="AV29" s="46">
        <v>1849</v>
      </c>
      <c r="AW29" s="46">
        <v>89.7</v>
      </c>
      <c r="AX29" s="46">
        <v>126</v>
      </c>
      <c r="AY29" s="46">
        <v>0.13300000000000001</v>
      </c>
      <c r="AZ29" s="46">
        <v>269</v>
      </c>
      <c r="BA29" s="46">
        <v>17.8</v>
      </c>
      <c r="BB29" s="46">
        <v>2765</v>
      </c>
      <c r="BD29" t="s">
        <v>393</v>
      </c>
      <c r="BE29">
        <f t="shared" ref="BE29:BL29" si="20">IFERROR(INDEX($AS$10:$BB$75,MATCH($BD29,$AQ$10:$AQ$74,0),MATCH(BE$9,$AS$9:$BB$9,0))/INDEX($AS$80:$BB$145,MATCH($BD29,$AQ$80:$AQ$145,0),MATCH(BE$9,$AS$79:$BB$79,0)),0)*BE99</f>
        <v>31047843.82300885</v>
      </c>
      <c r="BF29">
        <f t="shared" si="20"/>
        <v>8314376124.0917225</v>
      </c>
      <c r="BG29">
        <f t="shared" si="20"/>
        <v>824302935.60389614</v>
      </c>
      <c r="BH29">
        <f t="shared" si="20"/>
        <v>13568482.068493152</v>
      </c>
      <c r="BI29">
        <f t="shared" si="20"/>
        <v>37482870.620689653</v>
      </c>
      <c r="BJ29">
        <f t="shared" si="20"/>
        <v>1530321420.6910784</v>
      </c>
      <c r="BK29">
        <f t="shared" si="20"/>
        <v>3040516106.1142669</v>
      </c>
      <c r="BL29">
        <f t="shared" si="20"/>
        <v>357470599.15517241</v>
      </c>
      <c r="BN29" s="27" t="s">
        <v>393</v>
      </c>
      <c r="BO29" s="27">
        <f>'Weighted US Tariff'!Z102</f>
        <v>19.7244877935963</v>
      </c>
      <c r="BP29" s="27">
        <f>'Weighted US Tariff'!AA102</f>
        <v>0.92901297999999899</v>
      </c>
      <c r="BQ29" s="27">
        <f>'Weighted US Tariff'!AB102</f>
        <v>0.13673027499999901</v>
      </c>
      <c r="BR29" s="27">
        <f>'Weighted US Tariff'!AC102</f>
        <v>9.7973113286470106</v>
      </c>
      <c r="BS29" s="27">
        <f>'Weighted US Tariff'!AD102</f>
        <v>14.689530789699999</v>
      </c>
      <c r="BT29" s="27">
        <f>'Weighted US Tariff'!AE102</f>
        <v>14.9882013275201</v>
      </c>
      <c r="BU29" s="27">
        <f>'Weighted US Tariff'!AF102</f>
        <v>14.5257710150133</v>
      </c>
      <c r="BV29" s="27">
        <f>'Weighted US Tariff'!AG102</f>
        <v>10.878639090809299</v>
      </c>
    </row>
    <row r="30" spans="1:74">
      <c r="D30" s="58"/>
      <c r="E30" s="57"/>
      <c r="J30" s="43"/>
      <c r="K30" s="44"/>
      <c r="L30" s="31"/>
      <c r="M30" s="42"/>
      <c r="N30" s="31"/>
      <c r="P30" s="37"/>
      <c r="AN30" s="46" t="s">
        <v>2105</v>
      </c>
      <c r="AO30" s="46">
        <v>129852</v>
      </c>
      <c r="AQ30" s="27" t="str">
        <f t="shared" si="1"/>
        <v>vol</v>
      </c>
      <c r="AR30" s="46" t="s">
        <v>391</v>
      </c>
      <c r="AS30" s="46">
        <v>0</v>
      </c>
      <c r="AT30" s="46">
        <v>49.5</v>
      </c>
      <c r="AU30" s="46">
        <v>1663</v>
      </c>
      <c r="AV30" s="46">
        <v>4193</v>
      </c>
      <c r="AW30" s="46">
        <v>201</v>
      </c>
      <c r="AX30" s="46">
        <v>158</v>
      </c>
      <c r="AY30" s="46">
        <v>28.8</v>
      </c>
      <c r="AZ30" s="46">
        <v>801</v>
      </c>
      <c r="BA30" s="46">
        <v>10.3</v>
      </c>
      <c r="BB30" s="46">
        <v>7105</v>
      </c>
      <c r="BD30" t="s">
        <v>396</v>
      </c>
      <c r="BE30">
        <f t="shared" ref="BE30:BL30" si="21">IFERROR(INDEX($AS$10:$BB$75,MATCH($BD30,$AQ$10:$AQ$74,0),MATCH(BE$9,$AS$9:$BB$9,0))/INDEX($AS$80:$BB$145,MATCH($BD30,$AQ$80:$AQ$145,0),MATCH(BE$9,$AS$79:$BB$79,0)),0)*BE100</f>
        <v>1035903.3084507043</v>
      </c>
      <c r="BF30">
        <f t="shared" si="21"/>
        <v>445803920.83720928</v>
      </c>
      <c r="BG30">
        <f t="shared" si="21"/>
        <v>339847293.95049506</v>
      </c>
      <c r="BH30">
        <f t="shared" si="21"/>
        <v>70408435.564356431</v>
      </c>
      <c r="BI30">
        <f t="shared" si="21"/>
        <v>3765650.9134615385</v>
      </c>
      <c r="BJ30">
        <f t="shared" si="21"/>
        <v>1346199950.4560313</v>
      </c>
      <c r="BK30">
        <f t="shared" si="21"/>
        <v>694501710.866575</v>
      </c>
      <c r="BL30">
        <f t="shared" si="21"/>
        <v>146820686.49850747</v>
      </c>
      <c r="BN30" s="27" t="s">
        <v>396</v>
      </c>
      <c r="BO30" s="27">
        <f>'Weighted US Tariff'!Z103</f>
        <v>20</v>
      </c>
      <c r="BP30" s="27">
        <f>'Weighted US Tariff'!AA103</f>
        <v>0.92901297999999899</v>
      </c>
      <c r="BQ30" s="27">
        <f>'Weighted US Tariff'!AB103</f>
        <v>0.13673027499999901</v>
      </c>
      <c r="BR30" s="27">
        <f>'Weighted US Tariff'!AC103</f>
        <v>10</v>
      </c>
      <c r="BS30" s="27">
        <f>'Weighted US Tariff'!AD103</f>
        <v>15</v>
      </c>
      <c r="BT30" s="27">
        <f>'Weighted US Tariff'!AE103</f>
        <v>15</v>
      </c>
      <c r="BU30" s="27">
        <f>'Weighted US Tariff'!AF103</f>
        <v>12.163988453274801</v>
      </c>
      <c r="BV30" s="27">
        <f>'Weighted US Tariff'!AG103</f>
        <v>13.5250921310364</v>
      </c>
    </row>
    <row r="31" spans="1:74">
      <c r="AG31" s="27" t="s">
        <v>2113</v>
      </c>
      <c r="AH31" s="27" t="s">
        <v>2102</v>
      </c>
      <c r="AN31" s="46" t="s">
        <v>52</v>
      </c>
      <c r="AO31" s="46">
        <v>2672871</v>
      </c>
      <c r="AQ31" s="27" t="str">
        <f t="shared" si="1"/>
        <v>mil</v>
      </c>
      <c r="AR31" s="46" t="s">
        <v>394</v>
      </c>
      <c r="AS31" s="46">
        <v>0</v>
      </c>
      <c r="AT31" s="46">
        <v>0.67800000000000005</v>
      </c>
      <c r="AU31" s="46">
        <v>510</v>
      </c>
      <c r="AV31" s="46">
        <v>211</v>
      </c>
      <c r="AW31" s="46">
        <v>157</v>
      </c>
      <c r="AX31" s="46">
        <v>86.2</v>
      </c>
      <c r="AY31" s="46">
        <v>1.23</v>
      </c>
      <c r="AZ31" s="46">
        <v>748</v>
      </c>
      <c r="BA31" s="46">
        <v>55.3</v>
      </c>
      <c r="BB31" s="46">
        <v>1769</v>
      </c>
      <c r="BD31" t="s">
        <v>399</v>
      </c>
      <c r="BE31">
        <f t="shared" ref="BE31:BL31" si="22">IFERROR(INDEX($AS$10:$BB$75,MATCH($BD31,$AQ$10:$AQ$74,0),MATCH(BE$9,$AS$9:$BB$9,0))/INDEX($AS$80:$BB$145,MATCH($BD31,$AQ$80:$AQ$145,0),MATCH(BE$9,$AS$79:$BB$79,0)),0)*BE101</f>
        <v>48212931.96491228</v>
      </c>
      <c r="BF31">
        <f t="shared" si="22"/>
        <v>55742624.226044223</v>
      </c>
      <c r="BG31">
        <f t="shared" si="22"/>
        <v>24193511.614973262</v>
      </c>
      <c r="BH31">
        <f t="shared" si="22"/>
        <v>849802.13669064746</v>
      </c>
      <c r="BI31">
        <f t="shared" si="22"/>
        <v>16161536.319749219</v>
      </c>
      <c r="BJ31">
        <f t="shared" si="22"/>
        <v>27828257</v>
      </c>
      <c r="BK31">
        <f t="shared" si="22"/>
        <v>1046940522.1724138</v>
      </c>
      <c r="BL31">
        <f t="shared" si="22"/>
        <v>7413392.0610687025</v>
      </c>
      <c r="BN31" s="27" t="s">
        <v>399</v>
      </c>
      <c r="BO31" s="27">
        <f>'Weighted US Tariff'!Z104</f>
        <v>20</v>
      </c>
      <c r="BP31" s="27">
        <f>'Weighted US Tariff'!AA104</f>
        <v>0.92901297999999899</v>
      </c>
      <c r="BQ31" s="27">
        <f>'Weighted US Tariff'!AB104</f>
        <v>0.13673027499999901</v>
      </c>
      <c r="BR31" s="27">
        <f>'Weighted US Tariff'!AC104</f>
        <v>10</v>
      </c>
      <c r="BS31" s="27">
        <f>'Weighted US Tariff'!AD104</f>
        <v>15</v>
      </c>
      <c r="BT31" s="27">
        <f>'Weighted US Tariff'!AE104</f>
        <v>15</v>
      </c>
      <c r="BU31" s="27">
        <f>'Weighted US Tariff'!AF104</f>
        <v>20.429832721699999</v>
      </c>
      <c r="BV31" s="27">
        <f>'Weighted US Tariff'!AG104</f>
        <v>13.934996293997999</v>
      </c>
    </row>
    <row r="32" spans="1:74">
      <c r="E32" s="41"/>
      <c r="M32" s="42"/>
      <c r="P32" s="37"/>
      <c r="AG32" s="27" t="s">
        <v>1846</v>
      </c>
      <c r="AH32" s="40">
        <v>0</v>
      </c>
      <c r="AQ32" s="27" t="str">
        <f t="shared" si="1"/>
        <v>pcr</v>
      </c>
      <c r="AR32" s="46" t="s">
        <v>397</v>
      </c>
      <c r="AS32" s="46">
        <v>0</v>
      </c>
      <c r="AT32" s="46">
        <v>2.92</v>
      </c>
      <c r="AU32" s="46">
        <v>575</v>
      </c>
      <c r="AV32" s="46">
        <v>17.2</v>
      </c>
      <c r="AW32" s="46">
        <v>3.79</v>
      </c>
      <c r="AX32" s="46">
        <v>2.79</v>
      </c>
      <c r="AY32" s="46">
        <v>3.22</v>
      </c>
      <c r="AZ32" s="46">
        <v>24.6</v>
      </c>
      <c r="BA32" s="46">
        <v>3.46</v>
      </c>
      <c r="BB32" s="46">
        <v>633</v>
      </c>
      <c r="BD32" t="s">
        <v>402</v>
      </c>
      <c r="BE32">
        <f t="shared" ref="BE32:BL32" si="23">IFERROR(INDEX($AS$10:$BB$75,MATCH($BD32,$AQ$10:$AQ$74,0),MATCH(BE$9,$AS$9:$BB$9,0))/INDEX($AS$80:$BB$145,MATCH($BD32,$AQ$80:$AQ$145,0),MATCH(BE$9,$AS$79:$BB$79,0)),0)*BE102</f>
        <v>1261423.1920529802</v>
      </c>
      <c r="BF32">
        <f t="shared" si="23"/>
        <v>457929244.79999995</v>
      </c>
      <c r="BG32">
        <f t="shared" si="23"/>
        <v>529801342.01644737</v>
      </c>
      <c r="BH32">
        <f t="shared" si="23"/>
        <v>258631.38297872344</v>
      </c>
      <c r="BI32">
        <f t="shared" si="23"/>
        <v>217579.59241706162</v>
      </c>
      <c r="BJ32">
        <f t="shared" si="23"/>
        <v>10300418.739130436</v>
      </c>
      <c r="BK32">
        <f t="shared" si="23"/>
        <v>883260271.57590759</v>
      </c>
      <c r="BL32">
        <f t="shared" si="23"/>
        <v>734048899.67349935</v>
      </c>
      <c r="BN32" s="27" t="s">
        <v>402</v>
      </c>
      <c r="BO32" s="27">
        <f>'Weighted US Tariff'!Z105</f>
        <v>20</v>
      </c>
      <c r="BP32" s="27">
        <f>'Weighted US Tariff'!AA105</f>
        <v>0.92901297999999899</v>
      </c>
      <c r="BQ32" s="27">
        <f>'Weighted US Tariff'!AB105</f>
        <v>0.13673027499999901</v>
      </c>
      <c r="BR32" s="27">
        <f>'Weighted US Tariff'!AC105</f>
        <v>10</v>
      </c>
      <c r="BS32" s="27">
        <f>'Weighted US Tariff'!AD105</f>
        <v>15</v>
      </c>
      <c r="BT32" s="27">
        <f>'Weighted US Tariff'!AE105</f>
        <v>15</v>
      </c>
      <c r="BU32" s="27">
        <f>'Weighted US Tariff'!AF105</f>
        <v>11.327808514975301</v>
      </c>
      <c r="BV32" s="27">
        <f>'Weighted US Tariff'!AG105</f>
        <v>13.0491586484594</v>
      </c>
    </row>
    <row r="33" spans="4:74">
      <c r="D33" s="58"/>
      <c r="E33" s="57"/>
      <c r="M33" s="42"/>
      <c r="N33" s="31"/>
      <c r="P33" s="37"/>
      <c r="AG33" s="27" t="s">
        <v>1847</v>
      </c>
      <c r="AH33" s="40">
        <f>AO35</f>
        <v>353508.96</v>
      </c>
      <c r="AN33" s="27" t="s">
        <v>2113</v>
      </c>
      <c r="AO33" s="27" t="s">
        <v>2102</v>
      </c>
      <c r="AQ33" s="27" t="str">
        <f t="shared" si="1"/>
        <v>sgr</v>
      </c>
      <c r="AR33" s="46" t="s">
        <v>400</v>
      </c>
      <c r="AS33" s="46">
        <v>0</v>
      </c>
      <c r="AT33" s="46">
        <v>3.06</v>
      </c>
      <c r="AU33" s="46">
        <v>437</v>
      </c>
      <c r="AV33" s="46">
        <v>255</v>
      </c>
      <c r="AW33" s="46">
        <v>759</v>
      </c>
      <c r="AX33" s="46">
        <v>453</v>
      </c>
      <c r="AY33" s="46">
        <v>0.129</v>
      </c>
      <c r="AZ33" s="46">
        <v>11.1</v>
      </c>
      <c r="BA33" s="46">
        <v>3.5000000000000003E-2</v>
      </c>
      <c r="BB33" s="46">
        <v>1919</v>
      </c>
      <c r="BD33" t="s">
        <v>405</v>
      </c>
      <c r="BE33">
        <f t="shared" ref="BE33:BL33" si="24">IFERROR(INDEX($AS$10:$BB$75,MATCH($BD33,$AQ$10:$AQ$74,0),MATCH(BE$9,$AS$9:$BB$9,0))/INDEX($AS$80:$BB$145,MATCH($BD33,$AQ$80:$AQ$145,0),MATCH(BE$9,$AS$79:$BB$79,0)),0)*BE103</f>
        <v>3060421945.0071383</v>
      </c>
      <c r="BF33">
        <f t="shared" si="24"/>
        <v>25181671748.775257</v>
      </c>
      <c r="BG33">
        <f t="shared" si="24"/>
        <v>12817296166.700079</v>
      </c>
      <c r="BH33">
        <f t="shared" si="24"/>
        <v>520009854.1414392</v>
      </c>
      <c r="BI33">
        <f t="shared" si="24"/>
        <v>759623227.28905106</v>
      </c>
      <c r="BJ33">
        <f t="shared" si="24"/>
        <v>9766552987.8997688</v>
      </c>
      <c r="BK33">
        <f t="shared" si="24"/>
        <v>20912052944.966305</v>
      </c>
      <c r="BL33">
        <f t="shared" si="24"/>
        <v>11396859063.450191</v>
      </c>
      <c r="BN33" s="27" t="s">
        <v>405</v>
      </c>
      <c r="BO33" s="27">
        <f>'Weighted US Tariff'!Z106</f>
        <v>18.1825618914655</v>
      </c>
      <c r="BP33" s="27">
        <f>'Weighted US Tariff'!AA106</f>
        <v>0.92901297999999899</v>
      </c>
      <c r="BQ33" s="27">
        <f>'Weighted US Tariff'!AB106</f>
        <v>0.13673027499999901</v>
      </c>
      <c r="BR33" s="27">
        <f>'Weighted US Tariff'!AC106</f>
        <v>6.6648384032596901</v>
      </c>
      <c r="BS33" s="27">
        <f>'Weighted US Tariff'!AD106</f>
        <v>11.4483573108617</v>
      </c>
      <c r="BT33" s="27">
        <f>'Weighted US Tariff'!AE106</f>
        <v>11.832614173571599</v>
      </c>
      <c r="BU33" s="27">
        <f>'Weighted US Tariff'!AF106</f>
        <v>12.746690912262199</v>
      </c>
      <c r="BV33" s="27">
        <f>'Weighted US Tariff'!AG106</f>
        <v>6.6080950700585701</v>
      </c>
    </row>
    <row r="34" spans="4:74">
      <c r="E34" s="43"/>
      <c r="AG34" s="27" t="s">
        <v>1848</v>
      </c>
      <c r="AH34" s="40">
        <f>AO36</f>
        <v>1143058.58</v>
      </c>
      <c r="AN34" s="27" t="s">
        <v>1846</v>
      </c>
      <c r="AO34" s="27">
        <v>0</v>
      </c>
      <c r="AQ34" s="27" t="str">
        <f t="shared" si="1"/>
        <v>ofd</v>
      </c>
      <c r="AR34" s="46" t="s">
        <v>403</v>
      </c>
      <c r="AS34" s="46">
        <v>0</v>
      </c>
      <c r="AT34" s="46">
        <v>4694</v>
      </c>
      <c r="AU34" s="46">
        <v>14518</v>
      </c>
      <c r="AV34" s="46">
        <v>14823</v>
      </c>
      <c r="AW34" s="46">
        <v>7440</v>
      </c>
      <c r="AX34" s="46">
        <v>5974</v>
      </c>
      <c r="AY34" s="46">
        <v>547</v>
      </c>
      <c r="AZ34" s="46">
        <v>5396</v>
      </c>
      <c r="BA34" s="46">
        <v>373</v>
      </c>
      <c r="BB34" s="46">
        <v>53764</v>
      </c>
      <c r="BD34" t="s">
        <v>408</v>
      </c>
      <c r="BE34">
        <f t="shared" ref="BE34:BL34" si="25">IFERROR(INDEX($AS$10:$BB$75,MATCH($BD34,$AQ$10:$AQ$74,0),MATCH(BE$9,$AS$9:$BB$9,0))/INDEX($AS$80:$BB$145,MATCH($BD34,$AQ$80:$AQ$145,0),MATCH(BE$9,$AS$79:$BB$79,0)),0)*BE104</f>
        <v>150709321.9074074</v>
      </c>
      <c r="BF34">
        <f t="shared" si="25"/>
        <v>2151439277.7025208</v>
      </c>
      <c r="BG34">
        <f t="shared" si="25"/>
        <v>14539386789.438875</v>
      </c>
      <c r="BH34">
        <f t="shared" si="25"/>
        <v>1593672142.7977839</v>
      </c>
      <c r="BI34">
        <f t="shared" si="25"/>
        <v>213749005.80000001</v>
      </c>
      <c r="BJ34">
        <f t="shared" si="25"/>
        <v>9721700486.4642849</v>
      </c>
      <c r="BK34">
        <f t="shared" si="25"/>
        <v>2440616854.562171</v>
      </c>
      <c r="BL34">
        <f t="shared" si="25"/>
        <v>1992565046.7001352</v>
      </c>
      <c r="BN34" s="27" t="s">
        <v>408</v>
      </c>
      <c r="BO34" s="27">
        <f>'Weighted US Tariff'!Z107</f>
        <v>20</v>
      </c>
      <c r="BP34" s="27">
        <f>'Weighted US Tariff'!AA107</f>
        <v>1.309725375</v>
      </c>
      <c r="BQ34" s="27">
        <f>'Weighted US Tariff'!AB107</f>
        <v>1.4059142999999901</v>
      </c>
      <c r="BR34" s="27">
        <f>'Weighted US Tariff'!AC107</f>
        <v>9.9999489390731302</v>
      </c>
      <c r="BS34" s="27">
        <f>'Weighted US Tariff'!AD107</f>
        <v>14.999793838995799</v>
      </c>
      <c r="BT34" s="27">
        <f>'Weighted US Tariff'!AE107</f>
        <v>14.999896996800899</v>
      </c>
      <c r="BU34" s="27">
        <f>'Weighted US Tariff'!AF107</f>
        <v>14.0971419187042</v>
      </c>
      <c r="BV34" s="27">
        <f>'Weighted US Tariff'!AG107</f>
        <v>18.2998883950081</v>
      </c>
    </row>
    <row r="35" spans="4:74">
      <c r="D35" s="43"/>
      <c r="E35" s="43"/>
      <c r="AG35" s="27" t="s">
        <v>1849</v>
      </c>
      <c r="AH35" s="40">
        <f>AO37</f>
        <v>334031.99300000002</v>
      </c>
      <c r="AN35" s="27" t="s">
        <v>1847</v>
      </c>
      <c r="AO35" s="27">
        <v>353508.96</v>
      </c>
      <c r="AQ35" s="27" t="str">
        <f t="shared" si="1"/>
        <v>b_t</v>
      </c>
      <c r="AR35" s="46" t="s">
        <v>406</v>
      </c>
      <c r="AS35" s="46">
        <v>0</v>
      </c>
      <c r="AT35" s="46">
        <v>76.2</v>
      </c>
      <c r="AU35" s="46">
        <v>3112</v>
      </c>
      <c r="AV35" s="46">
        <v>1367</v>
      </c>
      <c r="AW35" s="46">
        <v>5924</v>
      </c>
      <c r="AX35" s="46">
        <v>1761</v>
      </c>
      <c r="AY35" s="46">
        <v>131</v>
      </c>
      <c r="AZ35" s="46">
        <v>9798</v>
      </c>
      <c r="BA35" s="46">
        <v>2010</v>
      </c>
      <c r="BB35" s="46">
        <v>24179</v>
      </c>
      <c r="BD35" t="s">
        <v>411</v>
      </c>
      <c r="BE35">
        <f t="shared" ref="BE35:BL35" si="26">IFERROR(INDEX($AS$10:$BB$75,MATCH($BD35,$AQ$10:$AQ$74,0),MATCH(BE$9,$AS$9:$BB$9,0))/INDEX($AS$80:$BB$145,MATCH($BD35,$AQ$80:$AQ$145,0),MATCH(BE$9,$AS$79:$BB$79,0)),0)*BE105</f>
        <v>9753305424.3422337</v>
      </c>
      <c r="BF35">
        <f t="shared" si="26"/>
        <v>351761304.4150418</v>
      </c>
      <c r="BG35">
        <f t="shared" si="26"/>
        <v>1511196255.5387635</v>
      </c>
      <c r="BH35">
        <f t="shared" si="26"/>
        <v>427894685.51724136</v>
      </c>
      <c r="BI35">
        <f t="shared" si="26"/>
        <v>487255968.22364217</v>
      </c>
      <c r="BJ35">
        <f t="shared" si="26"/>
        <v>2670350219.2551942</v>
      </c>
      <c r="BK35">
        <f t="shared" si="26"/>
        <v>8380095913.81952</v>
      </c>
      <c r="BL35">
        <f t="shared" si="26"/>
        <v>1767954331.0816329</v>
      </c>
      <c r="BN35" s="27" t="s">
        <v>411</v>
      </c>
      <c r="BO35" s="27">
        <f>'Weighted US Tariff'!Z108</f>
        <v>20</v>
      </c>
      <c r="BP35" s="27">
        <f>'Weighted US Tariff'!AA108</f>
        <v>32.437240499999902</v>
      </c>
      <c r="BQ35" s="27">
        <f>'Weighted US Tariff'!AB108</f>
        <v>22.265485250000001</v>
      </c>
      <c r="BR35" s="27">
        <f>'Weighted US Tariff'!AC108</f>
        <v>10</v>
      </c>
      <c r="BS35" s="27">
        <f>'Weighted US Tariff'!AD108</f>
        <v>15</v>
      </c>
      <c r="BT35" s="27">
        <f>'Weighted US Tariff'!AE108</f>
        <v>15</v>
      </c>
      <c r="BU35" s="27">
        <f>'Weighted US Tariff'!AF108</f>
        <v>20.9630208154393</v>
      </c>
      <c r="BV35" s="27">
        <f>'Weighted US Tariff'!AG108</f>
        <v>14.5747153121205</v>
      </c>
    </row>
    <row r="36" spans="4:74">
      <c r="D36" s="31"/>
      <c r="AG36" s="27" t="s">
        <v>1850</v>
      </c>
      <c r="AH36" s="40">
        <f>AO38</f>
        <v>309952.91100000002</v>
      </c>
      <c r="AN36" s="27" t="s">
        <v>1848</v>
      </c>
      <c r="AO36" s="27">
        <v>1143058.58</v>
      </c>
      <c r="AQ36" s="27" t="str">
        <f t="shared" si="1"/>
        <v>tex</v>
      </c>
      <c r="AR36" s="46" t="s">
        <v>409</v>
      </c>
      <c r="AS36" s="46">
        <v>0</v>
      </c>
      <c r="AT36" s="46">
        <v>12315</v>
      </c>
      <c r="AU36" s="46">
        <v>6590</v>
      </c>
      <c r="AV36" s="46">
        <v>490</v>
      </c>
      <c r="AW36" s="46">
        <v>1166</v>
      </c>
      <c r="AX36" s="46">
        <v>1699</v>
      </c>
      <c r="AY36" s="46">
        <v>599</v>
      </c>
      <c r="AZ36" s="46">
        <v>2697</v>
      </c>
      <c r="BA36" s="46">
        <v>365</v>
      </c>
      <c r="BB36" s="46">
        <v>25921</v>
      </c>
      <c r="BD36" t="s">
        <v>414</v>
      </c>
      <c r="BE36">
        <f t="shared" ref="BE36:BL36" si="27">IFERROR(INDEX($AS$10:$BB$75,MATCH($BD36,$AQ$10:$AQ$74,0),MATCH(BE$9,$AS$9:$BB$9,0))/INDEX($AS$80:$BB$145,MATCH($BD36,$AQ$80:$AQ$145,0),MATCH(BE$9,$AS$79:$BB$79,0)),0)*BE106</f>
        <v>14951301448.647629</v>
      </c>
      <c r="BF36">
        <f t="shared" si="27"/>
        <v>1028663767.8283262</v>
      </c>
      <c r="BG36">
        <f t="shared" si="27"/>
        <v>8030539163.6958475</v>
      </c>
      <c r="BH36">
        <f t="shared" si="27"/>
        <v>187029914.48577678</v>
      </c>
      <c r="BI36">
        <f t="shared" si="27"/>
        <v>94354079.561849713</v>
      </c>
      <c r="BJ36">
        <f t="shared" si="27"/>
        <v>3606796452.1915317</v>
      </c>
      <c r="BK36">
        <f t="shared" si="27"/>
        <v>34170853704.482109</v>
      </c>
      <c r="BL36">
        <f t="shared" si="27"/>
        <v>12522692186.725859</v>
      </c>
      <c r="BN36" s="27" t="s">
        <v>414</v>
      </c>
      <c r="BO36" s="27">
        <f>'Weighted US Tariff'!Z109</f>
        <v>20</v>
      </c>
      <c r="BP36" s="27">
        <f>'Weighted US Tariff'!AA109</f>
        <v>9.74442951999999</v>
      </c>
      <c r="BQ36" s="27">
        <f>'Weighted US Tariff'!AB109</f>
        <v>0.82879159999999996</v>
      </c>
      <c r="BR36" s="27">
        <f>'Weighted US Tariff'!AC109</f>
        <v>10</v>
      </c>
      <c r="BS36" s="27">
        <f>'Weighted US Tariff'!AD109</f>
        <v>15</v>
      </c>
      <c r="BT36" s="27">
        <f>'Weighted US Tariff'!AE109</f>
        <v>15</v>
      </c>
      <c r="BU36" s="27">
        <f>'Weighted US Tariff'!AF109</f>
        <v>19.651757609886399</v>
      </c>
      <c r="BV36" s="27">
        <f>'Weighted US Tariff'!AG109</f>
        <v>13.110490475229801</v>
      </c>
    </row>
    <row r="37" spans="4:74">
      <c r="AG37" s="27" t="s">
        <v>1851</v>
      </c>
      <c r="AH37" s="40">
        <v>0</v>
      </c>
      <c r="AN37" s="27" t="s">
        <v>1849</v>
      </c>
      <c r="AO37" s="27">
        <v>334031.99300000002</v>
      </c>
      <c r="AQ37" s="27" t="str">
        <f t="shared" si="1"/>
        <v>wap</v>
      </c>
      <c r="AR37" s="46" t="s">
        <v>412</v>
      </c>
      <c r="AS37" s="46">
        <v>0</v>
      </c>
      <c r="AT37" s="46">
        <v>29606</v>
      </c>
      <c r="AU37" s="46">
        <v>30792</v>
      </c>
      <c r="AV37" s="46">
        <v>1344</v>
      </c>
      <c r="AW37" s="46">
        <v>10885</v>
      </c>
      <c r="AX37" s="46">
        <v>12773</v>
      </c>
      <c r="AY37" s="46">
        <v>84.7</v>
      </c>
      <c r="AZ37" s="46">
        <v>2887</v>
      </c>
      <c r="BA37" s="46">
        <v>580</v>
      </c>
      <c r="BB37" s="46">
        <v>88951</v>
      </c>
      <c r="BD37" t="s">
        <v>417</v>
      </c>
      <c r="BE37">
        <f t="shared" ref="BE37:BL37" si="28">IFERROR(INDEX($AS$10:$BB$75,MATCH($BD37,$AQ$10:$AQ$74,0),MATCH(BE$9,$AS$9:$BB$9,0))/INDEX($AS$80:$BB$145,MATCH($BD37,$AQ$80:$AQ$145,0),MATCH(BE$9,$AS$79:$BB$79,0)),0)*BE107</f>
        <v>10223021404.813679</v>
      </c>
      <c r="BF37">
        <f t="shared" si="28"/>
        <v>451806247.16216213</v>
      </c>
      <c r="BG37">
        <f t="shared" si="28"/>
        <v>3019654779.2973652</v>
      </c>
      <c r="BH37">
        <f t="shared" si="28"/>
        <v>107516311.93467337</v>
      </c>
      <c r="BI37">
        <f t="shared" si="28"/>
        <v>19465076.138888892</v>
      </c>
      <c r="BJ37">
        <f t="shared" si="28"/>
        <v>6429428619.8693953</v>
      </c>
      <c r="BK37">
        <f t="shared" si="28"/>
        <v>14109979155.226435</v>
      </c>
      <c r="BL37">
        <f t="shared" si="28"/>
        <v>320950387.83505154</v>
      </c>
      <c r="BN37" s="27" t="s">
        <v>417</v>
      </c>
      <c r="BO37" s="27">
        <f>'Weighted US Tariff'!Z110</f>
        <v>20</v>
      </c>
      <c r="BP37" s="27">
        <f>'Weighted US Tariff'!AA110</f>
        <v>1.9334552650000001</v>
      </c>
      <c r="BQ37" s="27">
        <f>'Weighted US Tariff'!AB110</f>
        <v>0.38656072500000099</v>
      </c>
      <c r="BR37" s="27">
        <f>'Weighted US Tariff'!AC110</f>
        <v>10</v>
      </c>
      <c r="BS37" s="27">
        <f>'Weighted US Tariff'!AD110</f>
        <v>15</v>
      </c>
      <c r="BT37" s="27">
        <f>'Weighted US Tariff'!AE110</f>
        <v>15</v>
      </c>
      <c r="BU37" s="27">
        <f>'Weighted US Tariff'!AF110</f>
        <v>19.897488580148</v>
      </c>
      <c r="BV37" s="27">
        <f>'Weighted US Tariff'!AG110</f>
        <v>17.6116977995393</v>
      </c>
    </row>
    <row r="38" spans="4:74">
      <c r="AG38" s="27" t="s">
        <v>52</v>
      </c>
      <c r="AH38" s="40">
        <f>AO39</f>
        <v>2140552.4449999998</v>
      </c>
      <c r="AN38" s="27" t="s">
        <v>1850</v>
      </c>
      <c r="AO38" s="27">
        <v>309952.91100000002</v>
      </c>
      <c r="AQ38" s="27" t="str">
        <f t="shared" si="1"/>
        <v>lea</v>
      </c>
      <c r="AR38" s="46" t="s">
        <v>415</v>
      </c>
      <c r="AS38" s="46">
        <v>0</v>
      </c>
      <c r="AT38" s="46">
        <v>17423</v>
      </c>
      <c r="AU38" s="46">
        <v>9038</v>
      </c>
      <c r="AV38" s="46">
        <v>430</v>
      </c>
      <c r="AW38" s="46">
        <v>2350</v>
      </c>
      <c r="AX38" s="46">
        <v>571</v>
      </c>
      <c r="AY38" s="46">
        <v>14.8</v>
      </c>
      <c r="AZ38" s="46">
        <v>4401</v>
      </c>
      <c r="BA38" s="46">
        <v>275</v>
      </c>
      <c r="BB38" s="46">
        <v>34503</v>
      </c>
      <c r="BD38" t="s">
        <v>420</v>
      </c>
      <c r="BE38">
        <f t="shared" ref="BE38:BL38" si="29">IFERROR(INDEX($AS$10:$BB$75,MATCH($BD38,$AQ$10:$AQ$74,0),MATCH(BE$9,$AS$9:$BB$9,0))/INDEX($AS$80:$BB$145,MATCH($BD38,$AQ$80:$AQ$145,0),MATCH(BE$9,$AS$79:$BB$79,0)),0)*BE108</f>
        <v>1070552537.8415362</v>
      </c>
      <c r="BF38">
        <f t="shared" si="29"/>
        <v>13390028898.173967</v>
      </c>
      <c r="BG38">
        <f t="shared" si="29"/>
        <v>1058223828.4388889</v>
      </c>
      <c r="BH38">
        <f t="shared" si="29"/>
        <v>20361589.199999999</v>
      </c>
      <c r="BI38">
        <f t="shared" si="29"/>
        <v>27355410.08588957</v>
      </c>
      <c r="BJ38">
        <f t="shared" si="29"/>
        <v>1997683978.3788037</v>
      </c>
      <c r="BK38">
        <f t="shared" si="29"/>
        <v>3355306539.5296526</v>
      </c>
      <c r="BL38">
        <f t="shared" si="29"/>
        <v>936625634.22382665</v>
      </c>
      <c r="BN38" s="27" t="s">
        <v>420</v>
      </c>
      <c r="BO38" s="27">
        <f>'Weighted US Tariff'!Z111</f>
        <v>19.9563540410577</v>
      </c>
      <c r="BP38" s="27">
        <f>'Weighted US Tariff'!AA111</f>
        <v>4.6629773070614604</v>
      </c>
      <c r="BQ38" s="27">
        <f>'Weighted US Tariff'!AB111</f>
        <v>0.35734103753805702</v>
      </c>
      <c r="BR38" s="27">
        <f>'Weighted US Tariff'!AC111</f>
        <v>8.1238829334598304</v>
      </c>
      <c r="BS38" s="27">
        <f>'Weighted US Tariff'!AD111</f>
        <v>12.3035799243761</v>
      </c>
      <c r="BT38" s="27">
        <f>'Weighted US Tariff'!AE111</f>
        <v>12.9260974060071</v>
      </c>
      <c r="BU38" s="27">
        <f>'Weighted US Tariff'!AF111</f>
        <v>15.5474235720969</v>
      </c>
      <c r="BV38" s="27">
        <f>'Weighted US Tariff'!AG111</f>
        <v>10.077994678138101</v>
      </c>
    </row>
    <row r="39" spans="4:74">
      <c r="AN39" s="27" t="s">
        <v>52</v>
      </c>
      <c r="AO39" s="27">
        <v>2140552.4449999998</v>
      </c>
      <c r="AQ39" s="27" t="str">
        <f t="shared" si="1"/>
        <v>lum</v>
      </c>
      <c r="AR39" s="46" t="s">
        <v>418</v>
      </c>
      <c r="AS39" s="46">
        <v>0</v>
      </c>
      <c r="AT39" s="46">
        <v>2272</v>
      </c>
      <c r="AU39" s="46">
        <v>1740</v>
      </c>
      <c r="AV39" s="46">
        <v>5619</v>
      </c>
      <c r="AW39" s="46">
        <v>541</v>
      </c>
      <c r="AX39" s="46">
        <v>681</v>
      </c>
      <c r="AY39" s="46">
        <v>11.8</v>
      </c>
      <c r="AZ39" s="46">
        <v>1311</v>
      </c>
      <c r="BA39" s="46">
        <v>14.4</v>
      </c>
      <c r="BB39" s="46">
        <v>12190</v>
      </c>
      <c r="BD39" t="s">
        <v>423</v>
      </c>
      <c r="BE39">
        <f t="shared" ref="BE39:BL39" si="30">IFERROR(INDEX($AS$10:$BB$75,MATCH($BD39,$AQ$10:$AQ$74,0),MATCH(BE$9,$AS$9:$BB$9,0))/INDEX($AS$80:$BB$145,MATCH($BD39,$AQ$80:$AQ$145,0),MATCH(BE$9,$AS$79:$BB$79,0)),0)*BE109</f>
        <v>2839073957.4213839</v>
      </c>
      <c r="BF39">
        <f t="shared" si="30"/>
        <v>13405524168.582275</v>
      </c>
      <c r="BG39">
        <f t="shared" si="30"/>
        <v>2717129271.9702516</v>
      </c>
      <c r="BH39">
        <f t="shared" si="30"/>
        <v>703985193.20086861</v>
      </c>
      <c r="BI39">
        <f t="shared" si="30"/>
        <v>168125396.833002</v>
      </c>
      <c r="BJ39">
        <f t="shared" si="30"/>
        <v>3206492996.5919509</v>
      </c>
      <c r="BK39">
        <f t="shared" si="30"/>
        <v>3909004615.6744184</v>
      </c>
      <c r="BL39">
        <f t="shared" si="30"/>
        <v>838132401.63690925</v>
      </c>
      <c r="BN39" s="27" t="s">
        <v>423</v>
      </c>
      <c r="BO39" s="27">
        <f>'Weighted US Tariff'!Z112</f>
        <v>17.076193590123101</v>
      </c>
      <c r="BP39" s="27">
        <f>'Weighted US Tariff'!AA112</f>
        <v>0.435591485000001</v>
      </c>
      <c r="BQ39" s="27">
        <f>'Weighted US Tariff'!AB112</f>
        <v>2.6294057249999998</v>
      </c>
      <c r="BR39" s="27">
        <f>'Weighted US Tariff'!AC112</f>
        <v>4.1217664667771796</v>
      </c>
      <c r="BS39" s="27">
        <f>'Weighted US Tariff'!AD112</f>
        <v>12.0004242559668</v>
      </c>
      <c r="BT39" s="27">
        <f>'Weighted US Tariff'!AE112</f>
        <v>12.602242203442399</v>
      </c>
      <c r="BU39" s="27">
        <f>'Weighted US Tariff'!AF112</f>
        <v>11.341702772361201</v>
      </c>
      <c r="BV39" s="27">
        <f>'Weighted US Tariff'!AG112</f>
        <v>12.6105461957149</v>
      </c>
    </row>
    <row r="40" spans="4:74">
      <c r="E40" s="336"/>
      <c r="M40" s="42"/>
      <c r="P40" s="37"/>
      <c r="AQ40" s="27" t="str">
        <f t="shared" si="1"/>
        <v>ppp</v>
      </c>
      <c r="AR40" s="46" t="s">
        <v>421</v>
      </c>
      <c r="AS40" s="46">
        <v>0</v>
      </c>
      <c r="AT40" s="46">
        <v>2762</v>
      </c>
      <c r="AU40" s="46">
        <v>1989</v>
      </c>
      <c r="AV40" s="46">
        <v>12542</v>
      </c>
      <c r="AW40" s="46">
        <v>1868</v>
      </c>
      <c r="AX40" s="46">
        <v>843</v>
      </c>
      <c r="AY40" s="46">
        <v>333</v>
      </c>
      <c r="AZ40" s="46">
        <v>2476</v>
      </c>
      <c r="BA40" s="46">
        <v>899</v>
      </c>
      <c r="BB40" s="46">
        <v>23712</v>
      </c>
      <c r="BD40" t="s">
        <v>426</v>
      </c>
      <c r="BE40">
        <f t="shared" ref="BE40:BL40" si="31">IFERROR(INDEX($AS$10:$BB$75,MATCH($BD40,$AQ$10:$AQ$74,0),MATCH(BE$9,$AS$9:$BB$9,0))/INDEX($AS$80:$BB$145,MATCH($BD40,$AQ$80:$AQ$145,0),MATCH(BE$9,$AS$79:$BB$79,0)),0)*BE110</f>
        <v>290592110.01585013</v>
      </c>
      <c r="BF40">
        <f t="shared" si="31"/>
        <v>20346547204.355381</v>
      </c>
      <c r="BG40">
        <f t="shared" si="31"/>
        <v>4000977689.0085363</v>
      </c>
      <c r="BH40">
        <f t="shared" si="31"/>
        <v>2261887470.2883978</v>
      </c>
      <c r="BI40">
        <f t="shared" si="31"/>
        <v>367553614.4204244</v>
      </c>
      <c r="BJ40">
        <f t="shared" si="31"/>
        <v>12402233202.787134</v>
      </c>
      <c r="BK40">
        <f t="shared" si="31"/>
        <v>27576333485.1931</v>
      </c>
      <c r="BL40">
        <f t="shared" si="31"/>
        <v>10462608310.286266</v>
      </c>
      <c r="BN40" s="27" t="s">
        <v>426</v>
      </c>
      <c r="BO40" s="27">
        <f>'Weighted US Tariff'!Z113</f>
        <v>10.1640835957711</v>
      </c>
      <c r="BP40" s="27">
        <f>'Weighted US Tariff'!AA113</f>
        <v>0.41238325951363097</v>
      </c>
      <c r="BQ40" s="27">
        <f>'Weighted US Tariff'!AB113</f>
        <v>6.8038958749999896</v>
      </c>
      <c r="BR40" s="27">
        <f>'Weighted US Tariff'!AC113</f>
        <v>2.9829627050325999E-5</v>
      </c>
      <c r="BS40" s="27">
        <f>'Weighted US Tariff'!AD113</f>
        <v>0</v>
      </c>
      <c r="BT40" s="27">
        <f>'Weighted US Tariff'!AE113</f>
        <v>1.4003005607525201</v>
      </c>
      <c r="BU40" s="27">
        <f>'Weighted US Tariff'!AF113</f>
        <v>2.5811663812213399E-2</v>
      </c>
      <c r="BV40" s="27">
        <f>'Weighted US Tariff'!AG113</f>
        <v>0.114939541253007</v>
      </c>
    </row>
    <row r="41" spans="4:74">
      <c r="E41" s="337"/>
      <c r="J41" s="43"/>
      <c r="K41" s="44"/>
      <c r="L41" s="31"/>
      <c r="M41" s="42"/>
      <c r="P41" s="37"/>
      <c r="AD41" s="63"/>
      <c r="AJ41" s="63"/>
      <c r="AQ41" s="27" t="str">
        <f t="shared" si="1"/>
        <v>p_c</v>
      </c>
      <c r="AR41" s="46" t="s">
        <v>424</v>
      </c>
      <c r="AS41" s="46">
        <v>0</v>
      </c>
      <c r="AT41" s="46">
        <v>1924</v>
      </c>
      <c r="AU41" s="46">
        <v>27263</v>
      </c>
      <c r="AV41" s="46">
        <v>8629</v>
      </c>
      <c r="AW41" s="46">
        <v>1338</v>
      </c>
      <c r="AX41" s="46">
        <v>5834</v>
      </c>
      <c r="AY41" s="46">
        <v>777</v>
      </c>
      <c r="AZ41" s="46">
        <v>7819</v>
      </c>
      <c r="BA41" s="46">
        <v>1854</v>
      </c>
      <c r="BB41" s="46">
        <v>55439</v>
      </c>
      <c r="BD41" t="s">
        <v>429</v>
      </c>
      <c r="BE41">
        <f t="shared" ref="BE41:BL41" si="32">IFERROR(INDEX($AS$10:$BB$75,MATCH($BD41,$AQ$10:$AQ$74,0),MATCH(BE$9,$AS$9:$BB$9,0))/INDEX($AS$80:$BB$145,MATCH($BD41,$AQ$80:$AQ$145,0),MATCH(BE$9,$AS$79:$BB$79,0)),0)*BE111</f>
        <v>8373354113.8682442</v>
      </c>
      <c r="BF41">
        <f t="shared" si="32"/>
        <v>34656252151.314926</v>
      </c>
      <c r="BG41">
        <f t="shared" si="32"/>
        <v>10352965401.230783</v>
      </c>
      <c r="BH41">
        <f t="shared" si="32"/>
        <v>4426785910.7912579</v>
      </c>
      <c r="BI41">
        <f t="shared" si="32"/>
        <v>6008130738.7026262</v>
      </c>
      <c r="BJ41">
        <f t="shared" si="32"/>
        <v>30526716889.281616</v>
      </c>
      <c r="BK41">
        <f t="shared" si="32"/>
        <v>17647197267.828888</v>
      </c>
      <c r="BL41">
        <f t="shared" si="32"/>
        <v>11452254389.588177</v>
      </c>
      <c r="BN41" s="27" t="s">
        <v>429</v>
      </c>
      <c r="BO41" s="27">
        <f>'Weighted US Tariff'!Z114</f>
        <v>15.773166860224601</v>
      </c>
      <c r="BP41" s="27">
        <f>'Weighted US Tariff'!AA114</f>
        <v>0.80749356015557305</v>
      </c>
      <c r="BQ41" s="27">
        <f>'Weighted US Tariff'!AB114</f>
        <v>1.1736701222188699</v>
      </c>
      <c r="BR41" s="27">
        <f>'Weighted US Tariff'!AC114</f>
        <v>6.11475425689855</v>
      </c>
      <c r="BS41" s="27">
        <f>'Weighted US Tariff'!AD114</f>
        <v>11.1506355576812</v>
      </c>
      <c r="BT41" s="27">
        <f>'Weighted US Tariff'!AE114</f>
        <v>10.775624293839501</v>
      </c>
      <c r="BU41" s="27">
        <f>'Weighted US Tariff'!AF114</f>
        <v>11.4638193579832</v>
      </c>
      <c r="BV41" s="27">
        <f>'Weighted US Tariff'!AG114</f>
        <v>10.6847241864885</v>
      </c>
    </row>
    <row r="42" spans="4:74">
      <c r="AQ42" s="27" t="str">
        <f t="shared" si="1"/>
        <v>chm</v>
      </c>
      <c r="AR42" s="46" t="s">
        <v>427</v>
      </c>
      <c r="AS42" s="46">
        <v>0</v>
      </c>
      <c r="AT42" s="46">
        <v>7552</v>
      </c>
      <c r="AU42" s="46">
        <v>13450</v>
      </c>
      <c r="AV42" s="46">
        <v>26956</v>
      </c>
      <c r="AW42" s="46">
        <v>6467</v>
      </c>
      <c r="AX42" s="46">
        <v>5851</v>
      </c>
      <c r="AY42" s="46">
        <v>5119</v>
      </c>
      <c r="AZ42" s="46">
        <v>21592</v>
      </c>
      <c r="BA42" s="46">
        <v>3567</v>
      </c>
      <c r="BB42" s="46">
        <v>90555</v>
      </c>
      <c r="BD42" t="s">
        <v>432</v>
      </c>
      <c r="BE42">
        <f t="shared" ref="BE42:BL42" si="33">IFERROR(INDEX($AS$10:$BB$75,MATCH($BD42,$AQ$10:$AQ$74,0),MATCH(BE$9,$AS$9:$BB$9,0))/INDEX($AS$80:$BB$145,MATCH($BD42,$AQ$80:$AQ$145,0),MATCH(BE$9,$AS$79:$BB$79,0)),0)*BE112</f>
        <v>6210034498.4587841</v>
      </c>
      <c r="BF42">
        <f t="shared" si="33"/>
        <v>5612666996.0968046</v>
      </c>
      <c r="BG42">
        <f t="shared" si="33"/>
        <v>948851812.70020127</v>
      </c>
      <c r="BH42">
        <f t="shared" si="33"/>
        <v>7511758525.4845095</v>
      </c>
      <c r="BI42">
        <f t="shared" si="33"/>
        <v>8109593821.2769432</v>
      </c>
      <c r="BJ42">
        <f t="shared" si="33"/>
        <v>155792426259.98373</v>
      </c>
      <c r="BK42">
        <f t="shared" si="33"/>
        <v>37050432265.817978</v>
      </c>
      <c r="BL42">
        <f t="shared" si="33"/>
        <v>25361814818.713795</v>
      </c>
      <c r="BN42" s="27" t="s">
        <v>432</v>
      </c>
      <c r="BO42" s="27">
        <f>'Weighted US Tariff'!Z115</f>
        <v>10.739784325353099</v>
      </c>
      <c r="BP42" s="27">
        <f>'Weighted US Tariff'!AA115</f>
        <v>0.93666013000000103</v>
      </c>
      <c r="BQ42" s="27">
        <f>'Weighted US Tariff'!AB115</f>
        <v>1.17558772499999</v>
      </c>
      <c r="BR42" s="27">
        <f>'Weighted US Tariff'!AC115</f>
        <v>0.243275143834007</v>
      </c>
      <c r="BS42" s="27">
        <f>'Weighted US Tariff'!AD115</f>
        <v>0.24350127858473</v>
      </c>
      <c r="BT42" s="27">
        <f>'Weighted US Tariff'!AE115</f>
        <v>4.9807747905658603E-2</v>
      </c>
      <c r="BU42" s="27">
        <f>'Weighted US Tariff'!AF115</f>
        <v>0.28133860967646102</v>
      </c>
      <c r="BV42" s="27">
        <f>'Weighted US Tariff'!AG115</f>
        <v>0.130402568039617</v>
      </c>
    </row>
    <row r="43" spans="4:74">
      <c r="X43" s="27" t="s">
        <v>309</v>
      </c>
      <c r="AD43" s="63" t="s">
        <v>2124</v>
      </c>
      <c r="AJ43" s="63" t="s">
        <v>2125</v>
      </c>
      <c r="AQ43" s="27" t="str">
        <f t="shared" si="1"/>
        <v>bph</v>
      </c>
      <c r="AR43" s="46" t="s">
        <v>430</v>
      </c>
      <c r="AS43" s="46">
        <v>0</v>
      </c>
      <c r="AT43" s="46">
        <v>2083</v>
      </c>
      <c r="AU43" s="46">
        <v>26301</v>
      </c>
      <c r="AV43" s="46">
        <v>4332</v>
      </c>
      <c r="AW43" s="46">
        <v>464</v>
      </c>
      <c r="AX43" s="46">
        <v>6639</v>
      </c>
      <c r="AY43" s="46">
        <v>2322</v>
      </c>
      <c r="AZ43" s="46">
        <v>51921</v>
      </c>
      <c r="BA43" s="46">
        <v>8261</v>
      </c>
      <c r="BB43" s="46">
        <v>102323</v>
      </c>
      <c r="BD43" t="s">
        <v>435</v>
      </c>
      <c r="BE43">
        <f t="shared" ref="BE43:BL43" si="34">IFERROR(INDEX($AS$10:$BB$75,MATCH($BD43,$AQ$10:$AQ$74,0),MATCH(BE$9,$AS$9:$BB$9,0))/INDEX($AS$80:$BB$145,MATCH($BD43,$AQ$80:$AQ$145,0),MATCH(BE$9,$AS$79:$BB$79,0)),0)*BE113</f>
        <v>11423294326.127029</v>
      </c>
      <c r="BF43">
        <f t="shared" si="34"/>
        <v>17161077000.657679</v>
      </c>
      <c r="BG43">
        <f t="shared" si="34"/>
        <v>14877084628.572121</v>
      </c>
      <c r="BH43">
        <f t="shared" si="34"/>
        <v>886246572.93511844</v>
      </c>
      <c r="BI43">
        <f t="shared" si="34"/>
        <v>2012192962.9212909</v>
      </c>
      <c r="BJ43">
        <f t="shared" si="34"/>
        <v>5873606440.2245817</v>
      </c>
      <c r="BK43">
        <f t="shared" si="34"/>
        <v>12964675383.81818</v>
      </c>
      <c r="BL43">
        <f t="shared" si="34"/>
        <v>4152619246.9057407</v>
      </c>
      <c r="BN43" s="27" t="s">
        <v>435</v>
      </c>
      <c r="BO43" s="27">
        <f>'Weighted US Tariff'!Z116</f>
        <v>20.1786776097528</v>
      </c>
      <c r="BP43" s="27">
        <f>'Weighted US Tariff'!AA116</f>
        <v>2.9360414924950802</v>
      </c>
      <c r="BQ43" s="27">
        <f>'Weighted US Tariff'!AB116</f>
        <v>4.2152840786835597</v>
      </c>
      <c r="BR43" s="27">
        <f>'Weighted US Tariff'!AC116</f>
        <v>10.617490888081299</v>
      </c>
      <c r="BS43" s="27">
        <f>'Weighted US Tariff'!AD116</f>
        <v>18.4175187020405</v>
      </c>
      <c r="BT43" s="27">
        <f>'Weighted US Tariff'!AE116</f>
        <v>16.9975095983255</v>
      </c>
      <c r="BU43" s="27">
        <f>'Weighted US Tariff'!AF116</f>
        <v>19.685640818087499</v>
      </c>
      <c r="BV43" s="27">
        <f>'Weighted US Tariff'!AG116</f>
        <v>16.505687387404802</v>
      </c>
    </row>
    <row r="44" spans="4:74">
      <c r="X44" s="27" t="s">
        <v>547</v>
      </c>
      <c r="Y44" s="27" t="s">
        <v>2126</v>
      </c>
      <c r="Z44" s="27" t="s">
        <v>2127</v>
      </c>
      <c r="AA44" s="27" t="s">
        <v>52</v>
      </c>
      <c r="AD44" s="46" t="s">
        <v>2128</v>
      </c>
      <c r="AE44" s="46" t="s">
        <v>2126</v>
      </c>
      <c r="AF44" s="46" t="s">
        <v>2127</v>
      </c>
      <c r="AG44" s="46" t="s">
        <v>52</v>
      </c>
      <c r="AJ44" s="27" t="s">
        <v>547</v>
      </c>
      <c r="AK44" s="27" t="s">
        <v>2126</v>
      </c>
      <c r="AL44" s="27" t="s">
        <v>2127</v>
      </c>
      <c r="AM44" s="27" t="s">
        <v>52</v>
      </c>
      <c r="AQ44" s="27" t="str">
        <f t="shared" si="1"/>
        <v>rpp</v>
      </c>
      <c r="AR44" s="46" t="s">
        <v>433</v>
      </c>
      <c r="AS44" s="46">
        <v>0</v>
      </c>
      <c r="AT44" s="46">
        <v>10836</v>
      </c>
      <c r="AU44" s="46">
        <v>8052</v>
      </c>
      <c r="AV44" s="46">
        <v>13800</v>
      </c>
      <c r="AW44" s="46">
        <v>8692</v>
      </c>
      <c r="AX44" s="46">
        <v>3664</v>
      </c>
      <c r="AY44" s="46">
        <v>1963</v>
      </c>
      <c r="AZ44" s="46">
        <v>5034</v>
      </c>
      <c r="BA44" s="46">
        <v>860</v>
      </c>
      <c r="BB44" s="46">
        <v>52901</v>
      </c>
      <c r="BD44" t="s">
        <v>438</v>
      </c>
      <c r="BE44">
        <f t="shared" ref="BE44:BL44" si="35">IFERROR(INDEX($AS$10:$BB$75,MATCH($BD44,$AQ$10:$AQ$74,0),MATCH(BE$9,$AS$9:$BB$9,0))/INDEX($AS$80:$BB$145,MATCH($BD44,$AQ$80:$AQ$145,0),MATCH(BE$9,$AS$79:$BB$79,0)),0)*BE114</f>
        <v>3689227572.54424</v>
      </c>
      <c r="BF44">
        <f t="shared" si="35"/>
        <v>4329179636.0132427</v>
      </c>
      <c r="BG44">
        <f t="shared" si="35"/>
        <v>6532373874.4867182</v>
      </c>
      <c r="BH44">
        <f t="shared" si="35"/>
        <v>290745579.867374</v>
      </c>
      <c r="BI44">
        <f t="shared" si="35"/>
        <v>771495589.90453064</v>
      </c>
      <c r="BJ44">
        <f t="shared" si="35"/>
        <v>4174629160.6790557</v>
      </c>
      <c r="BK44">
        <f t="shared" si="35"/>
        <v>4667834315.3842115</v>
      </c>
      <c r="BL44">
        <f t="shared" si="35"/>
        <v>932705611.40935671</v>
      </c>
      <c r="BN44" s="27" t="s">
        <v>438</v>
      </c>
      <c r="BO44" s="27">
        <f>'Weighted US Tariff'!Z117</f>
        <v>20.070729242434702</v>
      </c>
      <c r="BP44" s="27">
        <f>'Weighted US Tariff'!AA117</f>
        <v>0.80786243175577199</v>
      </c>
      <c r="BQ44" s="27">
        <f>'Weighted US Tariff'!AB117</f>
        <v>1.5223658567573399</v>
      </c>
      <c r="BR44" s="27">
        <f>'Weighted US Tariff'!AC117</f>
        <v>10.1447850228948</v>
      </c>
      <c r="BS44" s="27">
        <f>'Weighted US Tariff'!AD117</f>
        <v>15.3237973722857</v>
      </c>
      <c r="BT44" s="27">
        <f>'Weighted US Tariff'!AE117</f>
        <v>14.8565561965254</v>
      </c>
      <c r="BU44" s="27">
        <f>'Weighted US Tariff'!AF117</f>
        <v>19.139229548495901</v>
      </c>
      <c r="BV44" s="27">
        <f>'Weighted US Tariff'!AG117</f>
        <v>13.9326656933602</v>
      </c>
    </row>
    <row r="45" spans="4:74">
      <c r="X45" s="27" t="s">
        <v>331</v>
      </c>
      <c r="Y45" s="27">
        <v>32.200000000000003</v>
      </c>
      <c r="Z45" s="27">
        <v>1.91</v>
      </c>
      <c r="AA45" s="27">
        <v>34.1</v>
      </c>
      <c r="AD45" s="46" t="s">
        <v>331</v>
      </c>
      <c r="AE45" s="46">
        <v>33.200000000000003</v>
      </c>
      <c r="AF45" s="46">
        <v>1.39</v>
      </c>
      <c r="AG45" s="46">
        <v>34.6</v>
      </c>
      <c r="AJ45" s="27" t="s">
        <v>331</v>
      </c>
      <c r="AK45" s="27">
        <v>31.567</v>
      </c>
      <c r="AL45" s="27">
        <v>0.60599999999999998</v>
      </c>
      <c r="AM45" s="27">
        <v>32.173000000000002</v>
      </c>
      <c r="AQ45" s="27" t="str">
        <f t="shared" si="1"/>
        <v>nmm</v>
      </c>
      <c r="AR45" s="46" t="s">
        <v>436</v>
      </c>
      <c r="AS45" s="46">
        <v>0</v>
      </c>
      <c r="AT45" s="46">
        <v>5257</v>
      </c>
      <c r="AU45" s="46">
        <v>2411</v>
      </c>
      <c r="AV45" s="46">
        <v>3753</v>
      </c>
      <c r="AW45" s="46">
        <v>4457</v>
      </c>
      <c r="AX45" s="46">
        <v>635</v>
      </c>
      <c r="AY45" s="46">
        <v>866</v>
      </c>
      <c r="AZ45" s="46">
        <v>4055</v>
      </c>
      <c r="BA45" s="46">
        <v>331</v>
      </c>
      <c r="BB45" s="46">
        <v>21766</v>
      </c>
      <c r="BD45" t="s">
        <v>441</v>
      </c>
      <c r="BE45">
        <f t="shared" ref="BE45:BL45" si="36">IFERROR(INDEX($AS$10:$BB$75,MATCH($BD45,$AQ$10:$AQ$74,0),MATCH(BE$9,$AS$9:$BB$9,0))/INDEX($AS$80:$BB$145,MATCH($BD45,$AQ$80:$AQ$145,0),MATCH(BE$9,$AS$79:$BB$79,0)),0)*BE115</f>
        <v>626977621.78527069</v>
      </c>
      <c r="BF45">
        <f t="shared" si="36"/>
        <v>6857370678.8184481</v>
      </c>
      <c r="BG45">
        <f t="shared" si="36"/>
        <v>5761654189.7951221</v>
      </c>
      <c r="BH45">
        <f t="shared" si="36"/>
        <v>570794490.32749331</v>
      </c>
      <c r="BI45">
        <f t="shared" si="36"/>
        <v>1552616573.4621098</v>
      </c>
      <c r="BJ45">
        <f t="shared" si="36"/>
        <v>5981468885.0751076</v>
      </c>
      <c r="BK45">
        <f t="shared" si="36"/>
        <v>11042525166.981064</v>
      </c>
      <c r="BL45">
        <f t="shared" si="36"/>
        <v>3068192751.4346552</v>
      </c>
      <c r="BN45" s="27" t="s">
        <v>441</v>
      </c>
      <c r="BO45" s="27">
        <f>'Weighted US Tariff'!Z118</f>
        <v>31.614563508293699</v>
      </c>
      <c r="BP45" s="27">
        <f>'Weighted US Tariff'!AA118</f>
        <v>16.955676047169302</v>
      </c>
      <c r="BQ45" s="27">
        <f>'Weighted US Tariff'!AB118</f>
        <v>6.4461911350847299</v>
      </c>
      <c r="BR45" s="27">
        <f>'Weighted US Tariff'!AC118</f>
        <v>11.039911204391</v>
      </c>
      <c r="BS45" s="27">
        <f>'Weighted US Tariff'!AD118</f>
        <v>15.715101324422999</v>
      </c>
      <c r="BT45" s="27">
        <f>'Weighted US Tariff'!AE118</f>
        <v>17.100163820844099</v>
      </c>
      <c r="BU45" s="27">
        <f>'Weighted US Tariff'!AF118</f>
        <v>15.4677649812834</v>
      </c>
      <c r="BV45" s="27">
        <f>'Weighted US Tariff'!AG118</f>
        <v>18.122499932292602</v>
      </c>
    </row>
    <row r="46" spans="4:74">
      <c r="E46" s="106"/>
      <c r="F46" s="106"/>
      <c r="G46" s="107"/>
      <c r="H46" s="107"/>
      <c r="I46" s="107"/>
      <c r="X46" s="27" t="s">
        <v>334</v>
      </c>
      <c r="Y46" s="27">
        <v>2055</v>
      </c>
      <c r="Z46" s="27">
        <v>16</v>
      </c>
      <c r="AA46" s="27">
        <v>2071</v>
      </c>
      <c r="AD46" s="46" t="s">
        <v>334</v>
      </c>
      <c r="AE46" s="46">
        <v>2077</v>
      </c>
      <c r="AF46" s="46">
        <v>17.100000000000001</v>
      </c>
      <c r="AG46" s="46">
        <v>2094</v>
      </c>
      <c r="AJ46" s="27" t="s">
        <v>334</v>
      </c>
      <c r="AK46" s="27">
        <v>1928.6210000000001</v>
      </c>
      <c r="AL46" s="27">
        <v>8.2750000000000004</v>
      </c>
      <c r="AM46" s="27">
        <v>1936.896</v>
      </c>
      <c r="AQ46" s="27" t="str">
        <f t="shared" si="1"/>
        <v>i_s</v>
      </c>
      <c r="AR46" s="46" t="s">
        <v>439</v>
      </c>
      <c r="AS46" s="46">
        <v>0</v>
      </c>
      <c r="AT46" s="46">
        <v>923</v>
      </c>
      <c r="AU46" s="46">
        <v>13083</v>
      </c>
      <c r="AV46" s="46">
        <v>5330</v>
      </c>
      <c r="AW46" s="46">
        <v>4020</v>
      </c>
      <c r="AX46" s="46">
        <v>3223</v>
      </c>
      <c r="AY46" s="46">
        <v>1670</v>
      </c>
      <c r="AZ46" s="46">
        <v>5305</v>
      </c>
      <c r="BA46" s="46">
        <v>753</v>
      </c>
      <c r="BB46" s="46">
        <v>34308</v>
      </c>
      <c r="BD46" t="s">
        <v>444</v>
      </c>
      <c r="BE46">
        <f t="shared" ref="BE46:BL46" si="37">IFERROR(INDEX($AS$10:$BB$75,MATCH($BD46,$AQ$10:$AQ$74,0),MATCH(BE$9,$AS$9:$BB$9,0))/INDEX($AS$80:$BB$145,MATCH($BD46,$AQ$80:$AQ$145,0),MATCH(BE$9,$AS$79:$BB$79,0)),0)*BE116</f>
        <v>363120455.14832217</v>
      </c>
      <c r="BF46">
        <f t="shared" si="37"/>
        <v>6140373226.5198946</v>
      </c>
      <c r="BG46">
        <f t="shared" si="37"/>
        <v>10073379642.251444</v>
      </c>
      <c r="BH46">
        <f t="shared" si="37"/>
        <v>1899334302.9147983</v>
      </c>
      <c r="BI46">
        <f t="shared" si="37"/>
        <v>1031346678.663239</v>
      </c>
      <c r="BJ46">
        <f t="shared" si="37"/>
        <v>4003264917.6256833</v>
      </c>
      <c r="BK46">
        <f t="shared" si="37"/>
        <v>15928136229.856436</v>
      </c>
      <c r="BL46">
        <f t="shared" si="37"/>
        <v>21480541252.72607</v>
      </c>
      <c r="BN46" s="27" t="s">
        <v>444</v>
      </c>
      <c r="BO46" s="27">
        <f>'Weighted US Tariff'!Z119</f>
        <v>39.227378980554299</v>
      </c>
      <c r="BP46" s="27">
        <f>'Weighted US Tariff'!AA119</f>
        <v>32.593436848484501</v>
      </c>
      <c r="BQ46" s="27">
        <f>'Weighted US Tariff'!AB119</f>
        <v>8.6554727801627198</v>
      </c>
      <c r="BR46" s="27">
        <f>'Weighted US Tariff'!AC119</f>
        <v>6.7264050824554404</v>
      </c>
      <c r="BS46" s="27">
        <f>'Weighted US Tariff'!AD119</f>
        <v>15.039620943756599</v>
      </c>
      <c r="BT46" s="27">
        <f>'Weighted US Tariff'!AE119</f>
        <v>22.055467642790099</v>
      </c>
      <c r="BU46" s="27">
        <f>'Weighted US Tariff'!AF119</f>
        <v>13.789665535126099</v>
      </c>
      <c r="BV46" s="27">
        <f>'Weighted US Tariff'!AG119</f>
        <v>9.8036574321131695</v>
      </c>
    </row>
    <row r="47" spans="4:74">
      <c r="E47" s="458"/>
      <c r="F47" s="101"/>
      <c r="G47" s="102"/>
      <c r="H47" s="102"/>
      <c r="I47" s="103"/>
      <c r="X47" s="27" t="s">
        <v>337</v>
      </c>
      <c r="Y47" s="27">
        <v>1971</v>
      </c>
      <c r="Z47" s="27">
        <v>149</v>
      </c>
      <c r="AA47" s="27">
        <v>2119</v>
      </c>
      <c r="AD47" s="46" t="s">
        <v>337</v>
      </c>
      <c r="AE47" s="46">
        <v>2003</v>
      </c>
      <c r="AF47" s="46">
        <v>150</v>
      </c>
      <c r="AG47" s="46">
        <v>2153</v>
      </c>
      <c r="AJ47" s="27" t="s">
        <v>337</v>
      </c>
      <c r="AK47" s="27">
        <v>1891.5530000000001</v>
      </c>
      <c r="AL47" s="27">
        <v>135.02500000000001</v>
      </c>
      <c r="AM47" s="27">
        <v>2026.577</v>
      </c>
      <c r="AQ47" s="27" t="str">
        <f t="shared" si="1"/>
        <v>nfm</v>
      </c>
      <c r="AR47" s="46" t="s">
        <v>442</v>
      </c>
      <c r="AS47" s="46">
        <v>0</v>
      </c>
      <c r="AT47" s="46">
        <v>573</v>
      </c>
      <c r="AU47" s="46">
        <v>14171</v>
      </c>
      <c r="AV47" s="46">
        <v>4640</v>
      </c>
      <c r="AW47" s="46">
        <v>9062</v>
      </c>
      <c r="AX47" s="46">
        <v>13893</v>
      </c>
      <c r="AY47" s="46">
        <v>1030</v>
      </c>
      <c r="AZ47" s="46">
        <v>2953</v>
      </c>
      <c r="BA47" s="46">
        <v>2085</v>
      </c>
      <c r="BB47" s="46">
        <v>48406</v>
      </c>
      <c r="BD47" t="s">
        <v>447</v>
      </c>
      <c r="BE47">
        <f t="shared" ref="BE47:BL47" si="38">IFERROR(INDEX($AS$10:$BB$75,MATCH($BD47,$AQ$10:$AQ$74,0),MATCH(BE$9,$AS$9:$BB$9,0))/INDEX($AS$80:$BB$145,MATCH($BD47,$AQ$80:$AQ$145,0),MATCH(BE$9,$AS$79:$BB$79,0)),0)*BE117</f>
        <v>5628430774.3091106</v>
      </c>
      <c r="BF47">
        <f t="shared" si="38"/>
        <v>3093030546.4819007</v>
      </c>
      <c r="BG47">
        <f t="shared" si="38"/>
        <v>3693825040.5073037</v>
      </c>
      <c r="BH47">
        <f t="shared" si="38"/>
        <v>1758788772.5491991</v>
      </c>
      <c r="BI47">
        <f t="shared" si="38"/>
        <v>1258272993.41908</v>
      </c>
      <c r="BJ47">
        <f t="shared" si="38"/>
        <v>6305813926.654686</v>
      </c>
      <c r="BK47">
        <f t="shared" si="38"/>
        <v>6450290870.5969229</v>
      </c>
      <c r="BL47">
        <f t="shared" si="38"/>
        <v>2209158128.9300971</v>
      </c>
      <c r="BN47" s="27" t="s">
        <v>447</v>
      </c>
      <c r="BO47" s="27">
        <f>'Weighted US Tariff'!Z120</f>
        <v>46.164871252000502</v>
      </c>
      <c r="BP47" s="27">
        <f>'Weighted US Tariff'!AA120</f>
        <v>39.0032743466708</v>
      </c>
      <c r="BQ47" s="27">
        <f>'Weighted US Tariff'!AB120</f>
        <v>37.947248008114997</v>
      </c>
      <c r="BR47" s="27">
        <f>'Weighted US Tariff'!AC120</f>
        <v>16.9527633503175</v>
      </c>
      <c r="BS47" s="27">
        <f>'Weighted US Tariff'!AD120</f>
        <v>33.977703006001001</v>
      </c>
      <c r="BT47" s="27">
        <f>'Weighted US Tariff'!AE120</f>
        <v>33.511394315509797</v>
      </c>
      <c r="BU47" s="27">
        <f>'Weighted US Tariff'!AF120</f>
        <v>38.514976870921501</v>
      </c>
      <c r="BV47" s="27">
        <f>'Weighted US Tariff'!AG120</f>
        <v>36.3148107669426</v>
      </c>
    </row>
    <row r="48" spans="4:74">
      <c r="E48" s="459"/>
      <c r="F48" s="101"/>
      <c r="G48" s="102"/>
      <c r="H48" s="102"/>
      <c r="I48" s="103"/>
      <c r="M48" s="42"/>
      <c r="P48" s="37"/>
      <c r="X48" s="27" t="s">
        <v>340</v>
      </c>
      <c r="Y48" s="27">
        <v>33710</v>
      </c>
      <c r="Z48" s="27">
        <v>16556</v>
      </c>
      <c r="AA48" s="27">
        <v>50266</v>
      </c>
      <c r="AD48" s="46" t="s">
        <v>340</v>
      </c>
      <c r="AE48" s="46">
        <v>34474</v>
      </c>
      <c r="AF48" s="46">
        <v>16558</v>
      </c>
      <c r="AG48" s="46">
        <v>51032</v>
      </c>
      <c r="AJ48" s="27" t="s">
        <v>340</v>
      </c>
      <c r="AK48" s="27">
        <v>35670.574000000001</v>
      </c>
      <c r="AL48" s="27">
        <v>14477.404</v>
      </c>
      <c r="AM48" s="27">
        <v>50147.978999999999</v>
      </c>
      <c r="AQ48" s="27" t="str">
        <f t="shared" si="1"/>
        <v>fmp</v>
      </c>
      <c r="AR48" s="46" t="s">
        <v>445</v>
      </c>
      <c r="AS48" s="46">
        <v>0</v>
      </c>
      <c r="AT48" s="46">
        <v>5363</v>
      </c>
      <c r="AU48" s="46">
        <v>3688</v>
      </c>
      <c r="AV48" s="46">
        <v>2598</v>
      </c>
      <c r="AW48" s="46">
        <v>2454</v>
      </c>
      <c r="AX48" s="46">
        <v>1314</v>
      </c>
      <c r="AY48" s="46">
        <v>1441</v>
      </c>
      <c r="AZ48" s="46">
        <v>4616</v>
      </c>
      <c r="BA48" s="46">
        <v>1114</v>
      </c>
      <c r="BB48" s="46">
        <v>22588</v>
      </c>
      <c r="BD48" t="s">
        <v>450</v>
      </c>
      <c r="BE48">
        <f t="shared" ref="BE48:BL48" si="39">IFERROR(INDEX($AS$10:$BB$75,MATCH($BD48,$AQ$10:$AQ$74,0),MATCH(BE$9,$AS$9:$BB$9,0))/INDEX($AS$80:$BB$145,MATCH($BD48,$AQ$80:$AQ$145,0),MATCH(BE$9,$AS$79:$BB$79,0)),0)*BE118</f>
        <v>68057085041.343742</v>
      </c>
      <c r="BF48">
        <f t="shared" si="39"/>
        <v>9033539666.2141285</v>
      </c>
      <c r="BG48">
        <f t="shared" si="39"/>
        <v>95429435214.52388</v>
      </c>
      <c r="BH48">
        <f t="shared" si="39"/>
        <v>4128826973.8953533</v>
      </c>
      <c r="BI48">
        <f t="shared" si="39"/>
        <v>11894273174.042091</v>
      </c>
      <c r="BJ48">
        <f t="shared" si="39"/>
        <v>29501170684.621387</v>
      </c>
      <c r="BK48">
        <f t="shared" si="39"/>
        <v>192193283949.51523</v>
      </c>
      <c r="BL48">
        <f t="shared" si="39"/>
        <v>45905479986.539093</v>
      </c>
      <c r="BN48" s="27" t="s">
        <v>450</v>
      </c>
      <c r="BO48" s="27">
        <f>'Weighted US Tariff'!Z121</f>
        <v>20.251318223404802</v>
      </c>
      <c r="BP48" s="27">
        <f>'Weighted US Tariff'!AA121</f>
        <v>9.4027954169206396</v>
      </c>
      <c r="BQ48" s="27">
        <f>'Weighted US Tariff'!AB121</f>
        <v>9.5508613051271904</v>
      </c>
      <c r="BR48" s="27">
        <f>'Weighted US Tariff'!AC121</f>
        <v>10.855498399535399</v>
      </c>
      <c r="BS48" s="27">
        <f>'Weighted US Tariff'!AD121</f>
        <v>12.683390547884001</v>
      </c>
      <c r="BT48" s="27">
        <f>'Weighted US Tariff'!AE121</f>
        <v>13.715932364155099</v>
      </c>
      <c r="BU48" s="27">
        <f>'Weighted US Tariff'!AF121</f>
        <v>13.742598705625801</v>
      </c>
      <c r="BV48" s="27">
        <f>'Weighted US Tariff'!AG121</f>
        <v>8.0966653340067793</v>
      </c>
    </row>
    <row r="49" spans="5:75">
      <c r="E49" s="104"/>
      <c r="F49" s="101"/>
      <c r="G49" s="101"/>
      <c r="H49" s="101"/>
      <c r="I49" s="101"/>
      <c r="J49" s="43"/>
      <c r="K49" s="44"/>
      <c r="L49" s="31"/>
      <c r="M49" s="42"/>
      <c r="P49" s="37"/>
      <c r="X49" s="27" t="s">
        <v>343</v>
      </c>
      <c r="Y49" s="27">
        <v>226</v>
      </c>
      <c r="Z49" s="27">
        <v>3.91</v>
      </c>
      <c r="AA49" s="27">
        <v>230</v>
      </c>
      <c r="AD49" s="46" t="s">
        <v>343</v>
      </c>
      <c r="AE49" s="46">
        <v>227</v>
      </c>
      <c r="AF49" s="46">
        <v>3.62</v>
      </c>
      <c r="AG49" s="46">
        <v>230</v>
      </c>
      <c r="AJ49" s="27" t="s">
        <v>343</v>
      </c>
      <c r="AK49" s="27">
        <v>209.56100000000001</v>
      </c>
      <c r="AL49" s="27">
        <v>2.5939999999999999</v>
      </c>
      <c r="AM49" s="27">
        <v>212.155</v>
      </c>
      <c r="AQ49" s="27" t="str">
        <f t="shared" si="1"/>
        <v>ele</v>
      </c>
      <c r="AR49" s="46" t="s">
        <v>448</v>
      </c>
      <c r="AS49" s="46">
        <v>0</v>
      </c>
      <c r="AT49" s="46">
        <v>84221</v>
      </c>
      <c r="AU49" s="46">
        <v>47430</v>
      </c>
      <c r="AV49" s="46">
        <v>9374</v>
      </c>
      <c r="AW49" s="46">
        <v>71682</v>
      </c>
      <c r="AX49" s="46">
        <v>34317</v>
      </c>
      <c r="AY49" s="46">
        <v>13359</v>
      </c>
      <c r="AZ49" s="46">
        <v>24945</v>
      </c>
      <c r="BA49" s="46">
        <v>5326</v>
      </c>
      <c r="BB49" s="46">
        <v>290654</v>
      </c>
      <c r="BD49" t="s">
        <v>453</v>
      </c>
      <c r="BE49">
        <f t="shared" ref="BE49:BL49" si="40">IFERROR(INDEX($AS$10:$BB$75,MATCH($BD49,$AQ$10:$AQ$74,0),MATCH(BE$9,$AS$9:$BB$9,0))/INDEX($AS$80:$BB$145,MATCH($BD49,$AQ$80:$AQ$145,0),MATCH(BE$9,$AS$79:$BB$79,0)),0)*BE119</f>
        <v>23557702544.906033</v>
      </c>
      <c r="BF49">
        <f t="shared" si="40"/>
        <v>10910742469.010862</v>
      </c>
      <c r="BG49">
        <f t="shared" si="40"/>
        <v>83453340552.756973</v>
      </c>
      <c r="BH49">
        <f t="shared" si="40"/>
        <v>2093660543.9084692</v>
      </c>
      <c r="BI49">
        <f t="shared" si="40"/>
        <v>7597533734.8578205</v>
      </c>
      <c r="BJ49">
        <f t="shared" si="40"/>
        <v>18402983520.349991</v>
      </c>
      <c r="BK49">
        <f t="shared" si="40"/>
        <v>24423132518.068794</v>
      </c>
      <c r="BL49">
        <f t="shared" si="40"/>
        <v>11138473510.019106</v>
      </c>
      <c r="BN49" s="27" t="s">
        <v>453</v>
      </c>
      <c r="BO49" s="27">
        <f>'Weighted US Tariff'!Z122</f>
        <v>28.929156917525098</v>
      </c>
      <c r="BP49" s="27">
        <f>'Weighted US Tariff'!AA122</f>
        <v>12.2341365508758</v>
      </c>
      <c r="BQ49" s="27">
        <f>'Weighted US Tariff'!AB122</f>
        <v>10.8371433136747</v>
      </c>
      <c r="BR49" s="27">
        <f>'Weighted US Tariff'!AC122</f>
        <v>16.022447437661601</v>
      </c>
      <c r="BS49" s="27">
        <f>'Weighted US Tariff'!AD122</f>
        <v>20.2778834940172</v>
      </c>
      <c r="BT49" s="27">
        <f>'Weighted US Tariff'!AE122</f>
        <v>19.557311432041502</v>
      </c>
      <c r="BU49" s="27">
        <f>'Weighted US Tariff'!AF122</f>
        <v>22.8320491939714</v>
      </c>
      <c r="BV49" s="27">
        <f>'Weighted US Tariff'!AG122</f>
        <v>20.538416813829699</v>
      </c>
    </row>
    <row r="50" spans="5:75">
      <c r="E50" s="459"/>
      <c r="F50" s="101"/>
      <c r="G50" s="105"/>
      <c r="H50" s="105"/>
      <c r="I50" s="105"/>
      <c r="X50" s="27" t="s">
        <v>346</v>
      </c>
      <c r="Y50" s="27">
        <v>389</v>
      </c>
      <c r="Z50" s="27">
        <v>0.123</v>
      </c>
      <c r="AA50" s="27">
        <v>389</v>
      </c>
      <c r="AD50" s="46" t="s">
        <v>346</v>
      </c>
      <c r="AE50" s="46">
        <v>389</v>
      </c>
      <c r="AF50" s="46">
        <v>0.1</v>
      </c>
      <c r="AG50" s="46">
        <v>389</v>
      </c>
      <c r="AJ50" s="27" t="s">
        <v>346</v>
      </c>
      <c r="AK50" s="27">
        <v>353.81799999999998</v>
      </c>
      <c r="AL50" s="27">
        <v>6.9000000000000006E-2</v>
      </c>
      <c r="AM50" s="27">
        <v>353.887</v>
      </c>
      <c r="AQ50" s="27" t="str">
        <f t="shared" si="1"/>
        <v>eeq</v>
      </c>
      <c r="AR50" s="46" t="s">
        <v>451</v>
      </c>
      <c r="AS50" s="46">
        <v>0</v>
      </c>
      <c r="AT50" s="46">
        <v>21668</v>
      </c>
      <c r="AU50" s="46">
        <v>9087</v>
      </c>
      <c r="AV50" s="46">
        <v>6596</v>
      </c>
      <c r="AW50" s="46">
        <v>53582</v>
      </c>
      <c r="AX50" s="46">
        <v>5673</v>
      </c>
      <c r="AY50" s="46">
        <v>6945</v>
      </c>
      <c r="AZ50" s="46">
        <v>11668</v>
      </c>
      <c r="BA50" s="46">
        <v>1670</v>
      </c>
      <c r="BB50" s="46">
        <v>116889</v>
      </c>
      <c r="BD50" t="s">
        <v>456</v>
      </c>
      <c r="BE50">
        <f t="shared" ref="BE50:BL50" si="41">IFERROR(INDEX($AS$10:$BB$75,MATCH($BD50,$AQ$10:$AQ$74,0),MATCH(BE$9,$AS$9:$BB$9,0))/INDEX($AS$80:$BB$145,MATCH($BD50,$AQ$80:$AQ$145,0),MATCH(BE$9,$AS$79:$BB$79,0)),0)*BE120</f>
        <v>15196272253.218321</v>
      </c>
      <c r="BF50">
        <f t="shared" si="41"/>
        <v>26039388052.437275</v>
      </c>
      <c r="BG50">
        <f t="shared" si="41"/>
        <v>37501413409.686752</v>
      </c>
      <c r="BH50">
        <f t="shared" si="41"/>
        <v>9443510440.8628654</v>
      </c>
      <c r="BI50">
        <f t="shared" si="41"/>
        <v>21052730531.183083</v>
      </c>
      <c r="BJ50">
        <f t="shared" si="41"/>
        <v>49854147779.615547</v>
      </c>
      <c r="BK50">
        <f t="shared" si="41"/>
        <v>19795356317.338772</v>
      </c>
      <c r="BL50">
        <f t="shared" si="41"/>
        <v>12224871678.884289</v>
      </c>
      <c r="BN50" s="27" t="s">
        <v>456</v>
      </c>
      <c r="BO50" s="27">
        <f>'Weighted US Tariff'!Z123</f>
        <v>26.444111758977801</v>
      </c>
      <c r="BP50" s="27">
        <f>'Weighted US Tariff'!AA123</f>
        <v>10.0265463039384</v>
      </c>
      <c r="BQ50" s="27">
        <f>'Weighted US Tariff'!AB123</f>
        <v>16.5004164254992</v>
      </c>
      <c r="BR50" s="27">
        <f>'Weighted US Tariff'!AC123</f>
        <v>12.7816159891096</v>
      </c>
      <c r="BS50" s="27">
        <f>'Weighted US Tariff'!AD123</f>
        <v>19.3868233763333</v>
      </c>
      <c r="BT50" s="27">
        <f>'Weighted US Tariff'!AE123</f>
        <v>18.721309665632901</v>
      </c>
      <c r="BU50" s="27">
        <f>'Weighted US Tariff'!AF123</f>
        <v>22.701646552261298</v>
      </c>
      <c r="BV50" s="27">
        <f>'Weighted US Tariff'!AG123</f>
        <v>20.6937979222728</v>
      </c>
    </row>
    <row r="51" spans="5:75">
      <c r="E51" s="459"/>
      <c r="F51" s="101"/>
      <c r="G51" s="105"/>
      <c r="H51" s="105"/>
      <c r="I51" s="105"/>
      <c r="X51" s="27" t="s">
        <v>349</v>
      </c>
      <c r="Y51" s="27">
        <v>7155</v>
      </c>
      <c r="Z51" s="27">
        <v>17.8</v>
      </c>
      <c r="AA51" s="27">
        <v>7173</v>
      </c>
      <c r="AD51" s="46" t="s">
        <v>349</v>
      </c>
      <c r="AE51" s="46">
        <v>7300</v>
      </c>
      <c r="AF51" s="46">
        <v>13.7</v>
      </c>
      <c r="AG51" s="46">
        <v>7314</v>
      </c>
      <c r="AJ51" s="27" t="s">
        <v>349</v>
      </c>
      <c r="AK51" s="27">
        <v>6721.0739999999996</v>
      </c>
      <c r="AL51" s="27">
        <v>11.124000000000001</v>
      </c>
      <c r="AM51" s="27">
        <v>6732.1980000000003</v>
      </c>
      <c r="AQ51" s="27" t="str">
        <f t="shared" si="1"/>
        <v>ome</v>
      </c>
      <c r="AR51" s="46" t="s">
        <v>454</v>
      </c>
      <c r="AS51" s="46">
        <v>0</v>
      </c>
      <c r="AT51" s="46">
        <v>14836</v>
      </c>
      <c r="AU51" s="46">
        <v>9857</v>
      </c>
      <c r="AV51" s="46">
        <v>20146</v>
      </c>
      <c r="AW51" s="46">
        <v>17750</v>
      </c>
      <c r="AX51" s="46">
        <v>6041</v>
      </c>
      <c r="AY51" s="46">
        <v>16055</v>
      </c>
      <c r="AZ51" s="46">
        <v>31981</v>
      </c>
      <c r="BA51" s="46">
        <v>5724</v>
      </c>
      <c r="BB51" s="46">
        <v>122389</v>
      </c>
      <c r="BD51" t="s">
        <v>459</v>
      </c>
      <c r="BE51">
        <f t="shared" ref="BE51:BL51" si="42">IFERROR(INDEX($AS$10:$BB$75,MATCH($BD51,$AQ$10:$AQ$74,0),MATCH(BE$9,$AS$9:$BB$9,0))/INDEX($AS$80:$BB$145,MATCH($BD51,$AQ$80:$AQ$145,0),MATCH(BE$9,$AS$79:$BB$79,0)),0)*BE121</f>
        <v>7093074209.6228361</v>
      </c>
      <c r="BF51">
        <f t="shared" si="42"/>
        <v>45223672600.350441</v>
      </c>
      <c r="BG51">
        <f t="shared" si="42"/>
        <v>115161485447.61792</v>
      </c>
      <c r="BH51">
        <f t="shared" si="42"/>
        <v>7766155870.047945</v>
      </c>
      <c r="BI51">
        <f t="shared" si="42"/>
        <v>36257672365.876991</v>
      </c>
      <c r="BJ51">
        <f t="shared" si="42"/>
        <v>42372643139.016434</v>
      </c>
      <c r="BK51">
        <f t="shared" si="42"/>
        <v>7127240457.3759871</v>
      </c>
      <c r="BL51">
        <f t="shared" si="42"/>
        <v>30114750651.816963</v>
      </c>
      <c r="BN51" s="27" t="s">
        <v>459</v>
      </c>
      <c r="BO51" s="27">
        <f>'Weighted US Tariff'!Z124</f>
        <v>34.390747081693902</v>
      </c>
      <c r="BP51" s="27">
        <f>'Weighted US Tariff'!AA124</f>
        <v>17.9628780142491</v>
      </c>
      <c r="BQ51" s="27">
        <f>'Weighted US Tariff'!AB124</f>
        <v>18.391115113114299</v>
      </c>
      <c r="BR51" s="27">
        <f>'Weighted US Tariff'!AC124</f>
        <v>23.507096380563102</v>
      </c>
      <c r="BS51" s="27">
        <f>'Weighted US Tariff'!AD124</f>
        <v>24.108957099543399</v>
      </c>
      <c r="BT51" s="27">
        <f>'Weighted US Tariff'!AE124</f>
        <v>23.972766535126102</v>
      </c>
      <c r="BU51" s="27">
        <f>'Weighted US Tariff'!AF124</f>
        <v>27.936524001579901</v>
      </c>
      <c r="BV51" s="27">
        <f>'Weighted US Tariff'!AG124</f>
        <v>25.012810895904501</v>
      </c>
    </row>
    <row r="52" spans="5:75">
      <c r="X52" s="27" t="s">
        <v>352</v>
      </c>
      <c r="Y52" s="27">
        <v>237</v>
      </c>
      <c r="Z52" s="27">
        <v>6574</v>
      </c>
      <c r="AA52" s="27">
        <v>6811</v>
      </c>
      <c r="AD52" s="46" t="s">
        <v>352</v>
      </c>
      <c r="AE52" s="46">
        <v>264</v>
      </c>
      <c r="AF52" s="46">
        <v>6791</v>
      </c>
      <c r="AG52" s="46">
        <v>7055</v>
      </c>
      <c r="AJ52" s="27" t="s">
        <v>352</v>
      </c>
      <c r="AK52" s="27">
        <v>501.19</v>
      </c>
      <c r="AL52" s="27">
        <v>7705.3459999999995</v>
      </c>
      <c r="AM52" s="27">
        <v>8206.5360000000001</v>
      </c>
      <c r="AQ52" s="27" t="str">
        <f t="shared" si="1"/>
        <v>mvh</v>
      </c>
      <c r="AR52" s="46" t="s">
        <v>457</v>
      </c>
      <c r="AS52" s="46">
        <v>0</v>
      </c>
      <c r="AT52" s="46">
        <v>8687</v>
      </c>
      <c r="AU52" s="46">
        <v>5329</v>
      </c>
      <c r="AV52" s="46">
        <v>50844</v>
      </c>
      <c r="AW52" s="46">
        <v>78466</v>
      </c>
      <c r="AX52" s="46">
        <v>14538</v>
      </c>
      <c r="AY52" s="46">
        <v>37339</v>
      </c>
      <c r="AZ52" s="46">
        <v>34463</v>
      </c>
      <c r="BA52" s="46">
        <v>6868</v>
      </c>
      <c r="BB52" s="46">
        <v>236532</v>
      </c>
      <c r="BD52" t="s">
        <v>462</v>
      </c>
      <c r="BE52">
        <f t="shared" ref="BE52:BL52" si="43">IFERROR(INDEX($AS$10:$BB$75,MATCH($BD52,$AQ$10:$AQ$74,0),MATCH(BE$9,$AS$9:$BB$9,0))/INDEX($AS$80:$BB$145,MATCH($BD52,$AQ$80:$AQ$145,0),MATCH(BE$9,$AS$79:$BB$79,0)),0)*BE122</f>
        <v>2199912883.8345203</v>
      </c>
      <c r="BF52">
        <f t="shared" si="43"/>
        <v>25495549398.652073</v>
      </c>
      <c r="BG52">
        <f t="shared" si="43"/>
        <v>4572975236.2054472</v>
      </c>
      <c r="BH52">
        <f t="shared" si="43"/>
        <v>5404230958.4743719</v>
      </c>
      <c r="BI52">
        <f t="shared" si="43"/>
        <v>3222102585.9750004</v>
      </c>
      <c r="BJ52">
        <f t="shared" si="43"/>
        <v>17427478618.490055</v>
      </c>
      <c r="BK52">
        <f t="shared" si="43"/>
        <v>5237373940.7128172</v>
      </c>
      <c r="BL52">
        <f t="shared" si="43"/>
        <v>1528507413.2067389</v>
      </c>
      <c r="BN52" s="27" t="s">
        <v>462</v>
      </c>
      <c r="BO52" s="27">
        <f>'Weighted US Tariff'!Z125</f>
        <v>20.242363472457299</v>
      </c>
      <c r="BP52" s="27">
        <f>'Weighted US Tariff'!AA125</f>
        <v>4.1145887806465797</v>
      </c>
      <c r="BQ52" s="27">
        <f>'Weighted US Tariff'!AB125</f>
        <v>8.1952238394807093</v>
      </c>
      <c r="BR52" s="27">
        <f>'Weighted US Tariff'!AC125</f>
        <v>11.8757059509756</v>
      </c>
      <c r="BS52" s="27">
        <f>'Weighted US Tariff'!AD125</f>
        <v>15.5652506995244</v>
      </c>
      <c r="BT52" s="27">
        <f>'Weighted US Tariff'!AE125</f>
        <v>16.259658828617301</v>
      </c>
      <c r="BU52" s="27">
        <f>'Weighted US Tariff'!AF125</f>
        <v>17.9002278595758</v>
      </c>
      <c r="BV52" s="27">
        <f>'Weighted US Tariff'!AG125</f>
        <v>18.597107461953801</v>
      </c>
    </row>
    <row r="53" spans="5:75">
      <c r="X53" s="27" t="s">
        <v>355</v>
      </c>
      <c r="Y53" s="27">
        <v>3488</v>
      </c>
      <c r="Z53" s="27">
        <v>22.3</v>
      </c>
      <c r="AA53" s="27">
        <v>3511</v>
      </c>
      <c r="AD53" s="46" t="s">
        <v>355</v>
      </c>
      <c r="AE53" s="46">
        <v>3556</v>
      </c>
      <c r="AF53" s="46">
        <v>22.3</v>
      </c>
      <c r="AG53" s="46">
        <v>3578</v>
      </c>
      <c r="AJ53" s="27" t="s">
        <v>355</v>
      </c>
      <c r="AK53" s="27">
        <v>3275.3809999999999</v>
      </c>
      <c r="AL53" s="27">
        <v>17.393000000000001</v>
      </c>
      <c r="AM53" s="27">
        <v>3292.7739999999999</v>
      </c>
      <c r="AQ53" s="27" t="str">
        <f t="shared" si="1"/>
        <v>otn</v>
      </c>
      <c r="AR53" s="46" t="s">
        <v>460</v>
      </c>
      <c r="AS53" s="46">
        <v>0</v>
      </c>
      <c r="AT53" s="46">
        <v>2787</v>
      </c>
      <c r="AU53" s="46">
        <v>4153</v>
      </c>
      <c r="AV53" s="46">
        <v>15014</v>
      </c>
      <c r="AW53" s="46">
        <v>2723</v>
      </c>
      <c r="AX53" s="46">
        <v>2146</v>
      </c>
      <c r="AY53" s="46">
        <v>4458</v>
      </c>
      <c r="AZ53" s="46">
        <v>15036</v>
      </c>
      <c r="BA53" s="46">
        <v>5792</v>
      </c>
      <c r="BB53" s="46">
        <v>52108</v>
      </c>
      <c r="BD53" t="s">
        <v>465</v>
      </c>
      <c r="BE53">
        <f t="shared" ref="BE53:BL53" si="44">IFERROR(INDEX($AS$10:$BB$75,MATCH($BD53,$AQ$10:$AQ$74,0),MATCH(BE$9,$AS$9:$BB$9,0))/INDEX($AS$80:$BB$145,MATCH($BD53,$AQ$80:$AQ$145,0),MATCH(BE$9,$AS$79:$BB$79,0)),0)*BE123</f>
        <v>25074231944.422085</v>
      </c>
      <c r="BF53">
        <f t="shared" si="44"/>
        <v>2890028783.8374743</v>
      </c>
      <c r="BG53">
        <f t="shared" si="44"/>
        <v>12226396341.04323</v>
      </c>
      <c r="BH53">
        <f t="shared" si="44"/>
        <v>4752005186.0469313</v>
      </c>
      <c r="BI53">
        <f t="shared" si="44"/>
        <v>2627926968.3364697</v>
      </c>
      <c r="BJ53">
        <f t="shared" si="44"/>
        <v>27904171325.182266</v>
      </c>
      <c r="BK53">
        <f t="shared" si="44"/>
        <v>50871067337.786179</v>
      </c>
      <c r="BL53">
        <f t="shared" si="44"/>
        <v>20229036546.041771</v>
      </c>
      <c r="BN53" s="27" t="s">
        <v>465</v>
      </c>
      <c r="BO53" s="27">
        <f>'Weighted US Tariff'!Z126</f>
        <v>25.946844426753199</v>
      </c>
      <c r="BP53" s="27">
        <f>'Weighted US Tariff'!AA126</f>
        <v>34.093900913230499</v>
      </c>
      <c r="BQ53" s="27">
        <f>'Weighted US Tariff'!AB126</f>
        <v>23.943862170166302</v>
      </c>
      <c r="BR53" s="27">
        <f>'Weighted US Tariff'!AC126</f>
        <v>9.7590054264703596</v>
      </c>
      <c r="BS53" s="27">
        <f>'Weighted US Tariff'!AD126</f>
        <v>15.6432098492965</v>
      </c>
      <c r="BT53" s="27">
        <f>'Weighted US Tariff'!AE126</f>
        <v>15.7775595639953</v>
      </c>
      <c r="BU53" s="27">
        <f>'Weighted US Tariff'!AF126</f>
        <v>17.428308735175701</v>
      </c>
      <c r="BV53" s="27">
        <f>'Weighted US Tariff'!AG126</f>
        <v>13.9305290318039</v>
      </c>
    </row>
    <row r="54" spans="5:75">
      <c r="X54" s="27" t="s">
        <v>358</v>
      </c>
      <c r="Y54" s="27">
        <v>10813</v>
      </c>
      <c r="Z54" s="27">
        <v>609</v>
      </c>
      <c r="AA54" s="27">
        <v>11423</v>
      </c>
      <c r="AD54" s="46" t="s">
        <v>358</v>
      </c>
      <c r="AE54" s="46">
        <v>11040</v>
      </c>
      <c r="AF54" s="46">
        <v>609</v>
      </c>
      <c r="AG54" s="46">
        <v>11648</v>
      </c>
      <c r="AJ54" s="27" t="s">
        <v>358</v>
      </c>
      <c r="AK54" s="27">
        <v>10189.646000000001</v>
      </c>
      <c r="AL54" s="27">
        <v>534.29999999999995</v>
      </c>
      <c r="AM54" s="27">
        <v>10723.946</v>
      </c>
      <c r="AQ54" s="27" t="str">
        <f t="shared" si="1"/>
        <v>omf</v>
      </c>
      <c r="AR54" s="46" t="s">
        <v>463</v>
      </c>
      <c r="AS54" s="46">
        <v>0</v>
      </c>
      <c r="AT54" s="46">
        <v>28529</v>
      </c>
      <c r="AU54" s="46">
        <v>25009</v>
      </c>
      <c r="AV54" s="46">
        <v>1912</v>
      </c>
      <c r="AW54" s="46">
        <v>8351</v>
      </c>
      <c r="AX54" s="46">
        <v>14300</v>
      </c>
      <c r="AY54" s="46">
        <v>2166</v>
      </c>
      <c r="AZ54" s="46">
        <v>20323</v>
      </c>
      <c r="BA54" s="46">
        <v>6225</v>
      </c>
      <c r="BB54" s="46">
        <v>106815</v>
      </c>
      <c r="BD54" t="s">
        <v>468</v>
      </c>
      <c r="BE54">
        <f t="shared" ref="BE54:BL54" si="45">IFERROR(INDEX($AS$10:$BB$75,MATCH($BD54,$AQ$10:$AQ$74,0),MATCH(BE$9,$AS$9:$BB$9,0))/INDEX($AS$80:$BB$145,MATCH($BD54,$AQ$80:$AQ$145,0),MATCH(BE$9,$AS$79:$BB$79,0)),0)*BE124</f>
        <v>0</v>
      </c>
      <c r="BF54">
        <f t="shared" si="45"/>
        <v>2437090598.6093116</v>
      </c>
      <c r="BG54">
        <f t="shared" si="45"/>
        <v>0</v>
      </c>
      <c r="BH54">
        <f t="shared" si="45"/>
        <v>0</v>
      </c>
      <c r="BI54">
        <f t="shared" si="45"/>
        <v>0</v>
      </c>
      <c r="BJ54">
        <f t="shared" si="45"/>
        <v>0</v>
      </c>
      <c r="BK54">
        <f t="shared" si="45"/>
        <v>0</v>
      </c>
      <c r="BL54">
        <f t="shared" si="45"/>
        <v>0</v>
      </c>
      <c r="BN54" s="27" t="s">
        <v>468</v>
      </c>
      <c r="BO54" s="27">
        <f>'Weighted US Tariff'!Z127</f>
        <v>0</v>
      </c>
      <c r="BP54" s="27">
        <f>'Weighted US Tariff'!AA127</f>
        <v>0</v>
      </c>
      <c r="BQ54" s="27">
        <f>'Weighted US Tariff'!AB127</f>
        <v>0</v>
      </c>
      <c r="BR54" s="27">
        <f>'Weighted US Tariff'!AC127</f>
        <v>0</v>
      </c>
      <c r="BS54" s="27">
        <f>'Weighted US Tariff'!AD127</f>
        <v>0</v>
      </c>
      <c r="BT54" s="27">
        <f>'Weighted US Tariff'!AE127</f>
        <v>0</v>
      </c>
      <c r="BU54" s="27">
        <f>'Weighted US Tariff'!AF127</f>
        <v>0</v>
      </c>
      <c r="BV54" s="27">
        <f>'Weighted US Tariff'!AG127</f>
        <v>0</v>
      </c>
    </row>
    <row r="55" spans="5:75">
      <c r="X55" s="27" t="s">
        <v>361</v>
      </c>
      <c r="Y55" s="27">
        <v>2575</v>
      </c>
      <c r="Z55" s="27">
        <v>3.3</v>
      </c>
      <c r="AA55" s="27">
        <v>2578</v>
      </c>
      <c r="AD55" s="46" t="s">
        <v>361</v>
      </c>
      <c r="AE55" s="46">
        <v>2627</v>
      </c>
      <c r="AF55" s="46">
        <v>3.5</v>
      </c>
      <c r="AG55" s="46">
        <v>2630</v>
      </c>
      <c r="AJ55" s="27" t="s">
        <v>361</v>
      </c>
      <c r="AK55" s="27">
        <v>2420.15</v>
      </c>
      <c r="AL55" s="27">
        <v>1.54</v>
      </c>
      <c r="AM55" s="27">
        <v>2421.69</v>
      </c>
      <c r="AQ55" s="27" t="str">
        <f t="shared" si="1"/>
        <v>ely</v>
      </c>
      <c r="AR55" s="46" t="s">
        <v>466</v>
      </c>
      <c r="AS55" s="46">
        <v>0</v>
      </c>
      <c r="AT55" s="46">
        <v>9.1199999999999992</v>
      </c>
      <c r="AU55" s="46">
        <v>71.2</v>
      </c>
      <c r="AV55" s="46">
        <v>4961</v>
      </c>
      <c r="AW55" s="46">
        <v>14.5</v>
      </c>
      <c r="AX55" s="46">
        <v>13.6</v>
      </c>
      <c r="AY55" s="46">
        <v>2E-3</v>
      </c>
      <c r="AZ55" s="46">
        <v>51.2</v>
      </c>
      <c r="BA55" s="46">
        <v>4.5599999999999996</v>
      </c>
      <c r="BB55" s="46">
        <v>5125</v>
      </c>
      <c r="BE55" s="27">
        <f>SUM(BE10:BE54)</f>
        <v>220814613437.97833</v>
      </c>
      <c r="BF55" s="27">
        <f t="shared" ref="BF55:BL55" si="46">SUM(BF10:BF54)</f>
        <v>406185566549.19641</v>
      </c>
      <c r="BG55" s="27">
        <f t="shared" si="46"/>
        <v>481733746981.13019</v>
      </c>
      <c r="BH55" s="27">
        <f t="shared" si="46"/>
        <v>58131776095.326111</v>
      </c>
      <c r="BI55" s="27">
        <f t="shared" si="46"/>
        <v>105849614290.97586</v>
      </c>
      <c r="BJ55" s="27">
        <f t="shared" si="46"/>
        <v>453104674972.62616</v>
      </c>
      <c r="BK55" s="27">
        <f t="shared" si="46"/>
        <v>587692022775.89746</v>
      </c>
      <c r="BL55" s="27">
        <f t="shared" si="46"/>
        <v>257655365133.79553</v>
      </c>
      <c r="BM55" s="27">
        <f>SUM(BE55:BL55)</f>
        <v>2571167380236.9263</v>
      </c>
      <c r="BO55" s="27">
        <f>SUMPRODUCT(BO10:BO54,BE10:BE54)/SUM(BE10:BE54)</f>
        <v>22.841068186587833</v>
      </c>
      <c r="BP55" s="27">
        <f t="shared" ref="BP55:BV55" si="47">SUMPRODUCT(BP10:BP54,BF10:BF54)/SUM(BF10:BF54)</f>
        <v>5.3394168281819185</v>
      </c>
      <c r="BQ55" s="27">
        <f t="shared" si="47"/>
        <v>11.182551320381521</v>
      </c>
      <c r="BR55" s="27">
        <f t="shared" si="47"/>
        <v>10.598071373381275</v>
      </c>
      <c r="BS55" s="27">
        <f t="shared" si="47"/>
        <v>17.993904800397182</v>
      </c>
      <c r="BT55" s="27">
        <f t="shared" si="47"/>
        <v>10.918252682086932</v>
      </c>
      <c r="BU55" s="27">
        <f t="shared" si="47"/>
        <v>13.136600146490675</v>
      </c>
      <c r="BV55" s="27">
        <f t="shared" si="47"/>
        <v>11.281369359294391</v>
      </c>
      <c r="BW55" s="27">
        <f>SUMPRODUCT(BO55:BV55,BE55:BL55)/SUM(BE55:BL55)</f>
        <v>11.937874079073296</v>
      </c>
    </row>
    <row r="56" spans="5:75">
      <c r="E56" s="41"/>
      <c r="M56" s="42"/>
      <c r="P56" s="37"/>
      <c r="X56" s="27" t="s">
        <v>364</v>
      </c>
      <c r="Y56" s="27">
        <v>494</v>
      </c>
      <c r="Z56" s="27">
        <v>5.49</v>
      </c>
      <c r="AA56" s="27">
        <v>499</v>
      </c>
      <c r="AD56" s="46" t="s">
        <v>364</v>
      </c>
      <c r="AE56" s="46">
        <v>509</v>
      </c>
      <c r="AF56" s="46">
        <v>4.8099999999999996</v>
      </c>
      <c r="AG56" s="46">
        <v>513</v>
      </c>
      <c r="AJ56" s="27" t="s">
        <v>364</v>
      </c>
      <c r="AK56" s="27">
        <v>479.416</v>
      </c>
      <c r="AL56" s="27">
        <v>3.7570000000000001</v>
      </c>
      <c r="AM56" s="27">
        <v>483.173</v>
      </c>
      <c r="AQ56" s="27" t="str">
        <f t="shared" si="1"/>
        <v>gdt</v>
      </c>
      <c r="AR56" s="46" t="s">
        <v>469</v>
      </c>
      <c r="AS56" s="46">
        <v>0</v>
      </c>
      <c r="AT56" s="46">
        <v>4.6100000000000003</v>
      </c>
      <c r="AU56" s="46">
        <v>127</v>
      </c>
      <c r="AV56" s="46">
        <v>3.18</v>
      </c>
      <c r="AW56" s="46">
        <v>1.2E-2</v>
      </c>
      <c r="AX56" s="46">
        <v>6.78</v>
      </c>
      <c r="AY56" s="46">
        <v>1E-3</v>
      </c>
      <c r="AZ56" s="46">
        <v>10.1</v>
      </c>
      <c r="BA56" s="46">
        <v>4.47</v>
      </c>
      <c r="BB56" s="46">
        <v>157</v>
      </c>
      <c r="BE56" s="27">
        <f>BE55/SUM($BE55:$BL55)</f>
        <v>8.5881072984688708E-2</v>
      </c>
      <c r="BF56" s="27">
        <f t="shared" ref="BF56" si="48">BF55/SUM($BE55:$BL55)</f>
        <v>0.15797710007964066</v>
      </c>
      <c r="BG56" s="27">
        <f t="shared" ref="BG56" si="49">BG55/SUM($BE55:$BL55)</f>
        <v>0.18735993256757158</v>
      </c>
      <c r="BH56" s="27">
        <f t="shared" ref="BH56" si="50">BH55/SUM($BE55:$BL55)</f>
        <v>2.2609098319367065E-2</v>
      </c>
      <c r="BI56" s="27">
        <f t="shared" ref="BI56" si="51">BI55/SUM($BE55:$BL55)</f>
        <v>4.1167920495795221E-2</v>
      </c>
      <c r="BJ56" s="27">
        <f t="shared" ref="BJ56" si="52">BJ55/SUM($BE55:$BL55)</f>
        <v>0.17622527356848847</v>
      </c>
      <c r="BK56" s="27">
        <f t="shared" ref="BK56" si="53">BK55/SUM($BE55:$BL55)</f>
        <v>0.22857011460753021</v>
      </c>
      <c r="BL56" s="27">
        <f t="shared" ref="BL56:BM56" si="54">BL55/SUM($BE55:$BL55)</f>
        <v>0.10020948737691798</v>
      </c>
      <c r="BM56" s="27">
        <f t="shared" si="54"/>
        <v>1</v>
      </c>
      <c r="BO56" s="27">
        <f>SUMPRODUCT(BR55:BV55,BH55:BL55)/SUM(BH55:BL55)</f>
        <v>12.373092492612763</v>
      </c>
    </row>
    <row r="57" spans="5:75">
      <c r="E57" s="47"/>
      <c r="J57" s="43"/>
      <c r="K57" s="44"/>
      <c r="L57" s="31"/>
      <c r="M57" s="42"/>
      <c r="P57" s="37"/>
      <c r="X57" s="27" t="s">
        <v>367</v>
      </c>
      <c r="Y57" s="27">
        <v>545</v>
      </c>
      <c r="Z57" s="27">
        <v>47.7</v>
      </c>
      <c r="AA57" s="27">
        <v>593</v>
      </c>
      <c r="AD57" s="46" t="s">
        <v>367</v>
      </c>
      <c r="AE57" s="46">
        <v>561</v>
      </c>
      <c r="AF57" s="46">
        <v>43.9</v>
      </c>
      <c r="AG57" s="46">
        <v>605</v>
      </c>
      <c r="AJ57" s="27" t="s">
        <v>367</v>
      </c>
      <c r="AK57" s="27">
        <v>524.88900000000001</v>
      </c>
      <c r="AL57" s="27">
        <v>32.011000000000003</v>
      </c>
      <c r="AM57" s="27">
        <v>556.9</v>
      </c>
      <c r="AQ57" s="27" t="str">
        <f t="shared" si="1"/>
        <v>wtr</v>
      </c>
      <c r="AR57" s="46" t="s">
        <v>472</v>
      </c>
      <c r="AS57" s="46">
        <v>0</v>
      </c>
      <c r="AT57" s="46">
        <v>1.74</v>
      </c>
      <c r="AU57" s="46">
        <v>33.5</v>
      </c>
      <c r="AV57" s="46">
        <v>1.57</v>
      </c>
      <c r="AW57" s="46">
        <v>2.84</v>
      </c>
      <c r="AX57" s="46">
        <v>7.54</v>
      </c>
      <c r="AY57" s="46">
        <v>0.82699999999999996</v>
      </c>
      <c r="AZ57" s="46">
        <v>15.7</v>
      </c>
      <c r="BA57" s="46">
        <v>6.58</v>
      </c>
      <c r="BB57" s="46">
        <v>70.400000000000006</v>
      </c>
    </row>
    <row r="58" spans="5:75">
      <c r="X58" s="27" t="s">
        <v>370</v>
      </c>
      <c r="Y58" s="27">
        <v>3418</v>
      </c>
      <c r="Z58" s="27">
        <v>1021</v>
      </c>
      <c r="AA58" s="27">
        <v>4439</v>
      </c>
      <c r="AD58" s="46" t="s">
        <v>370</v>
      </c>
      <c r="AE58" s="46">
        <v>3506</v>
      </c>
      <c r="AF58" s="46">
        <v>1034</v>
      </c>
      <c r="AG58" s="46">
        <v>4540</v>
      </c>
      <c r="AJ58" s="27" t="s">
        <v>370</v>
      </c>
      <c r="AK58" s="27">
        <v>3280.248</v>
      </c>
      <c r="AL58" s="27">
        <v>932.64200000000005</v>
      </c>
      <c r="AM58" s="27">
        <v>4212.8890000000001</v>
      </c>
      <c r="AQ58" s="27" t="str">
        <f t="shared" si="1"/>
        <v>cns</v>
      </c>
      <c r="AR58" s="46" t="s">
        <v>475</v>
      </c>
      <c r="AS58" s="46">
        <v>0</v>
      </c>
      <c r="AT58" s="46">
        <v>182</v>
      </c>
      <c r="AU58" s="46">
        <v>1355</v>
      </c>
      <c r="AV58" s="46">
        <v>365</v>
      </c>
      <c r="AW58" s="46">
        <v>39.200000000000003</v>
      </c>
      <c r="AX58" s="46">
        <v>348</v>
      </c>
      <c r="AY58" s="46">
        <v>230</v>
      </c>
      <c r="AZ58" s="46">
        <v>635</v>
      </c>
      <c r="BA58" s="46">
        <v>226</v>
      </c>
      <c r="BB58" s="46">
        <v>3380</v>
      </c>
    </row>
    <row r="59" spans="5:75">
      <c r="X59" s="27" t="s">
        <v>373</v>
      </c>
      <c r="Y59" s="27">
        <v>16</v>
      </c>
      <c r="Z59" s="27">
        <v>0.14199999999999999</v>
      </c>
      <c r="AA59" s="27">
        <v>16.2</v>
      </c>
      <c r="AD59" s="46" t="s">
        <v>373</v>
      </c>
      <c r="AE59" s="46">
        <v>16.399999999999999</v>
      </c>
      <c r="AF59" s="46">
        <v>0.14599999999999999</v>
      </c>
      <c r="AG59" s="46">
        <v>16.5</v>
      </c>
      <c r="AJ59" s="27" t="s">
        <v>373</v>
      </c>
      <c r="AK59" s="27">
        <v>15.064</v>
      </c>
      <c r="AL59" s="27">
        <v>6.7000000000000004E-2</v>
      </c>
      <c r="AM59" s="27">
        <v>15.131</v>
      </c>
      <c r="AQ59" s="27" t="str">
        <f t="shared" si="1"/>
        <v>trd</v>
      </c>
      <c r="AR59" s="46" t="s">
        <v>477</v>
      </c>
      <c r="AS59" s="46">
        <v>0</v>
      </c>
      <c r="AT59" s="46">
        <v>11228</v>
      </c>
      <c r="AU59" s="46">
        <v>4560</v>
      </c>
      <c r="AV59" s="46">
        <v>1658</v>
      </c>
      <c r="AW59" s="46">
        <v>334</v>
      </c>
      <c r="AX59" s="46">
        <v>1851</v>
      </c>
      <c r="AY59" s="46">
        <v>346</v>
      </c>
      <c r="AZ59" s="46">
        <v>4165</v>
      </c>
      <c r="BA59" s="46">
        <v>1443</v>
      </c>
      <c r="BB59" s="46">
        <v>25584</v>
      </c>
    </row>
    <row r="60" spans="5:75">
      <c r="X60" s="27" t="s">
        <v>376</v>
      </c>
      <c r="Y60" s="27">
        <v>4.3999999999999997E-2</v>
      </c>
      <c r="Z60" s="27">
        <v>0.06</v>
      </c>
      <c r="AA60" s="27">
        <v>0.104</v>
      </c>
      <c r="AD60" s="46" t="s">
        <v>376</v>
      </c>
      <c r="AE60" s="46">
        <v>4.4999999999999998E-2</v>
      </c>
      <c r="AF60" s="46">
        <v>6.0999999999999999E-2</v>
      </c>
      <c r="AG60" s="46">
        <v>0.106</v>
      </c>
      <c r="AJ60" s="27" t="s">
        <v>376</v>
      </c>
      <c r="AK60" s="27">
        <v>5.3999999999999999E-2</v>
      </c>
      <c r="AL60" s="27">
        <v>4.4999999999999998E-2</v>
      </c>
      <c r="AM60" s="27">
        <v>9.9000000000000005E-2</v>
      </c>
      <c r="AQ60" s="27" t="str">
        <f t="shared" si="1"/>
        <v>afs</v>
      </c>
      <c r="AR60" s="46" t="s">
        <v>480</v>
      </c>
      <c r="AS60" s="46">
        <v>0</v>
      </c>
      <c r="AT60" s="46">
        <v>3790</v>
      </c>
      <c r="AU60" s="46">
        <v>34307</v>
      </c>
      <c r="AV60" s="46">
        <v>6944</v>
      </c>
      <c r="AW60" s="46">
        <v>14306</v>
      </c>
      <c r="AX60" s="46">
        <v>13247</v>
      </c>
      <c r="AY60" s="46">
        <v>2326</v>
      </c>
      <c r="AZ60" s="46">
        <v>21223</v>
      </c>
      <c r="BA60" s="46">
        <v>4226</v>
      </c>
      <c r="BB60" s="46">
        <v>100370</v>
      </c>
    </row>
    <row r="61" spans="5:75">
      <c r="X61" s="27" t="s">
        <v>379</v>
      </c>
      <c r="Y61" s="27">
        <v>9.92</v>
      </c>
      <c r="Z61" s="27">
        <v>51.3</v>
      </c>
      <c r="AA61" s="27">
        <v>61.2</v>
      </c>
      <c r="AD61" s="46" t="s">
        <v>379</v>
      </c>
      <c r="AE61" s="46">
        <v>10</v>
      </c>
      <c r="AF61" s="46">
        <v>52.4</v>
      </c>
      <c r="AG61" s="46">
        <v>62.4</v>
      </c>
      <c r="AJ61" s="27" t="s">
        <v>379</v>
      </c>
      <c r="AK61" s="27">
        <v>46.807000000000002</v>
      </c>
      <c r="AL61" s="27">
        <v>11.182</v>
      </c>
      <c r="AM61" s="27">
        <v>57.988999999999997</v>
      </c>
      <c r="AQ61" s="27" t="str">
        <f t="shared" si="1"/>
        <v>otp</v>
      </c>
      <c r="AR61" s="46" t="s">
        <v>483</v>
      </c>
      <c r="AS61" s="46">
        <v>0</v>
      </c>
      <c r="AT61" s="46">
        <v>255</v>
      </c>
      <c r="AU61" s="46">
        <v>2315</v>
      </c>
      <c r="AV61" s="46">
        <v>256</v>
      </c>
      <c r="AW61" s="46">
        <v>644</v>
      </c>
      <c r="AX61" s="46">
        <v>615</v>
      </c>
      <c r="AY61" s="46">
        <v>38.299999999999997</v>
      </c>
      <c r="AZ61" s="46">
        <v>1280</v>
      </c>
      <c r="BA61" s="46">
        <v>152</v>
      </c>
      <c r="BB61" s="46">
        <v>5555</v>
      </c>
    </row>
    <row r="62" spans="5:75">
      <c r="X62" s="27" t="s">
        <v>382</v>
      </c>
      <c r="Y62" s="27">
        <v>228</v>
      </c>
      <c r="Z62" s="27">
        <v>32.1</v>
      </c>
      <c r="AA62" s="27">
        <v>260</v>
      </c>
      <c r="AD62" s="46" t="s">
        <v>382</v>
      </c>
      <c r="AE62" s="46">
        <v>233</v>
      </c>
      <c r="AF62" s="46">
        <v>32.9</v>
      </c>
      <c r="AG62" s="46">
        <v>266</v>
      </c>
      <c r="AJ62" s="27" t="s">
        <v>382</v>
      </c>
      <c r="AK62" s="27">
        <v>213.846</v>
      </c>
      <c r="AL62" s="27">
        <v>30.867999999999999</v>
      </c>
      <c r="AM62" s="27">
        <v>244.714</v>
      </c>
      <c r="AQ62" s="27" t="str">
        <f t="shared" si="1"/>
        <v>wtp</v>
      </c>
      <c r="AR62" s="46" t="s">
        <v>486</v>
      </c>
      <c r="AS62" s="46">
        <v>0</v>
      </c>
      <c r="AT62" s="46">
        <v>417</v>
      </c>
      <c r="AU62" s="46">
        <v>1866</v>
      </c>
      <c r="AV62" s="46">
        <v>226</v>
      </c>
      <c r="AW62" s="46">
        <v>20.3</v>
      </c>
      <c r="AX62" s="46">
        <v>678</v>
      </c>
      <c r="AY62" s="46">
        <v>36.200000000000003</v>
      </c>
      <c r="AZ62" s="46">
        <v>153</v>
      </c>
      <c r="BA62" s="46">
        <v>56.8</v>
      </c>
      <c r="BB62" s="46">
        <v>3453</v>
      </c>
    </row>
    <row r="63" spans="5:75">
      <c r="X63" s="27" t="s">
        <v>385</v>
      </c>
      <c r="Y63" s="27">
        <v>69343</v>
      </c>
      <c r="Z63" s="27">
        <v>3652</v>
      </c>
      <c r="AA63" s="27">
        <v>72995</v>
      </c>
      <c r="AD63" s="46" t="s">
        <v>385</v>
      </c>
      <c r="AE63" s="46">
        <v>70756</v>
      </c>
      <c r="AF63" s="46">
        <v>3689</v>
      </c>
      <c r="AG63" s="46">
        <v>74446</v>
      </c>
      <c r="AJ63" s="27" t="s">
        <v>385</v>
      </c>
      <c r="AK63" s="27">
        <v>66702.218999999997</v>
      </c>
      <c r="AL63" s="27">
        <v>1930.365</v>
      </c>
      <c r="AM63" s="27">
        <v>68632.584000000003</v>
      </c>
      <c r="AQ63" s="27" t="str">
        <f t="shared" si="1"/>
        <v>atp</v>
      </c>
      <c r="AR63" s="46" t="s">
        <v>489</v>
      </c>
      <c r="AS63" s="46">
        <v>0</v>
      </c>
      <c r="AT63" s="46">
        <v>5422</v>
      </c>
      <c r="AU63" s="46">
        <v>10770</v>
      </c>
      <c r="AV63" s="46">
        <v>4575</v>
      </c>
      <c r="AW63" s="46">
        <v>2880</v>
      </c>
      <c r="AX63" s="46">
        <v>6206</v>
      </c>
      <c r="AY63" s="46">
        <v>1484</v>
      </c>
      <c r="AZ63" s="46">
        <v>11948</v>
      </c>
      <c r="BA63" s="46">
        <v>5063</v>
      </c>
      <c r="BB63" s="46">
        <v>48346</v>
      </c>
    </row>
    <row r="64" spans="5:75">
      <c r="E64" s="47"/>
      <c r="M64" s="42"/>
      <c r="P64" s="37"/>
      <c r="X64" s="27" t="s">
        <v>388</v>
      </c>
      <c r="Y64" s="27">
        <v>56714</v>
      </c>
      <c r="Z64" s="27">
        <v>1574</v>
      </c>
      <c r="AA64" s="27">
        <v>58288</v>
      </c>
      <c r="AD64" s="46" t="s">
        <v>388</v>
      </c>
      <c r="AE64" s="46">
        <v>57961</v>
      </c>
      <c r="AF64" s="46">
        <v>1494</v>
      </c>
      <c r="AG64" s="46">
        <v>59455</v>
      </c>
      <c r="AJ64" s="27" t="s">
        <v>388</v>
      </c>
      <c r="AK64" s="27">
        <v>53923.48</v>
      </c>
      <c r="AL64" s="27">
        <v>815.69200000000001</v>
      </c>
      <c r="AM64" s="27">
        <v>54739.173000000003</v>
      </c>
      <c r="AQ64" s="27" t="str">
        <f t="shared" si="1"/>
        <v>whs</v>
      </c>
      <c r="AR64" s="46" t="s">
        <v>492</v>
      </c>
      <c r="AS64" s="46">
        <v>0</v>
      </c>
      <c r="AT64" s="46">
        <v>445</v>
      </c>
      <c r="AU64" s="46">
        <v>1461</v>
      </c>
      <c r="AV64" s="46">
        <v>482</v>
      </c>
      <c r="AW64" s="46">
        <v>194</v>
      </c>
      <c r="AX64" s="46">
        <v>486</v>
      </c>
      <c r="AY64" s="46">
        <v>117</v>
      </c>
      <c r="AZ64" s="46">
        <v>787</v>
      </c>
      <c r="BA64" s="46">
        <v>500</v>
      </c>
      <c r="BB64" s="46">
        <v>4472</v>
      </c>
    </row>
    <row r="65" spans="5:74">
      <c r="E65" s="47"/>
      <c r="J65" s="43"/>
      <c r="K65" s="44"/>
      <c r="L65" s="31"/>
      <c r="M65" s="42"/>
      <c r="P65" s="37"/>
      <c r="X65" s="27" t="s">
        <v>391</v>
      </c>
      <c r="Y65" s="27">
        <v>8265</v>
      </c>
      <c r="Z65" s="27">
        <v>1530</v>
      </c>
      <c r="AA65" s="27">
        <v>9794</v>
      </c>
      <c r="AD65" s="46" t="s">
        <v>391</v>
      </c>
      <c r="AE65" s="46">
        <v>8606</v>
      </c>
      <c r="AF65" s="46">
        <v>1397</v>
      </c>
      <c r="AG65" s="46">
        <v>10003</v>
      </c>
      <c r="AJ65" s="27" t="s">
        <v>391</v>
      </c>
      <c r="AK65" s="27">
        <v>8294.8960000000006</v>
      </c>
      <c r="AL65" s="27">
        <v>961.18899999999996</v>
      </c>
      <c r="AM65" s="27">
        <v>9256.0849999999991</v>
      </c>
      <c r="AQ65" s="27" t="str">
        <f t="shared" si="1"/>
        <v>cmn</v>
      </c>
      <c r="AR65" s="46" t="s">
        <v>495</v>
      </c>
      <c r="AS65" s="46">
        <v>0</v>
      </c>
      <c r="AT65" s="46">
        <v>3655</v>
      </c>
      <c r="AU65" s="46">
        <v>26921</v>
      </c>
      <c r="AV65" s="46">
        <v>7355</v>
      </c>
      <c r="AW65" s="46">
        <v>982</v>
      </c>
      <c r="AX65" s="46">
        <v>5511</v>
      </c>
      <c r="AY65" s="46">
        <v>1743</v>
      </c>
      <c r="AZ65" s="46">
        <v>19302</v>
      </c>
      <c r="BA65" s="46">
        <v>6003</v>
      </c>
      <c r="BB65" s="46">
        <v>71472</v>
      </c>
    </row>
    <row r="66" spans="5:74">
      <c r="X66" s="27" t="s">
        <v>394</v>
      </c>
      <c r="Y66" s="27">
        <v>68036</v>
      </c>
      <c r="Z66" s="27">
        <v>1532</v>
      </c>
      <c r="AA66" s="27">
        <v>69568</v>
      </c>
      <c r="AD66" s="46" t="s">
        <v>394</v>
      </c>
      <c r="AE66" s="46">
        <v>69814</v>
      </c>
      <c r="AF66" s="46">
        <v>1220</v>
      </c>
      <c r="AG66" s="46">
        <v>71034</v>
      </c>
      <c r="AJ66" s="27" t="s">
        <v>394</v>
      </c>
      <c r="AK66" s="27">
        <v>64675.733999999997</v>
      </c>
      <c r="AL66" s="27">
        <v>760.13599999999997</v>
      </c>
      <c r="AM66" s="27">
        <v>65435.87</v>
      </c>
      <c r="AQ66" s="27" t="str">
        <f t="shared" si="1"/>
        <v>ofi</v>
      </c>
      <c r="AR66" s="46" t="s">
        <v>498</v>
      </c>
      <c r="AS66" s="46">
        <v>0</v>
      </c>
      <c r="AT66" s="46">
        <v>3982</v>
      </c>
      <c r="AU66" s="46">
        <v>8937</v>
      </c>
      <c r="AV66" s="46">
        <v>4503</v>
      </c>
      <c r="AW66" s="46">
        <v>378</v>
      </c>
      <c r="AX66" s="46">
        <v>4030</v>
      </c>
      <c r="AY66" s="46">
        <v>2770</v>
      </c>
      <c r="AZ66" s="46">
        <v>8328</v>
      </c>
      <c r="BA66" s="46">
        <v>17128</v>
      </c>
      <c r="BB66" s="46">
        <v>50056</v>
      </c>
    </row>
    <row r="67" spans="5:74">
      <c r="X67" s="27" t="s">
        <v>397</v>
      </c>
      <c r="Y67" s="27">
        <v>1255</v>
      </c>
      <c r="Z67" s="27">
        <v>220</v>
      </c>
      <c r="AA67" s="27">
        <v>1474</v>
      </c>
      <c r="AD67" s="46" t="s">
        <v>397</v>
      </c>
      <c r="AE67" s="46">
        <v>1386</v>
      </c>
      <c r="AF67" s="46">
        <v>199</v>
      </c>
      <c r="AG67" s="46">
        <v>1585</v>
      </c>
      <c r="AJ67" s="27" t="s">
        <v>397</v>
      </c>
      <c r="AK67" s="27">
        <v>1436.8620000000001</v>
      </c>
      <c r="AL67" s="27">
        <v>209.79400000000001</v>
      </c>
      <c r="AM67" s="27">
        <v>1646.655</v>
      </c>
      <c r="AQ67" s="27" t="str">
        <f t="shared" si="1"/>
        <v>ins</v>
      </c>
      <c r="AR67" s="46" t="s">
        <v>501</v>
      </c>
      <c r="AS67" s="46">
        <v>0</v>
      </c>
      <c r="AT67" s="46">
        <v>533</v>
      </c>
      <c r="AU67" s="46">
        <v>28089</v>
      </c>
      <c r="AV67" s="46">
        <v>936</v>
      </c>
      <c r="AW67" s="46">
        <v>447</v>
      </c>
      <c r="AX67" s="46">
        <v>890</v>
      </c>
      <c r="AY67" s="46">
        <v>449</v>
      </c>
      <c r="AZ67" s="46">
        <v>9414</v>
      </c>
      <c r="BA67" s="46">
        <v>5773</v>
      </c>
      <c r="BB67" s="46">
        <v>46530</v>
      </c>
    </row>
    <row r="68" spans="5:74">
      <c r="X68" s="27" t="s">
        <v>400</v>
      </c>
      <c r="Y68" s="27">
        <v>22508</v>
      </c>
      <c r="Z68" s="27">
        <v>1280</v>
      </c>
      <c r="AA68" s="27">
        <v>23788</v>
      </c>
      <c r="AD68" s="46" t="s">
        <v>400</v>
      </c>
      <c r="AE68" s="46">
        <v>23093</v>
      </c>
      <c r="AF68" s="46">
        <v>1200</v>
      </c>
      <c r="AG68" s="46">
        <v>24293</v>
      </c>
      <c r="AJ68" s="27" t="s">
        <v>400</v>
      </c>
      <c r="AK68" s="27">
        <v>21583.173999999999</v>
      </c>
      <c r="AL68" s="27">
        <v>855.51499999999999</v>
      </c>
      <c r="AM68" s="27">
        <v>22438.688999999998</v>
      </c>
      <c r="AQ68" s="27" t="str">
        <f t="shared" si="1"/>
        <v>rsa</v>
      </c>
      <c r="AR68" s="46" t="s">
        <v>504</v>
      </c>
      <c r="AS68" s="46">
        <v>0</v>
      </c>
      <c r="AT68" s="46">
        <v>33.4</v>
      </c>
      <c r="AU68" s="46">
        <v>3584</v>
      </c>
      <c r="AV68" s="46">
        <v>213</v>
      </c>
      <c r="AW68" s="46">
        <v>123</v>
      </c>
      <c r="AX68" s="46">
        <v>465</v>
      </c>
      <c r="AY68" s="46">
        <v>279</v>
      </c>
      <c r="AZ68" s="46">
        <v>2390</v>
      </c>
      <c r="BA68" s="46">
        <v>122</v>
      </c>
      <c r="BB68" s="46">
        <v>7210</v>
      </c>
    </row>
    <row r="69" spans="5:74">
      <c r="X69" s="27" t="s">
        <v>403</v>
      </c>
      <c r="Y69" s="27">
        <v>241883</v>
      </c>
      <c r="Z69" s="27">
        <v>36747</v>
      </c>
      <c r="AA69" s="27">
        <v>278630</v>
      </c>
      <c r="AD69" s="46" t="s">
        <v>403</v>
      </c>
      <c r="AE69" s="46">
        <v>249078</v>
      </c>
      <c r="AF69" s="46">
        <v>35717</v>
      </c>
      <c r="AG69" s="46">
        <v>284795</v>
      </c>
      <c r="AJ69" s="27" t="s">
        <v>403</v>
      </c>
      <c r="AK69" s="27">
        <v>234961.21900000001</v>
      </c>
      <c r="AL69" s="27">
        <v>28716.92</v>
      </c>
      <c r="AM69" s="27">
        <v>263678.13900000002</v>
      </c>
      <c r="AQ69" s="27" t="str">
        <f t="shared" si="1"/>
        <v>obs</v>
      </c>
      <c r="AR69" s="46" t="s">
        <v>507</v>
      </c>
      <c r="AS69" s="46">
        <v>0</v>
      </c>
      <c r="AT69" s="46">
        <v>9946</v>
      </c>
      <c r="AU69" s="46">
        <v>37244</v>
      </c>
      <c r="AV69" s="46">
        <v>11747</v>
      </c>
      <c r="AW69" s="46">
        <v>2777</v>
      </c>
      <c r="AX69" s="46">
        <v>14532</v>
      </c>
      <c r="AY69" s="46">
        <v>6510</v>
      </c>
      <c r="AZ69" s="46">
        <v>41839</v>
      </c>
      <c r="BA69" s="46">
        <v>22352</v>
      </c>
      <c r="BB69" s="46">
        <v>146948</v>
      </c>
    </row>
    <row r="70" spans="5:74">
      <c r="X70" s="27" t="s">
        <v>406</v>
      </c>
      <c r="Y70" s="27">
        <v>168342</v>
      </c>
      <c r="Z70" s="27">
        <v>20373</v>
      </c>
      <c r="AA70" s="27">
        <v>188714</v>
      </c>
      <c r="AD70" s="46" t="s">
        <v>406</v>
      </c>
      <c r="AE70" s="46">
        <v>172574</v>
      </c>
      <c r="AF70" s="46">
        <v>20626</v>
      </c>
      <c r="AG70" s="46">
        <v>193200</v>
      </c>
      <c r="AJ70" s="27" t="s">
        <v>406</v>
      </c>
      <c r="AK70" s="27">
        <v>160009.95300000001</v>
      </c>
      <c r="AL70" s="27">
        <v>18723.664000000001</v>
      </c>
      <c r="AM70" s="27">
        <v>178733.617</v>
      </c>
      <c r="AQ70" s="27" t="str">
        <f t="shared" si="1"/>
        <v>ros</v>
      </c>
      <c r="AR70" s="46" t="s">
        <v>510</v>
      </c>
      <c r="AS70" s="46">
        <v>0</v>
      </c>
      <c r="AT70" s="46">
        <v>193</v>
      </c>
      <c r="AU70" s="46">
        <v>844</v>
      </c>
      <c r="AV70" s="46">
        <v>271</v>
      </c>
      <c r="AW70" s="46">
        <v>89.6</v>
      </c>
      <c r="AX70" s="46">
        <v>215</v>
      </c>
      <c r="AY70" s="46">
        <v>108</v>
      </c>
      <c r="AZ70" s="46">
        <v>577</v>
      </c>
      <c r="BA70" s="46">
        <v>157</v>
      </c>
      <c r="BB70" s="46">
        <v>2455</v>
      </c>
    </row>
    <row r="71" spans="5:74">
      <c r="X71" s="27" t="s">
        <v>409</v>
      </c>
      <c r="Y71" s="27">
        <v>12828</v>
      </c>
      <c r="Z71" s="27">
        <v>13978</v>
      </c>
      <c r="AA71" s="27">
        <v>26806</v>
      </c>
      <c r="AD71" s="46" t="s">
        <v>409</v>
      </c>
      <c r="AE71" s="46">
        <v>15994</v>
      </c>
      <c r="AF71" s="46">
        <v>11724</v>
      </c>
      <c r="AG71" s="46">
        <v>27718</v>
      </c>
      <c r="AJ71" s="27" t="s">
        <v>409</v>
      </c>
      <c r="AK71" s="27">
        <v>16297.591</v>
      </c>
      <c r="AL71" s="27">
        <v>9414.7919999999995</v>
      </c>
      <c r="AM71" s="27">
        <v>25712.383000000002</v>
      </c>
      <c r="AQ71" s="27" t="str">
        <f t="shared" si="1"/>
        <v>osg</v>
      </c>
      <c r="AR71" s="46" t="s">
        <v>513</v>
      </c>
      <c r="AS71" s="46">
        <v>0</v>
      </c>
      <c r="AT71" s="46">
        <v>183</v>
      </c>
      <c r="AU71" s="46">
        <v>6671</v>
      </c>
      <c r="AV71" s="46">
        <v>357</v>
      </c>
      <c r="AW71" s="46">
        <v>117</v>
      </c>
      <c r="AX71" s="46">
        <v>3577</v>
      </c>
      <c r="AY71" s="46">
        <v>3859</v>
      </c>
      <c r="AZ71" s="46">
        <v>6072</v>
      </c>
      <c r="BA71" s="46">
        <v>425</v>
      </c>
      <c r="BB71" s="46">
        <v>21259</v>
      </c>
    </row>
    <row r="72" spans="5:74">
      <c r="E72" s="41"/>
      <c r="M72" s="42"/>
      <c r="P72" s="37"/>
      <c r="X72" s="27" t="s">
        <v>412</v>
      </c>
      <c r="Y72" s="27">
        <v>12085</v>
      </c>
      <c r="Z72" s="27">
        <v>103717</v>
      </c>
      <c r="AA72" s="27">
        <v>115802</v>
      </c>
      <c r="AD72" s="46" t="s">
        <v>412</v>
      </c>
      <c r="AE72" s="46">
        <v>16762</v>
      </c>
      <c r="AF72" s="46">
        <v>103816</v>
      </c>
      <c r="AG72" s="46">
        <v>120578</v>
      </c>
      <c r="AJ72" s="27" t="s">
        <v>412</v>
      </c>
      <c r="AK72" s="27">
        <v>20517.050999999999</v>
      </c>
      <c r="AL72" s="27">
        <v>92392.843999999997</v>
      </c>
      <c r="AM72" s="27">
        <v>112909.895</v>
      </c>
      <c r="AQ72" s="27" t="str">
        <f t="shared" si="1"/>
        <v>edu</v>
      </c>
      <c r="AR72" s="46" t="s">
        <v>516</v>
      </c>
      <c r="AS72" s="46">
        <v>0</v>
      </c>
      <c r="AT72" s="46">
        <v>1057</v>
      </c>
      <c r="AU72" s="46">
        <v>3599</v>
      </c>
      <c r="AV72" s="46">
        <v>2376</v>
      </c>
      <c r="AW72" s="46">
        <v>207</v>
      </c>
      <c r="AX72" s="46">
        <v>1794</v>
      </c>
      <c r="AY72" s="46">
        <v>156</v>
      </c>
      <c r="AZ72" s="46">
        <v>3276</v>
      </c>
      <c r="BA72" s="46">
        <v>3981</v>
      </c>
      <c r="BB72" s="46">
        <v>16445</v>
      </c>
    </row>
    <row r="73" spans="5:74">
      <c r="E73" s="47"/>
      <c r="J73" s="43"/>
      <c r="K73" s="44"/>
      <c r="L73" s="31"/>
      <c r="M73" s="42"/>
      <c r="P73" s="37"/>
      <c r="X73" s="27" t="s">
        <v>415</v>
      </c>
      <c r="Y73" s="27">
        <v>5422</v>
      </c>
      <c r="Z73" s="27">
        <v>40931</v>
      </c>
      <c r="AA73" s="27">
        <v>46353</v>
      </c>
      <c r="AD73" s="46" t="s">
        <v>415</v>
      </c>
      <c r="AE73" s="46">
        <v>8000</v>
      </c>
      <c r="AF73" s="46">
        <v>40291</v>
      </c>
      <c r="AG73" s="46">
        <v>48291</v>
      </c>
      <c r="AJ73" s="27" t="s">
        <v>415</v>
      </c>
      <c r="AK73" s="27">
        <v>9846.7549999999992</v>
      </c>
      <c r="AL73" s="27">
        <v>35317.184000000001</v>
      </c>
      <c r="AM73" s="27">
        <v>45163.938000000002</v>
      </c>
      <c r="AQ73" s="27" t="str">
        <f t="shared" si="1"/>
        <v>hht</v>
      </c>
      <c r="AR73" s="46" t="s">
        <v>519</v>
      </c>
      <c r="AS73" s="46">
        <v>0</v>
      </c>
      <c r="AT73" s="46">
        <v>437</v>
      </c>
      <c r="AU73" s="46">
        <v>853</v>
      </c>
      <c r="AV73" s="46">
        <v>173</v>
      </c>
      <c r="AW73" s="46">
        <v>292</v>
      </c>
      <c r="AX73" s="46">
        <v>518</v>
      </c>
      <c r="AY73" s="46">
        <v>9.89</v>
      </c>
      <c r="AZ73" s="46">
        <v>615</v>
      </c>
      <c r="BA73" s="46">
        <v>115</v>
      </c>
      <c r="BB73" s="46">
        <v>3013</v>
      </c>
    </row>
    <row r="74" spans="5:74">
      <c r="X74" s="27" t="s">
        <v>418</v>
      </c>
      <c r="Y74" s="27">
        <v>4164</v>
      </c>
      <c r="Z74" s="27">
        <v>873</v>
      </c>
      <c r="AA74" s="27">
        <v>5036</v>
      </c>
      <c r="AD74" s="46" t="s">
        <v>418</v>
      </c>
      <c r="AE74" s="46">
        <v>4388</v>
      </c>
      <c r="AF74" s="46">
        <v>762</v>
      </c>
      <c r="AG74" s="46">
        <v>5150</v>
      </c>
      <c r="AJ74" s="27" t="s">
        <v>418</v>
      </c>
      <c r="AK74" s="27">
        <v>4200.8540000000003</v>
      </c>
      <c r="AL74" s="27">
        <v>543.82399999999996</v>
      </c>
      <c r="AM74" s="27">
        <v>4744.6779999999999</v>
      </c>
      <c r="AQ74" s="27" t="str">
        <f t="shared" si="1"/>
        <v>dwe</v>
      </c>
      <c r="AR74" s="46" t="s">
        <v>522</v>
      </c>
      <c r="AS74" s="46">
        <v>0</v>
      </c>
      <c r="AT74" s="46">
        <v>0</v>
      </c>
      <c r="AU74" s="46">
        <v>0</v>
      </c>
      <c r="AV74" s="46">
        <v>0</v>
      </c>
      <c r="AW74" s="46">
        <v>0</v>
      </c>
      <c r="AX74" s="46">
        <v>0</v>
      </c>
      <c r="AY74" s="46">
        <v>0</v>
      </c>
      <c r="AZ74" s="46">
        <v>0</v>
      </c>
      <c r="BA74" s="46">
        <v>0</v>
      </c>
      <c r="BB74" s="46">
        <v>0</v>
      </c>
    </row>
    <row r="75" spans="5:74">
      <c r="X75" s="27" t="s">
        <v>421</v>
      </c>
      <c r="Y75" s="27">
        <v>29155</v>
      </c>
      <c r="Z75" s="27">
        <v>4087</v>
      </c>
      <c r="AA75" s="27">
        <v>33242</v>
      </c>
      <c r="AD75" s="46" t="s">
        <v>421</v>
      </c>
      <c r="AE75" s="46">
        <v>30049</v>
      </c>
      <c r="AF75" s="46">
        <v>3914</v>
      </c>
      <c r="AG75" s="46">
        <v>33963</v>
      </c>
      <c r="AJ75" s="27" t="s">
        <v>421</v>
      </c>
      <c r="AK75" s="27">
        <v>28561.528999999999</v>
      </c>
      <c r="AL75" s="27">
        <v>2733.4630000000002</v>
      </c>
      <c r="AM75" s="27">
        <v>31294.991999999998</v>
      </c>
      <c r="AR75" s="46" t="s">
        <v>52</v>
      </c>
      <c r="AS75" s="46">
        <v>0</v>
      </c>
      <c r="AT75" s="46">
        <v>307174</v>
      </c>
      <c r="AU75" s="46">
        <v>545237</v>
      </c>
      <c r="AV75" s="46">
        <v>339587</v>
      </c>
      <c r="AW75" s="46">
        <v>348125</v>
      </c>
      <c r="AX75" s="46">
        <v>220060</v>
      </c>
      <c r="AY75" s="46">
        <v>117890</v>
      </c>
      <c r="AZ75" s="46">
        <v>406499</v>
      </c>
      <c r="BA75" s="46">
        <v>123377</v>
      </c>
      <c r="BB75" s="46">
        <v>2407950</v>
      </c>
    </row>
    <row r="76" spans="5:74">
      <c r="X76" s="27" t="s">
        <v>424</v>
      </c>
      <c r="Y76" s="27">
        <v>114518</v>
      </c>
      <c r="Z76" s="27">
        <v>22694</v>
      </c>
      <c r="AA76" s="27">
        <v>137212</v>
      </c>
      <c r="AD76" s="46" t="s">
        <v>424</v>
      </c>
      <c r="AE76" s="46">
        <v>116834</v>
      </c>
      <c r="AF76" s="46">
        <v>23068</v>
      </c>
      <c r="AG76" s="46">
        <v>139902</v>
      </c>
      <c r="AJ76" s="27" t="s">
        <v>424</v>
      </c>
      <c r="AK76" s="27">
        <v>111304.07</v>
      </c>
      <c r="AL76" s="27">
        <v>19246.384999999998</v>
      </c>
      <c r="AM76" s="27">
        <v>130550.455</v>
      </c>
      <c r="AT76" s="27">
        <f>SUM(AT10:AT58)</f>
        <v>265601.79399999999</v>
      </c>
      <c r="AU76" s="27">
        <f t="shared" ref="AU76:BB76" si="55">SUM(AU10:AU58)</f>
        <v>373212.23100000003</v>
      </c>
      <c r="AV76" s="27">
        <f t="shared" si="55"/>
        <v>297514.85700000002</v>
      </c>
      <c r="AW76" s="27">
        <f t="shared" si="55"/>
        <v>324335.43600000005</v>
      </c>
      <c r="AX76" s="27">
        <f t="shared" si="55"/>
        <v>165446.88800000001</v>
      </c>
      <c r="AY76" s="27">
        <f t="shared" si="55"/>
        <v>97658.203999999998</v>
      </c>
      <c r="AZ76" s="27">
        <f t="shared" si="55"/>
        <v>275131.91899999999</v>
      </c>
      <c r="BA76" s="27">
        <f t="shared" si="55"/>
        <v>55883.955999999998</v>
      </c>
      <c r="BB76" s="27">
        <f t="shared" si="55"/>
        <v>1854783.3399999999</v>
      </c>
    </row>
    <row r="77" spans="5:74">
      <c r="X77" s="27" t="s">
        <v>427</v>
      </c>
      <c r="Y77" s="27">
        <v>60879</v>
      </c>
      <c r="Z77" s="27">
        <v>12719</v>
      </c>
      <c r="AA77" s="27">
        <v>73598</v>
      </c>
      <c r="AD77" s="46" t="s">
        <v>427</v>
      </c>
      <c r="AE77" s="46">
        <v>63606</v>
      </c>
      <c r="AF77" s="46">
        <v>11610</v>
      </c>
      <c r="AG77" s="46">
        <v>75216</v>
      </c>
      <c r="AJ77" s="27" t="s">
        <v>427</v>
      </c>
      <c r="AK77" s="27">
        <v>61580.695</v>
      </c>
      <c r="AL77" s="27">
        <v>7852.8959999999997</v>
      </c>
      <c r="AM77" s="27">
        <v>69433.591</v>
      </c>
      <c r="AT77" s="27">
        <f>AT76/$BB76</f>
        <v>0.14319828535876325</v>
      </c>
      <c r="AU77" s="27">
        <f t="shared" ref="AU77:BB77" si="56">AU76/$BB76</f>
        <v>0.20121607896262431</v>
      </c>
      <c r="AV77" s="27">
        <f t="shared" si="56"/>
        <v>0.16040410250827467</v>
      </c>
      <c r="AW77" s="27">
        <f t="shared" si="56"/>
        <v>0.17486432458467094</v>
      </c>
      <c r="AX77" s="27">
        <f t="shared" si="56"/>
        <v>8.9200115416175785E-2</v>
      </c>
      <c r="AY77" s="27">
        <f t="shared" si="56"/>
        <v>5.2652081725081706E-2</v>
      </c>
      <c r="AZ77" s="27">
        <f t="shared" si="56"/>
        <v>0.14833641917443577</v>
      </c>
      <c r="BA77" s="27">
        <f t="shared" si="56"/>
        <v>3.0129640909972808E-2</v>
      </c>
      <c r="BB77" s="27">
        <f t="shared" si="56"/>
        <v>1</v>
      </c>
    </row>
    <row r="78" spans="5:74">
      <c r="X78" s="27" t="s">
        <v>430</v>
      </c>
      <c r="Y78" s="27">
        <v>90583</v>
      </c>
      <c r="Z78" s="27">
        <v>87568</v>
      </c>
      <c r="AA78" s="27">
        <v>178151</v>
      </c>
      <c r="AD78" s="46" t="s">
        <v>430</v>
      </c>
      <c r="AE78" s="46">
        <v>91597</v>
      </c>
      <c r="AF78" s="46">
        <v>90154</v>
      </c>
      <c r="AG78" s="46">
        <v>181751</v>
      </c>
      <c r="AJ78" s="27" t="s">
        <v>430</v>
      </c>
      <c r="AK78" s="27">
        <v>110121.914</v>
      </c>
      <c r="AL78" s="27">
        <v>58784.495999999999</v>
      </c>
      <c r="AM78" s="27">
        <v>168906.41</v>
      </c>
    </row>
    <row r="79" spans="5:74">
      <c r="X79" s="27" t="s">
        <v>433</v>
      </c>
      <c r="Y79" s="27">
        <v>25589</v>
      </c>
      <c r="Z79" s="27">
        <v>16026</v>
      </c>
      <c r="AA79" s="27">
        <v>41615</v>
      </c>
      <c r="AD79" s="46" t="s">
        <v>433</v>
      </c>
      <c r="AE79" s="46">
        <v>28532</v>
      </c>
      <c r="AF79" s="46">
        <v>14120</v>
      </c>
      <c r="AG79" s="46">
        <v>42653</v>
      </c>
      <c r="AJ79" s="27" t="s">
        <v>433</v>
      </c>
      <c r="AK79" s="27">
        <v>28698.386999999999</v>
      </c>
      <c r="AL79" s="27">
        <v>10707.763000000001</v>
      </c>
      <c r="AM79" s="27">
        <v>39406.148999999998</v>
      </c>
      <c r="AR79" s="27" t="s">
        <v>2102</v>
      </c>
      <c r="AS79" s="27" t="s">
        <v>1846</v>
      </c>
      <c r="AT79" s="27" t="s">
        <v>1847</v>
      </c>
      <c r="AU79" s="27" t="s">
        <v>1848</v>
      </c>
      <c r="AV79" s="27" t="s">
        <v>1849</v>
      </c>
      <c r="AW79" s="27" t="s">
        <v>1850</v>
      </c>
      <c r="AX79" s="27" t="s">
        <v>1851</v>
      </c>
      <c r="AY79" s="27" t="s">
        <v>2103</v>
      </c>
      <c r="AZ79" s="27" t="s">
        <v>2104</v>
      </c>
      <c r="BA79" s="27" t="s">
        <v>2105</v>
      </c>
      <c r="BB79" s="27" t="s">
        <v>52</v>
      </c>
      <c r="BD79" t="s">
        <v>2106</v>
      </c>
      <c r="BE79" s="27" t="s">
        <v>1847</v>
      </c>
      <c r="BF79" s="27" t="s">
        <v>1849</v>
      </c>
      <c r="BG79" s="27" t="s">
        <v>1850</v>
      </c>
      <c r="BH79" s="27" t="s">
        <v>2105</v>
      </c>
      <c r="BI79" s="27" t="s">
        <v>2103</v>
      </c>
      <c r="BJ79" s="27" t="s">
        <v>2104</v>
      </c>
      <c r="BK79" s="27" t="s">
        <v>1848</v>
      </c>
      <c r="BL79" s="27" t="s">
        <v>1851</v>
      </c>
      <c r="BN79" s="27" t="s">
        <v>2106</v>
      </c>
      <c r="BO79" s="27" t="s">
        <v>1847</v>
      </c>
      <c r="BP79" s="27" t="s">
        <v>1849</v>
      </c>
      <c r="BQ79" s="27" t="s">
        <v>1850</v>
      </c>
      <c r="BR79" s="27" t="s">
        <v>2105</v>
      </c>
      <c r="BS79" s="27" t="s">
        <v>2103</v>
      </c>
      <c r="BT79" s="27" t="s">
        <v>2104</v>
      </c>
      <c r="BU79" s="27" t="s">
        <v>1848</v>
      </c>
      <c r="BV79" s="27" t="s">
        <v>1851</v>
      </c>
    </row>
    <row r="80" spans="5:74">
      <c r="E80" s="47"/>
      <c r="M80" s="42"/>
      <c r="P80" s="37"/>
      <c r="X80" s="27" t="s">
        <v>436</v>
      </c>
      <c r="Y80" s="27">
        <v>6767</v>
      </c>
      <c r="Z80" s="27">
        <v>4652</v>
      </c>
      <c r="AA80" s="27">
        <v>11419</v>
      </c>
      <c r="AD80" s="46" t="s">
        <v>436</v>
      </c>
      <c r="AE80" s="46">
        <v>7453</v>
      </c>
      <c r="AF80" s="46">
        <v>4247</v>
      </c>
      <c r="AG80" s="46">
        <v>11700</v>
      </c>
      <c r="AJ80" s="27" t="s">
        <v>436</v>
      </c>
      <c r="AK80" s="27">
        <v>7517.1760000000004</v>
      </c>
      <c r="AL80" s="27">
        <v>3290.5349999999999</v>
      </c>
      <c r="AM80" s="27">
        <v>10807.710999999999</v>
      </c>
      <c r="AQ80" s="27" t="str">
        <f>RIGHT(AR80,3)</f>
        <v>pdr</v>
      </c>
      <c r="AR80" s="27" t="s">
        <v>331</v>
      </c>
      <c r="AS80" s="27">
        <v>0</v>
      </c>
      <c r="AT80" s="27">
        <v>0.42899999999999999</v>
      </c>
      <c r="AU80" s="27">
        <v>1.64</v>
      </c>
      <c r="AV80" s="27">
        <v>1E-3</v>
      </c>
      <c r="AW80" s="27">
        <v>0</v>
      </c>
      <c r="AX80" s="27">
        <v>0.108</v>
      </c>
      <c r="AY80" s="27">
        <v>0</v>
      </c>
      <c r="AZ80" s="27">
        <v>0.13600000000000001</v>
      </c>
      <c r="BA80" s="27">
        <v>1.0999999999999999E-2</v>
      </c>
      <c r="BB80" s="27">
        <v>2.3199999999999998</v>
      </c>
      <c r="BD80" t="s">
        <v>333</v>
      </c>
      <c r="BE80">
        <v>0</v>
      </c>
      <c r="BF80">
        <v>48865</v>
      </c>
      <c r="BG80">
        <v>0</v>
      </c>
      <c r="BH80">
        <v>0</v>
      </c>
      <c r="BI80">
        <v>3472</v>
      </c>
      <c r="BJ80">
        <v>0</v>
      </c>
      <c r="BK80">
        <v>11289</v>
      </c>
      <c r="BL80">
        <v>0</v>
      </c>
      <c r="BN80" s="27" t="s">
        <v>333</v>
      </c>
      <c r="BO80" s="27">
        <f>'Weighted US Tariff'!Z83</f>
        <v>0</v>
      </c>
      <c r="BP80" s="27">
        <f>'Weighted US Tariff'!AA83</f>
        <v>1.6168250000001501E-2</v>
      </c>
      <c r="BQ80" s="27">
        <f>'Weighted US Tariff'!AB83</f>
        <v>0</v>
      </c>
      <c r="BR80" s="27">
        <f>'Weighted US Tariff'!AC83</f>
        <v>0</v>
      </c>
      <c r="BS80" s="27">
        <f>'Weighted US Tariff'!AD83</f>
        <v>15</v>
      </c>
      <c r="BT80" s="27">
        <f>'Weighted US Tariff'!AE83</f>
        <v>0</v>
      </c>
      <c r="BU80" s="27">
        <f>'Weighted US Tariff'!AF83</f>
        <v>25</v>
      </c>
      <c r="BV80" s="27">
        <f>'Weighted US Tariff'!AG83</f>
        <v>0</v>
      </c>
    </row>
    <row r="81" spans="4:74">
      <c r="E81" s="47"/>
      <c r="J81" s="43"/>
      <c r="K81" s="44"/>
      <c r="L81" s="31"/>
      <c r="M81" s="42"/>
      <c r="P81" s="37"/>
      <c r="X81" s="27" t="s">
        <v>439</v>
      </c>
      <c r="Y81" s="27">
        <v>475</v>
      </c>
      <c r="Z81" s="27">
        <v>211</v>
      </c>
      <c r="AA81" s="27">
        <v>686</v>
      </c>
      <c r="AD81" s="46" t="s">
        <v>439</v>
      </c>
      <c r="AE81" s="46">
        <v>520</v>
      </c>
      <c r="AF81" s="46">
        <v>184</v>
      </c>
      <c r="AG81" s="46">
        <v>703</v>
      </c>
      <c r="AJ81" s="27" t="s">
        <v>439</v>
      </c>
      <c r="AK81" s="27">
        <v>501.36900000000003</v>
      </c>
      <c r="AL81" s="27">
        <v>147.66900000000001</v>
      </c>
      <c r="AM81" s="27">
        <v>649.03800000000001</v>
      </c>
      <c r="AQ81" s="27" t="str">
        <f t="shared" ref="AQ81:AQ144" si="57">RIGHT(AR81,3)</f>
        <v>wht</v>
      </c>
      <c r="AR81" s="27" t="s">
        <v>334</v>
      </c>
      <c r="AS81" s="27">
        <v>0</v>
      </c>
      <c r="AT81" s="27">
        <v>0.124</v>
      </c>
      <c r="AU81" s="27">
        <v>13.7</v>
      </c>
      <c r="AV81" s="27">
        <v>705</v>
      </c>
      <c r="AW81" s="27">
        <v>2.71</v>
      </c>
      <c r="AX81" s="27">
        <v>0.21</v>
      </c>
      <c r="AY81" s="27">
        <v>2E-3</v>
      </c>
      <c r="AZ81" s="27">
        <v>7.79</v>
      </c>
      <c r="BA81" s="27">
        <v>0.58899999999999997</v>
      </c>
      <c r="BB81" s="27">
        <v>731</v>
      </c>
      <c r="BD81" t="s">
        <v>336</v>
      </c>
      <c r="BE81">
        <v>0</v>
      </c>
      <c r="BF81">
        <v>698615080</v>
      </c>
      <c r="BG81">
        <v>323195</v>
      </c>
      <c r="BH81">
        <v>84132</v>
      </c>
      <c r="BI81">
        <v>0</v>
      </c>
      <c r="BJ81">
        <v>63634550</v>
      </c>
      <c r="BK81">
        <v>1326398</v>
      </c>
      <c r="BL81">
        <v>205805</v>
      </c>
      <c r="BN81" s="27" t="s">
        <v>336</v>
      </c>
      <c r="BO81" s="27">
        <f>'Weighted US Tariff'!Z84</f>
        <v>0</v>
      </c>
      <c r="BP81" s="27">
        <f>'Weighted US Tariff'!AA84</f>
        <v>1.6168250000001501E-2</v>
      </c>
      <c r="BQ81" s="27">
        <f>'Weighted US Tariff'!AB84</f>
        <v>7.8059749999997898E-3</v>
      </c>
      <c r="BR81" s="27">
        <f>'Weighted US Tariff'!AC84</f>
        <v>10</v>
      </c>
      <c r="BS81" s="27">
        <f>'Weighted US Tariff'!AD84</f>
        <v>0</v>
      </c>
      <c r="BT81" s="27">
        <f>'Weighted US Tariff'!AE84</f>
        <v>15</v>
      </c>
      <c r="BU81" s="27">
        <f>'Weighted US Tariff'!AF84</f>
        <v>10.136395712297499</v>
      </c>
      <c r="BV81" s="27">
        <f>'Weighted US Tariff'!AG84</f>
        <v>13.601224460047099</v>
      </c>
    </row>
    <row r="82" spans="4:74">
      <c r="X82" s="27" t="s">
        <v>442</v>
      </c>
      <c r="Y82" s="27">
        <v>40</v>
      </c>
      <c r="Z82" s="27">
        <v>73</v>
      </c>
      <c r="AA82" s="27">
        <v>113</v>
      </c>
      <c r="AD82" s="46" t="s">
        <v>442</v>
      </c>
      <c r="AE82" s="46">
        <v>50.7</v>
      </c>
      <c r="AF82" s="46">
        <v>65.7</v>
      </c>
      <c r="AG82" s="46">
        <v>116</v>
      </c>
      <c r="AJ82" s="27" t="s">
        <v>442</v>
      </c>
      <c r="AK82" s="27">
        <v>53.363</v>
      </c>
      <c r="AL82" s="27">
        <v>54.258000000000003</v>
      </c>
      <c r="AM82" s="27">
        <v>107.622</v>
      </c>
      <c r="AQ82" s="27" t="str">
        <f t="shared" si="57"/>
        <v>gro</v>
      </c>
      <c r="AR82" s="27" t="s">
        <v>337</v>
      </c>
      <c r="AS82" s="27">
        <v>0</v>
      </c>
      <c r="AT82" s="27">
        <v>0.89200000000000002</v>
      </c>
      <c r="AU82" s="27">
        <v>284</v>
      </c>
      <c r="AV82" s="27">
        <v>566</v>
      </c>
      <c r="AW82" s="27">
        <v>18.399999999999999</v>
      </c>
      <c r="AX82" s="27">
        <v>144</v>
      </c>
      <c r="AY82" s="27">
        <v>6.4000000000000001E-2</v>
      </c>
      <c r="AZ82" s="27">
        <v>61.1</v>
      </c>
      <c r="BA82" s="27">
        <v>8.2000000000000003E-2</v>
      </c>
      <c r="BB82" s="27">
        <v>1075</v>
      </c>
      <c r="BD82" t="s">
        <v>339</v>
      </c>
      <c r="BE82">
        <v>1341279</v>
      </c>
      <c r="BF82">
        <v>566086148</v>
      </c>
      <c r="BG82">
        <v>10890852</v>
      </c>
      <c r="BH82">
        <v>338660</v>
      </c>
      <c r="BI82">
        <v>51487</v>
      </c>
      <c r="BJ82">
        <v>68057039</v>
      </c>
      <c r="BK82">
        <v>115785764</v>
      </c>
      <c r="BL82">
        <v>122670239</v>
      </c>
      <c r="BN82" s="27" t="s">
        <v>339</v>
      </c>
      <c r="BO82" s="27">
        <f>'Weighted US Tariff'!Z85</f>
        <v>19.716024779333701</v>
      </c>
      <c r="BP82" s="27">
        <f>'Weighted US Tariff'!AA85</f>
        <v>1.6168250000001501E-2</v>
      </c>
      <c r="BQ82" s="27">
        <f>'Weighted US Tariff'!AB85</f>
        <v>7.8059749999997898E-3</v>
      </c>
      <c r="BR82" s="27">
        <f>'Weighted US Tariff'!AC85</f>
        <v>10</v>
      </c>
      <c r="BS82" s="27">
        <f>'Weighted US Tariff'!AD85</f>
        <v>15</v>
      </c>
      <c r="BT82" s="27">
        <f>'Weighted US Tariff'!AE85</f>
        <v>14.9957786144648</v>
      </c>
      <c r="BU82" s="27">
        <f>'Weighted US Tariff'!AF85</f>
        <v>12.389364749538601</v>
      </c>
      <c r="BV82" s="27">
        <f>'Weighted US Tariff'!AG85</f>
        <v>9.9757078405952999</v>
      </c>
    </row>
    <row r="83" spans="4:74">
      <c r="X83" s="27" t="s">
        <v>445</v>
      </c>
      <c r="Y83" s="27">
        <v>11783</v>
      </c>
      <c r="Z83" s="27">
        <v>6321</v>
      </c>
      <c r="AA83" s="27">
        <v>18103</v>
      </c>
      <c r="AD83" s="46" t="s">
        <v>445</v>
      </c>
      <c r="AE83" s="46">
        <v>15040</v>
      </c>
      <c r="AF83" s="46">
        <v>3593</v>
      </c>
      <c r="AG83" s="46">
        <v>18633</v>
      </c>
      <c r="AJ83" s="27" t="s">
        <v>445</v>
      </c>
      <c r="AK83" s="27">
        <v>13209.986000000001</v>
      </c>
      <c r="AL83" s="27">
        <v>3906.4250000000002</v>
      </c>
      <c r="AM83" s="27">
        <v>17116.411</v>
      </c>
      <c r="AQ83" s="27" t="str">
        <f t="shared" si="57"/>
        <v>v_f</v>
      </c>
      <c r="AR83" s="27" t="s">
        <v>340</v>
      </c>
      <c r="AS83" s="27">
        <v>0</v>
      </c>
      <c r="AT83" s="27">
        <v>423</v>
      </c>
      <c r="AU83" s="27">
        <v>3522</v>
      </c>
      <c r="AV83" s="27">
        <v>2188</v>
      </c>
      <c r="AW83" s="27">
        <v>13368</v>
      </c>
      <c r="AX83" s="27">
        <v>7708</v>
      </c>
      <c r="AY83" s="27">
        <v>13.7</v>
      </c>
      <c r="AZ83" s="27">
        <v>568</v>
      </c>
      <c r="BA83" s="27">
        <v>10.6</v>
      </c>
      <c r="BB83" s="27">
        <v>27801</v>
      </c>
      <c r="BD83" t="s">
        <v>342</v>
      </c>
      <c r="BE83">
        <v>397593168</v>
      </c>
      <c r="BF83">
        <v>3237240739</v>
      </c>
      <c r="BG83">
        <v>19705937136</v>
      </c>
      <c r="BH83">
        <v>2998452</v>
      </c>
      <c r="BI83">
        <v>11019443</v>
      </c>
      <c r="BJ83">
        <v>494452984</v>
      </c>
      <c r="BK83">
        <v>3414429223</v>
      </c>
      <c r="BL83">
        <v>9541625018</v>
      </c>
      <c r="BN83" s="27" t="s">
        <v>342</v>
      </c>
      <c r="BO83" s="27">
        <f>'Weighted US Tariff'!Z86</f>
        <v>18.465108736476001</v>
      </c>
      <c r="BP83" s="27">
        <f>'Weighted US Tariff'!AA86</f>
        <v>1.6168250000001501E-2</v>
      </c>
      <c r="BQ83" s="27">
        <f>'Weighted US Tariff'!AB86</f>
        <v>7.8059749999997898E-3</v>
      </c>
      <c r="BR83" s="27">
        <f>'Weighted US Tariff'!AC86</f>
        <v>9.58739376184778</v>
      </c>
      <c r="BS83" s="27">
        <f>'Weighted US Tariff'!AD86</f>
        <v>14.689303261516899</v>
      </c>
      <c r="BT83" s="27">
        <f>'Weighted US Tariff'!AE86</f>
        <v>12.1657926934464</v>
      </c>
      <c r="BU83" s="27">
        <f>'Weighted US Tariff'!AF86</f>
        <v>4.3494251399218404</v>
      </c>
      <c r="BV83" s="27">
        <f>'Weighted US Tariff'!AG86</f>
        <v>6.0049979478243998</v>
      </c>
    </row>
    <row r="84" spans="4:74">
      <c r="X84" s="27" t="s">
        <v>448</v>
      </c>
      <c r="Y84" s="27">
        <v>13428</v>
      </c>
      <c r="Z84" s="27">
        <v>81802</v>
      </c>
      <c r="AA84" s="27">
        <v>95229</v>
      </c>
      <c r="AD84" s="46" t="s">
        <v>448</v>
      </c>
      <c r="AE84" s="46">
        <v>18823</v>
      </c>
      <c r="AF84" s="46">
        <v>79243</v>
      </c>
      <c r="AG84" s="46">
        <v>98066</v>
      </c>
      <c r="AJ84" s="27" t="s">
        <v>448</v>
      </c>
      <c r="AK84" s="27">
        <v>25658.794999999998</v>
      </c>
      <c r="AL84" s="27">
        <v>65448.938000000002</v>
      </c>
      <c r="AM84" s="27">
        <v>91107.732000000004</v>
      </c>
      <c r="AQ84" s="27" t="str">
        <f t="shared" si="57"/>
        <v>osd</v>
      </c>
      <c r="AR84" s="27" t="s">
        <v>343</v>
      </c>
      <c r="AS84" s="27">
        <v>0</v>
      </c>
      <c r="AT84" s="27">
        <v>18.5</v>
      </c>
      <c r="AU84" s="27">
        <v>504</v>
      </c>
      <c r="AV84" s="27">
        <v>506</v>
      </c>
      <c r="AW84" s="27">
        <v>21.6</v>
      </c>
      <c r="AX84" s="27">
        <v>87.4</v>
      </c>
      <c r="AY84" s="27">
        <v>0.64600000000000002</v>
      </c>
      <c r="AZ84" s="27">
        <v>52.2</v>
      </c>
      <c r="BA84" s="27">
        <v>1.4</v>
      </c>
      <c r="BB84" s="27">
        <v>1192</v>
      </c>
      <c r="BD84" t="s">
        <v>345</v>
      </c>
      <c r="BE84">
        <v>21219093</v>
      </c>
      <c r="BF84">
        <v>554685423</v>
      </c>
      <c r="BG84">
        <v>22388795</v>
      </c>
      <c r="BH84">
        <v>418497</v>
      </c>
      <c r="BI84">
        <v>240598</v>
      </c>
      <c r="BJ84">
        <v>100497603</v>
      </c>
      <c r="BK84">
        <v>417013689</v>
      </c>
      <c r="BL84">
        <v>84724851</v>
      </c>
      <c r="BN84" s="27" t="s">
        <v>345</v>
      </c>
      <c r="BO84" s="27">
        <f>'Weighted US Tariff'!Z87</f>
        <v>20</v>
      </c>
      <c r="BP84" s="27">
        <f>'Weighted US Tariff'!AA87</f>
        <v>1.6168250000001501E-2</v>
      </c>
      <c r="BQ84" s="27">
        <f>'Weighted US Tariff'!AB87</f>
        <v>7.8059749999997898E-3</v>
      </c>
      <c r="BR84" s="27">
        <f>'Weighted US Tariff'!AC87</f>
        <v>5.6822390602561001E-2</v>
      </c>
      <c r="BS84" s="27">
        <f>'Weighted US Tariff'!AD87</f>
        <v>15</v>
      </c>
      <c r="BT84" s="27">
        <f>'Weighted US Tariff'!AE87</f>
        <v>13.004492405654601</v>
      </c>
      <c r="BU84" s="27">
        <f>'Weighted US Tariff'!AF87</f>
        <v>13.4798588398377</v>
      </c>
      <c r="BV84" s="27">
        <f>'Weighted US Tariff'!AG87</f>
        <v>10.3564616714404</v>
      </c>
    </row>
    <row r="85" spans="4:74">
      <c r="X85" s="27" t="s">
        <v>451</v>
      </c>
      <c r="Y85" s="27">
        <v>19913</v>
      </c>
      <c r="Z85" s="27">
        <v>42095</v>
      </c>
      <c r="AA85" s="27">
        <v>62008</v>
      </c>
      <c r="AD85" s="46" t="s">
        <v>451</v>
      </c>
      <c r="AE85" s="46">
        <v>27371</v>
      </c>
      <c r="AF85" s="46">
        <v>36596</v>
      </c>
      <c r="AG85" s="46">
        <v>63966</v>
      </c>
      <c r="AJ85" s="27" t="s">
        <v>451</v>
      </c>
      <c r="AK85" s="27">
        <v>29227.344000000001</v>
      </c>
      <c r="AL85" s="27">
        <v>29903.062999999998</v>
      </c>
      <c r="AM85" s="27">
        <v>59130.406000000003</v>
      </c>
      <c r="AQ85" s="27" t="str">
        <f t="shared" si="57"/>
        <v>c_b</v>
      </c>
      <c r="AR85" s="27" t="s">
        <v>346</v>
      </c>
      <c r="AS85" s="27">
        <v>0</v>
      </c>
      <c r="AT85" s="27">
        <v>4.1000000000000002E-2</v>
      </c>
      <c r="AU85" s="27">
        <v>1.61</v>
      </c>
      <c r="AV85" s="27">
        <v>1E-3</v>
      </c>
      <c r="AW85" s="27">
        <v>0.313</v>
      </c>
      <c r="AX85" s="27">
        <v>0.14899999999999999</v>
      </c>
      <c r="AY85" s="27">
        <v>0</v>
      </c>
      <c r="AZ85" s="27">
        <v>0.27200000000000002</v>
      </c>
      <c r="BA85" s="27">
        <v>8.2000000000000003E-2</v>
      </c>
      <c r="BB85" s="27">
        <v>2.4700000000000002</v>
      </c>
      <c r="BD85" t="s">
        <v>348</v>
      </c>
      <c r="BE85">
        <v>7977</v>
      </c>
      <c r="BF85">
        <v>14404650</v>
      </c>
      <c r="BG85">
        <v>923048</v>
      </c>
      <c r="BH85">
        <v>0</v>
      </c>
      <c r="BI85">
        <v>0</v>
      </c>
      <c r="BJ85">
        <v>86796</v>
      </c>
      <c r="BK85">
        <v>3150650</v>
      </c>
      <c r="BL85">
        <v>456712</v>
      </c>
      <c r="BN85" s="27" t="s">
        <v>348</v>
      </c>
      <c r="BO85" s="27">
        <f>'Weighted US Tariff'!Z88</f>
        <v>20</v>
      </c>
      <c r="BP85" s="27">
        <f>'Weighted US Tariff'!AA88</f>
        <v>1.6168250000001501E-2</v>
      </c>
      <c r="BQ85" s="27">
        <f>'Weighted US Tariff'!AB88</f>
        <v>7.8059749999997898E-3</v>
      </c>
      <c r="BR85" s="27">
        <f>'Weighted US Tariff'!AC88</f>
        <v>0</v>
      </c>
      <c r="BS85" s="27">
        <f>'Weighted US Tariff'!AD88</f>
        <v>0</v>
      </c>
      <c r="BT85" s="27">
        <f>'Weighted US Tariff'!AE88</f>
        <v>15</v>
      </c>
      <c r="BU85" s="27">
        <f>'Weighted US Tariff'!AF88</f>
        <v>15.3622363639249</v>
      </c>
      <c r="BV85" s="27">
        <f>'Weighted US Tariff'!AG88</f>
        <v>21.900015764858299</v>
      </c>
    </row>
    <row r="86" spans="4:74">
      <c r="X86" s="27" t="s">
        <v>454</v>
      </c>
      <c r="Y86" s="27">
        <v>5864</v>
      </c>
      <c r="Z86" s="27">
        <v>4379</v>
      </c>
      <c r="AA86" s="27">
        <v>10243</v>
      </c>
      <c r="AD86" s="46" t="s">
        <v>454</v>
      </c>
      <c r="AE86" s="46">
        <v>7012</v>
      </c>
      <c r="AF86" s="46">
        <v>3514</v>
      </c>
      <c r="AG86" s="46">
        <v>10526</v>
      </c>
      <c r="AJ86" s="27" t="s">
        <v>454</v>
      </c>
      <c r="AK86" s="27">
        <v>6956.2120000000004</v>
      </c>
      <c r="AL86" s="27">
        <v>2751.511</v>
      </c>
      <c r="AM86" s="27">
        <v>9707.7240000000002</v>
      </c>
      <c r="AQ86" s="27" t="str">
        <f t="shared" si="57"/>
        <v>pfb</v>
      </c>
      <c r="AR86" s="27" t="s">
        <v>349</v>
      </c>
      <c r="AS86" s="27">
        <v>0</v>
      </c>
      <c r="AT86" s="27">
        <v>3.7999999999999999E-2</v>
      </c>
      <c r="AU86" s="27">
        <v>75.2</v>
      </c>
      <c r="AV86" s="27">
        <v>6.4000000000000001E-2</v>
      </c>
      <c r="AW86" s="27">
        <v>1.42</v>
      </c>
      <c r="AX86" s="27">
        <v>0.93100000000000005</v>
      </c>
      <c r="AY86" s="27">
        <v>3.5000000000000003E-2</v>
      </c>
      <c r="AZ86" s="27">
        <v>5.09</v>
      </c>
      <c r="BA86" s="27">
        <v>0.19800000000000001</v>
      </c>
      <c r="BB86" s="27">
        <v>82.9</v>
      </c>
      <c r="BD86" t="s">
        <v>351</v>
      </c>
      <c r="BE86">
        <v>348871</v>
      </c>
      <c r="BF86">
        <v>147418</v>
      </c>
      <c r="BG86">
        <v>2037960</v>
      </c>
      <c r="BH86">
        <v>126165</v>
      </c>
      <c r="BI86">
        <v>107462</v>
      </c>
      <c r="BJ86">
        <v>4086387</v>
      </c>
      <c r="BK86">
        <v>50144174</v>
      </c>
      <c r="BL86">
        <v>333193</v>
      </c>
      <c r="BN86" s="27" t="s">
        <v>351</v>
      </c>
      <c r="BO86" s="27">
        <f>'Weighted US Tariff'!Z89</f>
        <v>20</v>
      </c>
      <c r="BP86" s="27">
        <f>'Weighted US Tariff'!AA89</f>
        <v>1.6168250000001501E-2</v>
      </c>
      <c r="BQ86" s="27">
        <f>'Weighted US Tariff'!AB89</f>
        <v>7.8059749999997898E-3</v>
      </c>
      <c r="BR86" s="27">
        <f>'Weighted US Tariff'!AC89</f>
        <v>10</v>
      </c>
      <c r="BS86" s="27">
        <f>'Weighted US Tariff'!AD89</f>
        <v>15</v>
      </c>
      <c r="BT86" s="27">
        <f>'Weighted US Tariff'!AE89</f>
        <v>15</v>
      </c>
      <c r="BU86" s="27">
        <f>'Weighted US Tariff'!AF89</f>
        <v>23.5136339667296</v>
      </c>
      <c r="BV86" s="27">
        <f>'Weighted US Tariff'!AG89</f>
        <v>21.607476747710699</v>
      </c>
    </row>
    <row r="87" spans="4:74">
      <c r="X87" s="27" t="s">
        <v>457</v>
      </c>
      <c r="Y87" s="27">
        <v>133327</v>
      </c>
      <c r="Z87" s="27">
        <v>104130</v>
      </c>
      <c r="AA87" s="27">
        <v>237456</v>
      </c>
      <c r="AD87" s="46" t="s">
        <v>457</v>
      </c>
      <c r="AE87" s="46">
        <v>153026</v>
      </c>
      <c r="AF87" s="46">
        <v>91506</v>
      </c>
      <c r="AG87" s="46">
        <v>244532</v>
      </c>
      <c r="AJ87" s="27" t="s">
        <v>457</v>
      </c>
      <c r="AK87" s="27">
        <v>145926.06299999999</v>
      </c>
      <c r="AL87" s="27">
        <v>79627.679999999993</v>
      </c>
      <c r="AM87" s="27">
        <v>225553.742</v>
      </c>
      <c r="AQ87" s="27" t="str">
        <f t="shared" si="57"/>
        <v>ocr</v>
      </c>
      <c r="AR87" s="27" t="s">
        <v>352</v>
      </c>
      <c r="AS87" s="27">
        <v>0</v>
      </c>
      <c r="AT87" s="27">
        <v>280</v>
      </c>
      <c r="AU87" s="27">
        <v>5789</v>
      </c>
      <c r="AV87" s="27">
        <v>608</v>
      </c>
      <c r="AW87" s="27">
        <v>337</v>
      </c>
      <c r="AX87" s="27">
        <v>4148</v>
      </c>
      <c r="AY87" s="27">
        <v>38.799999999999997</v>
      </c>
      <c r="AZ87" s="27">
        <v>533</v>
      </c>
      <c r="BA87" s="27">
        <v>25.6</v>
      </c>
      <c r="BB87" s="27">
        <v>11761</v>
      </c>
      <c r="BD87" t="s">
        <v>354</v>
      </c>
      <c r="BE87">
        <v>274196390</v>
      </c>
      <c r="BF87">
        <v>1032395171</v>
      </c>
      <c r="BG87">
        <v>509159815</v>
      </c>
      <c r="BH87">
        <v>12530247</v>
      </c>
      <c r="BI87">
        <v>58915159</v>
      </c>
      <c r="BJ87">
        <v>494106822</v>
      </c>
      <c r="BK87">
        <v>6102454416</v>
      </c>
      <c r="BL87">
        <v>4994753310</v>
      </c>
      <c r="BN87" s="27" t="s">
        <v>354</v>
      </c>
      <c r="BO87" s="27">
        <f>'Weighted US Tariff'!Z90</f>
        <v>14.067594507717599</v>
      </c>
      <c r="BP87" s="27">
        <f>'Weighted US Tariff'!AA90</f>
        <v>1.6168250000001501E-2</v>
      </c>
      <c r="BQ87" s="27">
        <f>'Weighted US Tariff'!AB90</f>
        <v>7.8059749999997898E-3</v>
      </c>
      <c r="BR87" s="27">
        <f>'Weighted US Tariff'!AC90</f>
        <v>8.4186401114040308</v>
      </c>
      <c r="BS87" s="27">
        <f>'Weighted US Tariff'!AD90</f>
        <v>2.0142271023999099</v>
      </c>
      <c r="BT87" s="27">
        <f>'Weighted US Tariff'!AE90</f>
        <v>12.4390202408498</v>
      </c>
      <c r="BU87" s="27">
        <f>'Weighted US Tariff'!AF90</f>
        <v>2.7300333969426198</v>
      </c>
      <c r="BV87" s="27">
        <f>'Weighted US Tariff'!AG90</f>
        <v>3.5877334075984599</v>
      </c>
    </row>
    <row r="88" spans="4:74">
      <c r="D88" s="41"/>
      <c r="E88" s="41"/>
      <c r="M88" s="42"/>
      <c r="P88" s="37"/>
      <c r="X88" s="27" t="s">
        <v>460</v>
      </c>
      <c r="Y88" s="27">
        <v>12737</v>
      </c>
      <c r="Z88" s="27">
        <v>8971</v>
      </c>
      <c r="AA88" s="27">
        <v>21708</v>
      </c>
      <c r="AD88" s="46" t="s">
        <v>460</v>
      </c>
      <c r="AE88" s="46">
        <v>14539</v>
      </c>
      <c r="AF88" s="46">
        <v>7734</v>
      </c>
      <c r="AG88" s="46">
        <v>22273</v>
      </c>
      <c r="AJ88" s="27" t="s">
        <v>460</v>
      </c>
      <c r="AK88" s="27">
        <v>15093.785</v>
      </c>
      <c r="AL88" s="27">
        <v>5484.8689999999997</v>
      </c>
      <c r="AM88" s="27">
        <v>20578.653999999999</v>
      </c>
      <c r="AQ88" s="27" t="str">
        <f t="shared" si="57"/>
        <v>ctl</v>
      </c>
      <c r="AR88" s="27" t="s">
        <v>355</v>
      </c>
      <c r="AS88" s="27">
        <v>0</v>
      </c>
      <c r="AT88" s="27">
        <v>0.23300000000000001</v>
      </c>
      <c r="AU88" s="27">
        <v>42.9</v>
      </c>
      <c r="AV88" s="27">
        <v>965</v>
      </c>
      <c r="AW88" s="27">
        <v>728</v>
      </c>
      <c r="AX88" s="27">
        <v>12.6</v>
      </c>
      <c r="AY88" s="27">
        <v>0.59899999999999998</v>
      </c>
      <c r="AZ88" s="27">
        <v>432</v>
      </c>
      <c r="BA88" s="27">
        <v>19.7</v>
      </c>
      <c r="BB88" s="27">
        <v>2200</v>
      </c>
      <c r="BD88" t="s">
        <v>357</v>
      </c>
      <c r="BE88">
        <v>0</v>
      </c>
      <c r="BF88">
        <v>1796179459</v>
      </c>
      <c r="BG88">
        <v>1309007929</v>
      </c>
      <c r="BH88">
        <v>100531238</v>
      </c>
      <c r="BI88">
        <v>12195235</v>
      </c>
      <c r="BJ88">
        <v>605929013</v>
      </c>
      <c r="BK88">
        <v>24141174</v>
      </c>
      <c r="BL88">
        <v>27507413</v>
      </c>
      <c r="BN88" s="27" t="s">
        <v>357</v>
      </c>
      <c r="BO88" s="27">
        <f>'Weighted US Tariff'!Z91</f>
        <v>0</v>
      </c>
      <c r="BP88" s="27">
        <f>'Weighted US Tariff'!AA91</f>
        <v>1.6317419999998799E-2</v>
      </c>
      <c r="BQ88" s="27">
        <f>'Weighted US Tariff'!AB91</f>
        <v>7.2289249999995999E-3</v>
      </c>
      <c r="BR88" s="27">
        <f>'Weighted US Tariff'!AC91</f>
        <v>10</v>
      </c>
      <c r="BS88" s="27">
        <f>'Weighted US Tariff'!AD91</f>
        <v>15</v>
      </c>
      <c r="BT88" s="27">
        <f>'Weighted US Tariff'!AE91</f>
        <v>14.999999999999901</v>
      </c>
      <c r="BU88" s="27">
        <f>'Weighted US Tariff'!AF91</f>
        <v>12.183118144958399</v>
      </c>
      <c r="BV88" s="27">
        <f>'Weighted US Tariff'!AG91</f>
        <v>10.1155126801637</v>
      </c>
    </row>
    <row r="89" spans="4:74">
      <c r="D89" s="41"/>
      <c r="E89" s="41"/>
      <c r="J89" s="43"/>
      <c r="K89" s="44"/>
      <c r="L89" s="31"/>
      <c r="M89" s="42"/>
      <c r="P89" s="37"/>
      <c r="X89" s="27" t="s">
        <v>463</v>
      </c>
      <c r="Y89" s="27">
        <v>251158</v>
      </c>
      <c r="Z89" s="27">
        <v>98511</v>
      </c>
      <c r="AA89" s="27">
        <v>349669</v>
      </c>
      <c r="AD89" s="46" t="s">
        <v>463</v>
      </c>
      <c r="AE89" s="46">
        <v>285285</v>
      </c>
      <c r="AF89" s="46">
        <v>73105</v>
      </c>
      <c r="AG89" s="46">
        <v>358391</v>
      </c>
      <c r="AJ89" s="27" t="s">
        <v>463</v>
      </c>
      <c r="AK89" s="27">
        <v>275154.31300000002</v>
      </c>
      <c r="AL89" s="27">
        <v>54826.574000000001</v>
      </c>
      <c r="AM89" s="27">
        <v>329980.88699999999</v>
      </c>
      <c r="AQ89" s="27" t="str">
        <f t="shared" si="57"/>
        <v>oap</v>
      </c>
      <c r="AR89" s="27" t="s">
        <v>358</v>
      </c>
      <c r="AS89" s="27">
        <v>0</v>
      </c>
      <c r="AT89" s="27">
        <v>225</v>
      </c>
      <c r="AU89" s="27">
        <v>728</v>
      </c>
      <c r="AV89" s="27">
        <v>674</v>
      </c>
      <c r="AW89" s="27">
        <v>103</v>
      </c>
      <c r="AX89" s="27">
        <v>96.3</v>
      </c>
      <c r="AY89" s="27">
        <v>0.185</v>
      </c>
      <c r="AZ89" s="27">
        <v>160</v>
      </c>
      <c r="BA89" s="27">
        <v>18.600000000000001</v>
      </c>
      <c r="BB89" s="27">
        <v>2005</v>
      </c>
      <c r="BD89" t="s">
        <v>360</v>
      </c>
      <c r="BE89">
        <v>204574959</v>
      </c>
      <c r="BF89">
        <v>858514495</v>
      </c>
      <c r="BG89">
        <v>92718503</v>
      </c>
      <c r="BH89">
        <v>28188945</v>
      </c>
      <c r="BI89">
        <v>5972988</v>
      </c>
      <c r="BJ89">
        <v>206511013</v>
      </c>
      <c r="BK89">
        <v>1115705577</v>
      </c>
      <c r="BL89">
        <v>155428353</v>
      </c>
      <c r="BN89" s="27" t="s">
        <v>360</v>
      </c>
      <c r="BO89" s="27">
        <f>'Weighted US Tariff'!Z92</f>
        <v>19.983430914435601</v>
      </c>
      <c r="BP89" s="27">
        <f>'Weighted US Tariff'!AA92</f>
        <v>1.6317419999998799E-2</v>
      </c>
      <c r="BQ89" s="27">
        <f>'Weighted US Tariff'!AB92</f>
        <v>7.2289249999995999E-3</v>
      </c>
      <c r="BR89" s="27">
        <f>'Weighted US Tariff'!AC92</f>
        <v>10</v>
      </c>
      <c r="BS89" s="27">
        <f>'Weighted US Tariff'!AD92</f>
        <v>15</v>
      </c>
      <c r="BT89" s="27">
        <f>'Weighted US Tariff'!AE92</f>
        <v>14.998871464544999</v>
      </c>
      <c r="BU89" s="27">
        <f>'Weighted US Tariff'!AF92</f>
        <v>14.9387073665223</v>
      </c>
      <c r="BV89" s="27">
        <f>'Weighted US Tariff'!AG92</f>
        <v>10.443276517251601</v>
      </c>
    </row>
    <row r="90" spans="4:74">
      <c r="D90" s="41"/>
      <c r="E90" s="41"/>
      <c r="X90" s="27" t="s">
        <v>466</v>
      </c>
      <c r="Y90" s="27">
        <v>146625</v>
      </c>
      <c r="Z90" s="27">
        <v>1439</v>
      </c>
      <c r="AA90" s="27">
        <v>148065</v>
      </c>
      <c r="AD90" s="46" t="s">
        <v>466</v>
      </c>
      <c r="AE90" s="46">
        <v>149538</v>
      </c>
      <c r="AF90" s="46">
        <v>1535</v>
      </c>
      <c r="AG90" s="46">
        <v>151073</v>
      </c>
      <c r="AJ90" s="27" t="s">
        <v>466</v>
      </c>
      <c r="AK90" s="27">
        <v>137772.18799999999</v>
      </c>
      <c r="AL90" s="27">
        <v>1108.1669999999999</v>
      </c>
      <c r="AM90" s="27">
        <v>138880.35500000001</v>
      </c>
      <c r="AQ90" s="27" t="str">
        <f t="shared" si="57"/>
        <v>rmk</v>
      </c>
      <c r="AR90" s="27" t="s">
        <v>361</v>
      </c>
      <c r="AS90" s="27">
        <v>0</v>
      </c>
      <c r="AT90" s="27">
        <v>0.14699999999999999</v>
      </c>
      <c r="AU90" s="27">
        <v>4.92</v>
      </c>
      <c r="AV90" s="27">
        <v>6.3E-2</v>
      </c>
      <c r="AW90" s="27">
        <v>3.6999999999999998E-2</v>
      </c>
      <c r="AX90" s="27">
        <v>0.20899999999999999</v>
      </c>
      <c r="AY90" s="27">
        <v>0.01</v>
      </c>
      <c r="AZ90" s="27">
        <v>1.1499999999999999</v>
      </c>
      <c r="BA90" s="27">
        <v>0.04</v>
      </c>
      <c r="BB90" s="27">
        <v>6.57</v>
      </c>
      <c r="BD90" t="s">
        <v>366</v>
      </c>
      <c r="BE90">
        <v>23796</v>
      </c>
      <c r="BF90">
        <v>153507</v>
      </c>
      <c r="BG90">
        <v>9065</v>
      </c>
      <c r="BH90">
        <v>119073</v>
      </c>
      <c r="BI90">
        <v>0</v>
      </c>
      <c r="BJ90">
        <v>11152712</v>
      </c>
      <c r="BK90">
        <v>965514</v>
      </c>
      <c r="BL90">
        <v>101739</v>
      </c>
      <c r="BN90" s="27" t="s">
        <v>366</v>
      </c>
      <c r="BO90" s="27">
        <f>'Weighted US Tariff'!Z93</f>
        <v>20</v>
      </c>
      <c r="BP90" s="27">
        <f>'Weighted US Tariff'!AA93</f>
        <v>0.131042835</v>
      </c>
      <c r="BQ90" s="27">
        <f>'Weighted US Tariff'!AB93</f>
        <v>0.77892297499999796</v>
      </c>
      <c r="BR90" s="27">
        <f>'Weighted US Tariff'!AC93</f>
        <v>10</v>
      </c>
      <c r="BS90" s="27">
        <f>'Weighted US Tariff'!AD93</f>
        <v>0</v>
      </c>
      <c r="BT90" s="27">
        <f>'Weighted US Tariff'!AE93</f>
        <v>15</v>
      </c>
      <c r="BU90" s="27">
        <f>'Weighted US Tariff'!AF93</f>
        <v>10.3070965309669</v>
      </c>
      <c r="BV90" s="27">
        <f>'Weighted US Tariff'!AG93</f>
        <v>10</v>
      </c>
    </row>
    <row r="91" spans="4:74">
      <c r="D91" s="41"/>
      <c r="E91" s="41"/>
      <c r="X91" s="27" t="s">
        <v>469</v>
      </c>
      <c r="Y91" s="27">
        <v>15748</v>
      </c>
      <c r="Z91" s="27">
        <v>5.21</v>
      </c>
      <c r="AA91" s="27">
        <v>15753</v>
      </c>
      <c r="AD91" s="46" t="s">
        <v>469</v>
      </c>
      <c r="AE91" s="46">
        <v>16069</v>
      </c>
      <c r="AF91" s="46">
        <v>5.44</v>
      </c>
      <c r="AG91" s="46">
        <v>16075</v>
      </c>
      <c r="AJ91" s="27" t="s">
        <v>469</v>
      </c>
      <c r="AK91" s="27">
        <v>14774.768</v>
      </c>
      <c r="AL91" s="27">
        <v>3.0009999999999999</v>
      </c>
      <c r="AM91" s="27">
        <v>14777.768</v>
      </c>
      <c r="AQ91" s="27" t="str">
        <f t="shared" si="57"/>
        <v>wol</v>
      </c>
      <c r="AR91" s="27" t="s">
        <v>364</v>
      </c>
      <c r="AS91" s="27">
        <v>0</v>
      </c>
      <c r="AT91" s="27">
        <v>0.26700000000000002</v>
      </c>
      <c r="AU91" s="27">
        <v>1.94</v>
      </c>
      <c r="AV91" s="27">
        <v>0.91300000000000003</v>
      </c>
      <c r="AW91" s="27">
        <v>8.5000000000000006E-2</v>
      </c>
      <c r="AX91" s="27">
        <v>2.27</v>
      </c>
      <c r="AY91" s="27">
        <v>8.0000000000000002E-3</v>
      </c>
      <c r="AZ91" s="27">
        <v>4.05</v>
      </c>
      <c r="BA91" s="27">
        <v>0.88900000000000001</v>
      </c>
      <c r="BB91" s="27">
        <v>10.4</v>
      </c>
      <c r="BD91" t="s">
        <v>369</v>
      </c>
      <c r="BE91">
        <v>40528154</v>
      </c>
      <c r="BF91">
        <v>206025767</v>
      </c>
      <c r="BG91">
        <v>134122462</v>
      </c>
      <c r="BH91">
        <v>2191281</v>
      </c>
      <c r="BI91">
        <v>443135</v>
      </c>
      <c r="BJ91">
        <v>148750769</v>
      </c>
      <c r="BK91">
        <v>135755025</v>
      </c>
      <c r="BL91">
        <v>67972040</v>
      </c>
      <c r="BN91" s="27" t="s">
        <v>369</v>
      </c>
      <c r="BO91" s="27">
        <f>'Weighted US Tariff'!Z94</f>
        <v>17.429952274658199</v>
      </c>
      <c r="BP91" s="27">
        <f>'Weighted US Tariff'!AA94</f>
        <v>5.0682783203596102</v>
      </c>
      <c r="BQ91" s="27">
        <f>'Weighted US Tariff'!AB94</f>
        <v>0.78630595756472099</v>
      </c>
      <c r="BR91" s="27">
        <f>'Weighted US Tariff'!AC94</f>
        <v>9.5188795959988699</v>
      </c>
      <c r="BS91" s="27">
        <f>'Weighted US Tariff'!AD94</f>
        <v>5.91348009071727</v>
      </c>
      <c r="BT91" s="27">
        <f>'Weighted US Tariff'!AE94</f>
        <v>12.855964966473501</v>
      </c>
      <c r="BU91" s="27">
        <f>'Weighted US Tariff'!AF94</f>
        <v>12.329861123004401</v>
      </c>
      <c r="BV91" s="27">
        <f>'Weighted US Tariff'!AG94</f>
        <v>9.3178614324360396</v>
      </c>
    </row>
    <row r="92" spans="4:74">
      <c r="D92" s="41"/>
      <c r="E92" s="41"/>
      <c r="X92" s="27" t="s">
        <v>472</v>
      </c>
      <c r="Y92" s="27">
        <v>71475</v>
      </c>
      <c r="Z92" s="27">
        <v>11.7</v>
      </c>
      <c r="AA92" s="27">
        <v>71487</v>
      </c>
      <c r="AD92" s="46" t="s">
        <v>472</v>
      </c>
      <c r="AE92" s="46">
        <v>72975</v>
      </c>
      <c r="AF92" s="46">
        <v>12.3</v>
      </c>
      <c r="AG92" s="46">
        <v>72988</v>
      </c>
      <c r="AJ92" s="27" t="s">
        <v>472</v>
      </c>
      <c r="AK92" s="27">
        <v>67083.273000000001</v>
      </c>
      <c r="AL92" s="27">
        <v>6.8959999999999999</v>
      </c>
      <c r="AM92" s="27">
        <v>67090.168999999994</v>
      </c>
      <c r="AQ92" s="27" t="str">
        <f t="shared" si="57"/>
        <v>frs</v>
      </c>
      <c r="AR92" s="27" t="s">
        <v>367</v>
      </c>
      <c r="AS92" s="27">
        <v>0</v>
      </c>
      <c r="AT92" s="27">
        <v>27.2</v>
      </c>
      <c r="AU92" s="27">
        <v>115</v>
      </c>
      <c r="AV92" s="27">
        <v>80</v>
      </c>
      <c r="AW92" s="27">
        <v>55.4</v>
      </c>
      <c r="AX92" s="27">
        <v>46.6</v>
      </c>
      <c r="AY92" s="27">
        <v>1.3</v>
      </c>
      <c r="AZ92" s="27">
        <v>65.599999999999994</v>
      </c>
      <c r="BA92" s="27">
        <v>2.73</v>
      </c>
      <c r="BB92" s="27">
        <v>394</v>
      </c>
      <c r="BD92" t="s">
        <v>372</v>
      </c>
      <c r="BE92">
        <v>15871504</v>
      </c>
      <c r="BF92">
        <v>1378346237</v>
      </c>
      <c r="BG92">
        <v>203208090</v>
      </c>
      <c r="BH92">
        <v>166406183</v>
      </c>
      <c r="BI92">
        <v>73991275</v>
      </c>
      <c r="BJ92">
        <v>172957654</v>
      </c>
      <c r="BK92">
        <v>903961335</v>
      </c>
      <c r="BL92">
        <v>433522706</v>
      </c>
      <c r="BN92" s="27" t="s">
        <v>372</v>
      </c>
      <c r="BO92" s="27">
        <f>'Weighted US Tariff'!Z95</f>
        <v>19.169954529828999</v>
      </c>
      <c r="BP92" s="27">
        <f>'Weighted US Tariff'!AA95</f>
        <v>1.7892209999999499E-2</v>
      </c>
      <c r="BQ92" s="27">
        <f>'Weighted US Tariff'!AB95</f>
        <v>0</v>
      </c>
      <c r="BR92" s="27">
        <f>'Weighted US Tariff'!AC95</f>
        <v>9.9998566759986307</v>
      </c>
      <c r="BS92" s="27">
        <f>'Weighted US Tariff'!AD95</f>
        <v>14.9979727339473</v>
      </c>
      <c r="BT92" s="27">
        <f>'Weighted US Tariff'!AE95</f>
        <v>14.9698277012938</v>
      </c>
      <c r="BU92" s="27">
        <f>'Weighted US Tariff'!AF95</f>
        <v>13.364109133052599</v>
      </c>
      <c r="BV92" s="27">
        <f>'Weighted US Tariff'!AG95</f>
        <v>11.612171314966799</v>
      </c>
    </row>
    <row r="93" spans="4:74">
      <c r="D93" s="41"/>
      <c r="E93" s="41"/>
      <c r="X93" s="27" t="s">
        <v>475</v>
      </c>
      <c r="Y93" s="27">
        <v>2089</v>
      </c>
      <c r="Z93" s="27">
        <v>5</v>
      </c>
      <c r="AA93" s="27">
        <v>2094</v>
      </c>
      <c r="AD93" s="46" t="s">
        <v>475</v>
      </c>
      <c r="AE93" s="46">
        <v>2134</v>
      </c>
      <c r="AF93" s="46">
        <v>5.21</v>
      </c>
      <c r="AG93" s="46">
        <v>2139</v>
      </c>
      <c r="AJ93" s="27" t="s">
        <v>475</v>
      </c>
      <c r="AK93" s="27">
        <v>1962.4490000000001</v>
      </c>
      <c r="AL93" s="27">
        <v>3.7749999999999999</v>
      </c>
      <c r="AM93" s="27">
        <v>1966.223</v>
      </c>
      <c r="AQ93" s="27" t="str">
        <f t="shared" si="57"/>
        <v>fsh</v>
      </c>
      <c r="AR93" s="27" t="s">
        <v>370</v>
      </c>
      <c r="AS93" s="27">
        <v>0</v>
      </c>
      <c r="AT93" s="27">
        <v>7.78</v>
      </c>
      <c r="AU93" s="27">
        <v>943</v>
      </c>
      <c r="AV93" s="27">
        <v>1322</v>
      </c>
      <c r="AW93" s="27">
        <v>121</v>
      </c>
      <c r="AX93" s="27">
        <v>258</v>
      </c>
      <c r="AY93" s="27">
        <v>41.6</v>
      </c>
      <c r="AZ93" s="27">
        <v>97.3</v>
      </c>
      <c r="BA93" s="27">
        <v>310</v>
      </c>
      <c r="BB93" s="27">
        <v>3101</v>
      </c>
      <c r="BD93" t="s">
        <v>375</v>
      </c>
      <c r="BE93">
        <v>9715039</v>
      </c>
      <c r="BF93">
        <v>196010516</v>
      </c>
      <c r="BG93">
        <v>2912</v>
      </c>
      <c r="BH93">
        <v>4347885</v>
      </c>
      <c r="BI93">
        <v>0</v>
      </c>
      <c r="BJ93">
        <v>14178115</v>
      </c>
      <c r="BK93">
        <v>83000</v>
      </c>
      <c r="BL93">
        <v>136435023</v>
      </c>
      <c r="BN93" s="27" t="s">
        <v>375</v>
      </c>
      <c r="BO93" s="27">
        <f>'Weighted US Tariff'!Z96</f>
        <v>10</v>
      </c>
      <c r="BP93" s="27">
        <f>'Weighted US Tariff'!AA96</f>
        <v>7.7975495544812895E-2</v>
      </c>
      <c r="BQ93" s="27">
        <f>'Weighted US Tariff'!AB96</f>
        <v>9.2931141749999995</v>
      </c>
      <c r="BR93" s="27">
        <f>'Weighted US Tariff'!AC96</f>
        <v>0</v>
      </c>
      <c r="BS93" s="27">
        <f>'Weighted US Tariff'!AD96</f>
        <v>0</v>
      </c>
      <c r="BT93" s="27">
        <f>'Weighted US Tariff'!AE96</f>
        <v>0</v>
      </c>
      <c r="BU93" s="27">
        <f>'Weighted US Tariff'!AF96</f>
        <v>0</v>
      </c>
      <c r="BV93" s="27">
        <f>'Weighted US Tariff'!AG96</f>
        <v>0</v>
      </c>
    </row>
    <row r="94" spans="4:74">
      <c r="D94" s="41"/>
      <c r="E94" s="41"/>
      <c r="X94" s="27" t="s">
        <v>477</v>
      </c>
      <c r="Y94" s="27">
        <v>1933746</v>
      </c>
      <c r="Z94" s="27">
        <v>4902</v>
      </c>
      <c r="AA94" s="27">
        <v>1938649</v>
      </c>
      <c r="AD94" s="46" t="s">
        <v>477</v>
      </c>
      <c r="AE94" s="46">
        <v>1973566</v>
      </c>
      <c r="AF94" s="46">
        <v>5107</v>
      </c>
      <c r="AG94" s="46">
        <v>1978673</v>
      </c>
      <c r="AJ94" s="27" t="s">
        <v>477</v>
      </c>
      <c r="AK94" s="27">
        <v>1814256.125</v>
      </c>
      <c r="AL94" s="27">
        <v>4296.7269999999999</v>
      </c>
      <c r="AM94" s="27">
        <v>1818552.852</v>
      </c>
      <c r="AQ94" s="27" t="str">
        <f t="shared" si="57"/>
        <v>coa</v>
      </c>
      <c r="AR94" s="27" t="s">
        <v>373</v>
      </c>
      <c r="AS94" s="27">
        <v>0</v>
      </c>
      <c r="AT94" s="27">
        <v>7.2999999999999995E-2</v>
      </c>
      <c r="AU94" s="27">
        <v>44.8</v>
      </c>
      <c r="AV94" s="27">
        <v>74.8</v>
      </c>
      <c r="AW94" s="27">
        <v>8.5999999999999993E-2</v>
      </c>
      <c r="AX94" s="27">
        <v>303</v>
      </c>
      <c r="AY94" s="27">
        <v>0</v>
      </c>
      <c r="AZ94" s="27">
        <v>0.48499999999999999</v>
      </c>
      <c r="BA94" s="27">
        <v>1.4E-2</v>
      </c>
      <c r="BB94" s="27">
        <v>423</v>
      </c>
      <c r="BD94" t="s">
        <v>378</v>
      </c>
      <c r="BE94">
        <v>0</v>
      </c>
      <c r="BF94">
        <v>96442941514</v>
      </c>
      <c r="BG94">
        <v>10513729586</v>
      </c>
      <c r="BH94">
        <v>922611505</v>
      </c>
      <c r="BI94">
        <v>0</v>
      </c>
      <c r="BJ94">
        <v>34667</v>
      </c>
      <c r="BK94">
        <v>41688416059</v>
      </c>
      <c r="BL94">
        <v>5814401817</v>
      </c>
      <c r="BN94" s="27" t="s">
        <v>378</v>
      </c>
      <c r="BO94" s="27">
        <f>'Weighted US Tariff'!Z97</f>
        <v>0</v>
      </c>
      <c r="BP94" s="27">
        <f>'Weighted US Tariff'!AA97</f>
        <v>7.0283239999999705E-2</v>
      </c>
      <c r="BQ94" s="27">
        <f>'Weighted US Tariff'!AB97</f>
        <v>9.2931141749999995</v>
      </c>
      <c r="BR94" s="27">
        <f>'Weighted US Tariff'!AC97</f>
        <v>0</v>
      </c>
      <c r="BS94" s="27">
        <f>'Weighted US Tariff'!AD97</f>
        <v>0</v>
      </c>
      <c r="BT94" s="27">
        <f>'Weighted US Tariff'!AE97</f>
        <v>0</v>
      </c>
      <c r="BU94" s="27">
        <f>'Weighted US Tariff'!AF97</f>
        <v>0</v>
      </c>
      <c r="BV94" s="27">
        <f>'Weighted US Tariff'!AG97</f>
        <v>0</v>
      </c>
    </row>
    <row r="95" spans="4:74">
      <c r="D95" s="41"/>
      <c r="E95" s="41"/>
      <c r="X95" s="27" t="s">
        <v>480</v>
      </c>
      <c r="Y95" s="27">
        <v>837174</v>
      </c>
      <c r="Z95" s="27">
        <v>76110</v>
      </c>
      <c r="AA95" s="27">
        <v>913284</v>
      </c>
      <c r="AD95" s="46" t="s">
        <v>480</v>
      </c>
      <c r="AE95" s="46">
        <v>853495</v>
      </c>
      <c r="AF95" s="46">
        <v>78559</v>
      </c>
      <c r="AG95" s="46">
        <v>932053</v>
      </c>
      <c r="AJ95" s="27" t="s">
        <v>480</v>
      </c>
      <c r="AK95" s="27">
        <v>789074.375</v>
      </c>
      <c r="AL95" s="27">
        <v>68143.789000000004</v>
      </c>
      <c r="AM95" s="27">
        <v>857218.16399999999</v>
      </c>
      <c r="AQ95" s="27" t="str">
        <f t="shared" si="57"/>
        <v>oil</v>
      </c>
      <c r="AR95" s="27" t="s">
        <v>376</v>
      </c>
      <c r="AS95" s="27">
        <v>0</v>
      </c>
      <c r="AT95" s="27">
        <v>35.700000000000003</v>
      </c>
      <c r="AU95" s="27">
        <v>72082</v>
      </c>
      <c r="AV95" s="27">
        <v>46120</v>
      </c>
      <c r="AW95" s="27">
        <v>11477</v>
      </c>
      <c r="AX95" s="27">
        <v>6352</v>
      </c>
      <c r="AY95" s="27">
        <v>3.7999999999999999E-2</v>
      </c>
      <c r="AZ95" s="27">
        <v>76.900000000000006</v>
      </c>
      <c r="BA95" s="27">
        <v>215</v>
      </c>
      <c r="BB95" s="27">
        <v>136359</v>
      </c>
      <c r="BD95" t="s">
        <v>381</v>
      </c>
      <c r="BE95">
        <v>342050</v>
      </c>
      <c r="BF95">
        <v>4942330892</v>
      </c>
      <c r="BG95">
        <v>1620331</v>
      </c>
      <c r="BH95">
        <v>0</v>
      </c>
      <c r="BI95">
        <v>0</v>
      </c>
      <c r="BJ95">
        <v>0</v>
      </c>
      <c r="BK95">
        <v>951680935</v>
      </c>
      <c r="BL95">
        <v>1659624</v>
      </c>
      <c r="BN95" s="27" t="s">
        <v>381</v>
      </c>
      <c r="BO95" s="27">
        <f>'Weighted US Tariff'!Z98</f>
        <v>10</v>
      </c>
      <c r="BP95" s="27">
        <f>'Weighted US Tariff'!AA98</f>
        <v>7.0283239999999705E-2</v>
      </c>
      <c r="BQ95" s="27">
        <f>'Weighted US Tariff'!AB98</f>
        <v>9.2931141749999995</v>
      </c>
      <c r="BR95" s="27">
        <f>'Weighted US Tariff'!AC98</f>
        <v>0</v>
      </c>
      <c r="BS95" s="27">
        <f>'Weighted US Tariff'!AD98</f>
        <v>0</v>
      </c>
      <c r="BT95" s="27">
        <f>'Weighted US Tariff'!AE98</f>
        <v>0</v>
      </c>
      <c r="BU95" s="27">
        <f>'Weighted US Tariff'!AF98</f>
        <v>0</v>
      </c>
      <c r="BV95" s="27">
        <f>'Weighted US Tariff'!AG98</f>
        <v>0</v>
      </c>
    </row>
    <row r="96" spans="4:74">
      <c r="D96" s="41"/>
      <c r="E96" s="41"/>
      <c r="M96" s="42"/>
      <c r="P96" s="37"/>
      <c r="X96" s="27" t="s">
        <v>483</v>
      </c>
      <c r="Y96" s="27">
        <v>191297</v>
      </c>
      <c r="Z96" s="27">
        <v>1265</v>
      </c>
      <c r="AA96" s="27">
        <v>192562</v>
      </c>
      <c r="AD96" s="46" t="s">
        <v>483</v>
      </c>
      <c r="AE96" s="46">
        <v>195187</v>
      </c>
      <c r="AF96" s="46">
        <v>1306</v>
      </c>
      <c r="AG96" s="46">
        <v>196493</v>
      </c>
      <c r="AJ96" s="27" t="s">
        <v>483</v>
      </c>
      <c r="AK96" s="27">
        <v>180067.54699999999</v>
      </c>
      <c r="AL96" s="27">
        <v>1146.71</v>
      </c>
      <c r="AM96" s="27">
        <v>181214.25700000001</v>
      </c>
      <c r="AQ96" s="27" t="str">
        <f t="shared" si="57"/>
        <v>gas</v>
      </c>
      <c r="AR96" s="27" t="s">
        <v>379</v>
      </c>
      <c r="AS96" s="27">
        <v>0</v>
      </c>
      <c r="AT96" s="27">
        <v>1E-3</v>
      </c>
      <c r="AU96" s="27">
        <v>1004</v>
      </c>
      <c r="AV96" s="27">
        <v>17178</v>
      </c>
      <c r="AW96" s="27">
        <v>0.33600000000000002</v>
      </c>
      <c r="AX96" s="27">
        <v>15.6</v>
      </c>
      <c r="AY96" s="27">
        <v>0</v>
      </c>
      <c r="AZ96" s="27">
        <v>5.41</v>
      </c>
      <c r="BA96" s="27">
        <v>5.1999999999999998E-2</v>
      </c>
      <c r="BB96" s="27">
        <v>18203</v>
      </c>
      <c r="BD96" t="s">
        <v>384</v>
      </c>
      <c r="BE96">
        <v>348720404</v>
      </c>
      <c r="BF96">
        <v>1434849922</v>
      </c>
      <c r="BG96">
        <v>485343375</v>
      </c>
      <c r="BH96">
        <v>55902449</v>
      </c>
      <c r="BI96">
        <v>35639179</v>
      </c>
      <c r="BJ96">
        <v>415251253</v>
      </c>
      <c r="BK96">
        <v>2111789449</v>
      </c>
      <c r="BL96">
        <v>1825517288</v>
      </c>
      <c r="BN96" s="27" t="s">
        <v>384</v>
      </c>
      <c r="BO96" s="27">
        <f>'Weighted US Tariff'!Z99</f>
        <v>11.8252485449632</v>
      </c>
      <c r="BP96" s="27">
        <f>'Weighted US Tariff'!AA99</f>
        <v>1.2814146617683999</v>
      </c>
      <c r="BQ96" s="27">
        <f>'Weighted US Tariff'!AB99</f>
        <v>3.4531125000000697E-2</v>
      </c>
      <c r="BR96" s="27">
        <f>'Weighted US Tariff'!AC99</f>
        <v>9.19907587590661</v>
      </c>
      <c r="BS96" s="27">
        <f>'Weighted US Tariff'!AD99</f>
        <v>6.7070694866455796</v>
      </c>
      <c r="BT96" s="27">
        <f>'Weighted US Tariff'!AE99</f>
        <v>11.8735204033207</v>
      </c>
      <c r="BU96" s="27">
        <f>'Weighted US Tariff'!AF99</f>
        <v>10.1829395019389</v>
      </c>
      <c r="BV96" s="27">
        <f>'Weighted US Tariff'!AG99</f>
        <v>1.7404579983358599</v>
      </c>
    </row>
    <row r="97" spans="4:74">
      <c r="D97" s="41"/>
      <c r="E97" s="41"/>
      <c r="J97" s="43"/>
      <c r="K97" s="44"/>
      <c r="L97" s="31"/>
      <c r="M97" s="42"/>
      <c r="P97" s="37"/>
      <c r="X97" s="27" t="s">
        <v>486</v>
      </c>
      <c r="Y97" s="27">
        <v>22351</v>
      </c>
      <c r="Z97" s="27">
        <v>233</v>
      </c>
      <c r="AA97" s="27">
        <v>22583</v>
      </c>
      <c r="AD97" s="46" t="s">
        <v>486</v>
      </c>
      <c r="AE97" s="46">
        <v>22803</v>
      </c>
      <c r="AF97" s="46">
        <v>240</v>
      </c>
      <c r="AG97" s="46">
        <v>23044</v>
      </c>
      <c r="AJ97" s="27" t="s">
        <v>486</v>
      </c>
      <c r="AK97" s="27">
        <v>21058.016</v>
      </c>
      <c r="AL97" s="27">
        <v>211.268</v>
      </c>
      <c r="AM97" s="27">
        <v>21269.284</v>
      </c>
      <c r="AQ97" s="27" t="str">
        <f t="shared" si="57"/>
        <v>oxt</v>
      </c>
      <c r="AR97" s="27" t="s">
        <v>382</v>
      </c>
      <c r="AS97" s="27">
        <v>0</v>
      </c>
      <c r="AT97" s="27">
        <v>315</v>
      </c>
      <c r="AU97" s="27">
        <v>2646</v>
      </c>
      <c r="AV97" s="27">
        <v>1262</v>
      </c>
      <c r="AW97" s="27">
        <v>346</v>
      </c>
      <c r="AX97" s="27">
        <v>1298</v>
      </c>
      <c r="AY97" s="27">
        <v>52.3</v>
      </c>
      <c r="AZ97" s="27">
        <v>525</v>
      </c>
      <c r="BA97" s="27">
        <v>45.2</v>
      </c>
      <c r="BB97" s="27">
        <v>6490</v>
      </c>
      <c r="BD97" t="s">
        <v>387</v>
      </c>
      <c r="BE97">
        <v>219363</v>
      </c>
      <c r="BF97">
        <v>2777884912</v>
      </c>
      <c r="BG97">
        <v>1906424101</v>
      </c>
      <c r="BH97">
        <v>8929497</v>
      </c>
      <c r="BI97">
        <v>72174190</v>
      </c>
      <c r="BJ97">
        <v>88075810</v>
      </c>
      <c r="BK97">
        <v>3267283095</v>
      </c>
      <c r="BL97">
        <v>4437544437</v>
      </c>
      <c r="BN97" s="27" t="s">
        <v>387</v>
      </c>
      <c r="BO97" s="27">
        <f>'Weighted US Tariff'!Z100</f>
        <v>20</v>
      </c>
      <c r="BP97" s="27">
        <f>'Weighted US Tariff'!AA100</f>
        <v>0.92901297999999899</v>
      </c>
      <c r="BQ97" s="27">
        <f>'Weighted US Tariff'!AB100</f>
        <v>0.13673027499999901</v>
      </c>
      <c r="BR97" s="27">
        <f>'Weighted US Tariff'!AC100</f>
        <v>1.6810051002872799</v>
      </c>
      <c r="BS97" s="27">
        <f>'Weighted US Tariff'!AD100</f>
        <v>0</v>
      </c>
      <c r="BT97" s="27">
        <f>'Weighted US Tariff'!AE100</f>
        <v>6.4443814936246397</v>
      </c>
      <c r="BU97" s="27">
        <f>'Weighted US Tariff'!AF100</f>
        <v>1.2113250841522101</v>
      </c>
      <c r="BV97" s="27">
        <f>'Weighted US Tariff'!AG100</f>
        <v>2.5435838205669299</v>
      </c>
    </row>
    <row r="98" spans="4:74">
      <c r="D98" s="41"/>
      <c r="E98" s="41"/>
      <c r="X98" s="27" t="s">
        <v>489</v>
      </c>
      <c r="Y98" s="27">
        <v>116842</v>
      </c>
      <c r="Z98" s="27">
        <v>30880</v>
      </c>
      <c r="AA98" s="27">
        <v>147722</v>
      </c>
      <c r="AD98" s="46" t="s">
        <v>489</v>
      </c>
      <c r="AE98" s="46">
        <v>118906</v>
      </c>
      <c r="AF98" s="46">
        <v>31757</v>
      </c>
      <c r="AG98" s="46">
        <v>150663</v>
      </c>
      <c r="AJ98" s="27" t="s">
        <v>489</v>
      </c>
      <c r="AK98" s="27">
        <v>110634.461</v>
      </c>
      <c r="AL98" s="27">
        <v>28685.127</v>
      </c>
      <c r="AM98" s="27">
        <v>139319.58799999999</v>
      </c>
      <c r="AQ98" s="27" t="str">
        <f t="shared" si="57"/>
        <v>cmt</v>
      </c>
      <c r="AR98" s="27" t="s">
        <v>385</v>
      </c>
      <c r="AS98" s="27">
        <v>0</v>
      </c>
      <c r="AT98" s="27">
        <v>119</v>
      </c>
      <c r="AU98" s="27">
        <v>1468</v>
      </c>
      <c r="AV98" s="27">
        <v>1370</v>
      </c>
      <c r="AW98" s="27">
        <v>1091</v>
      </c>
      <c r="AX98" s="27">
        <v>2434</v>
      </c>
      <c r="AY98" s="27">
        <v>23.1</v>
      </c>
      <c r="AZ98" s="27">
        <v>42</v>
      </c>
      <c r="BA98" s="27">
        <v>6.29</v>
      </c>
      <c r="BB98" s="27">
        <v>6553</v>
      </c>
      <c r="BD98" t="s">
        <v>390</v>
      </c>
      <c r="BE98">
        <v>8841921</v>
      </c>
      <c r="BF98">
        <v>1954366997</v>
      </c>
      <c r="BG98">
        <v>254342225</v>
      </c>
      <c r="BH98">
        <v>28665121</v>
      </c>
      <c r="BI98">
        <v>118515</v>
      </c>
      <c r="BJ98">
        <v>766363870</v>
      </c>
      <c r="BK98">
        <v>711516802</v>
      </c>
      <c r="BL98">
        <v>322623157</v>
      </c>
      <c r="BN98" s="27" t="s">
        <v>390</v>
      </c>
      <c r="BO98" s="27">
        <f>'Weighted US Tariff'!Z101</f>
        <v>19.9964645691812</v>
      </c>
      <c r="BP98" s="27">
        <f>'Weighted US Tariff'!AA101</f>
        <v>0.92901297999999899</v>
      </c>
      <c r="BQ98" s="27">
        <f>'Weighted US Tariff'!AB101</f>
        <v>0.13673027499999901</v>
      </c>
      <c r="BR98" s="27">
        <f>'Weighted US Tariff'!AC101</f>
        <v>10</v>
      </c>
      <c r="BS98" s="27">
        <f>'Weighted US Tariff'!AD101</f>
        <v>15</v>
      </c>
      <c r="BT98" s="27">
        <f>'Weighted US Tariff'!AE101</f>
        <v>14.995697924799</v>
      </c>
      <c r="BU98" s="27">
        <f>'Weighted US Tariff'!AF101</f>
        <v>2.8214865205670798</v>
      </c>
      <c r="BV98" s="27">
        <f>'Weighted US Tariff'!AG101</f>
        <v>9.7809603450133</v>
      </c>
    </row>
    <row r="99" spans="4:74">
      <c r="D99" s="41"/>
      <c r="E99" s="41"/>
      <c r="X99" s="27" t="s">
        <v>492</v>
      </c>
      <c r="Y99" s="27">
        <v>4914</v>
      </c>
      <c r="Z99" s="27">
        <v>14.5</v>
      </c>
      <c r="AA99" s="27">
        <v>4928</v>
      </c>
      <c r="AD99" s="46" t="s">
        <v>492</v>
      </c>
      <c r="AE99" s="46">
        <v>5016</v>
      </c>
      <c r="AF99" s="46">
        <v>15.1</v>
      </c>
      <c r="AG99" s="46">
        <v>5031</v>
      </c>
      <c r="AJ99" s="27" t="s">
        <v>492</v>
      </c>
      <c r="AK99" s="27">
        <v>4611.6859999999997</v>
      </c>
      <c r="AL99" s="27">
        <v>12.936</v>
      </c>
      <c r="AM99" s="27">
        <v>4624.6220000000003</v>
      </c>
      <c r="AQ99" s="27" t="str">
        <f t="shared" si="57"/>
        <v>omt</v>
      </c>
      <c r="AR99" s="27" t="s">
        <v>388</v>
      </c>
      <c r="AS99" s="27">
        <v>0</v>
      </c>
      <c r="AT99" s="27">
        <v>20.100000000000001</v>
      </c>
      <c r="AU99" s="27">
        <v>418</v>
      </c>
      <c r="AV99" s="27">
        <v>1463</v>
      </c>
      <c r="AW99" s="27">
        <v>76.5</v>
      </c>
      <c r="AX99" s="27">
        <v>232</v>
      </c>
      <c r="AY99" s="27">
        <v>0.36299999999999999</v>
      </c>
      <c r="AZ99" s="27">
        <v>747</v>
      </c>
      <c r="BA99" s="27">
        <v>35</v>
      </c>
      <c r="BB99" s="27">
        <v>2992</v>
      </c>
      <c r="BD99" t="s">
        <v>393</v>
      </c>
      <c r="BE99">
        <v>70876896</v>
      </c>
      <c r="BF99">
        <v>6204551131</v>
      </c>
      <c r="BG99">
        <v>631555483</v>
      </c>
      <c r="BH99">
        <v>19232994</v>
      </c>
      <c r="BI99">
        <v>67937703</v>
      </c>
      <c r="BJ99">
        <v>2869591478</v>
      </c>
      <c r="BK99">
        <v>5536189278</v>
      </c>
      <c r="BL99">
        <v>524893538</v>
      </c>
      <c r="BN99" s="27" t="s">
        <v>393</v>
      </c>
      <c r="BO99" s="27">
        <f>'Weighted US Tariff'!Z102</f>
        <v>19.7244877935963</v>
      </c>
      <c r="BP99" s="27">
        <f>'Weighted US Tariff'!AA102</f>
        <v>0.92901297999999899</v>
      </c>
      <c r="BQ99" s="27">
        <f>'Weighted US Tariff'!AB102</f>
        <v>0.13673027499999901</v>
      </c>
      <c r="BR99" s="27">
        <f>'Weighted US Tariff'!AC102</f>
        <v>9.7973113286470106</v>
      </c>
      <c r="BS99" s="27">
        <f>'Weighted US Tariff'!AD102</f>
        <v>14.689530789699999</v>
      </c>
      <c r="BT99" s="27">
        <f>'Weighted US Tariff'!AE102</f>
        <v>14.9882013275201</v>
      </c>
      <c r="BU99" s="27">
        <f>'Weighted US Tariff'!AF102</f>
        <v>14.5257710150133</v>
      </c>
      <c r="BV99" s="27">
        <f>'Weighted US Tariff'!AG102</f>
        <v>10.878639090809299</v>
      </c>
    </row>
    <row r="100" spans="4:74">
      <c r="D100" s="41"/>
      <c r="E100" s="41"/>
      <c r="X100" s="27" t="s">
        <v>495</v>
      </c>
      <c r="Y100" s="27">
        <v>516266</v>
      </c>
      <c r="Z100" s="27">
        <v>19287</v>
      </c>
      <c r="AA100" s="27">
        <v>535553</v>
      </c>
      <c r="AD100" s="46" t="s">
        <v>495</v>
      </c>
      <c r="AE100" s="46">
        <v>526637</v>
      </c>
      <c r="AF100" s="46">
        <v>19961</v>
      </c>
      <c r="AG100" s="46">
        <v>546598</v>
      </c>
      <c r="AJ100" s="27" t="s">
        <v>495</v>
      </c>
      <c r="AK100" s="27">
        <v>485567.81300000002</v>
      </c>
      <c r="AL100" s="27">
        <v>17071.469000000001</v>
      </c>
      <c r="AM100" s="27">
        <v>502639.28100000002</v>
      </c>
      <c r="AQ100" s="27" t="str">
        <f t="shared" si="57"/>
        <v>vol</v>
      </c>
      <c r="AR100" s="27" t="s">
        <v>391</v>
      </c>
      <c r="AS100" s="27">
        <v>0</v>
      </c>
      <c r="AT100" s="27">
        <v>113</v>
      </c>
      <c r="AU100" s="27">
        <v>3028</v>
      </c>
      <c r="AV100" s="27">
        <v>3129</v>
      </c>
      <c r="AW100" s="27">
        <v>154</v>
      </c>
      <c r="AX100" s="27">
        <v>232</v>
      </c>
      <c r="AY100" s="27">
        <v>52.2</v>
      </c>
      <c r="AZ100" s="27">
        <v>1502</v>
      </c>
      <c r="BA100" s="27">
        <v>14.6</v>
      </c>
      <c r="BB100" s="27">
        <v>8224</v>
      </c>
      <c r="BD100" t="s">
        <v>396</v>
      </c>
      <c r="BE100">
        <v>2169591</v>
      </c>
      <c r="BF100">
        <v>272553108</v>
      </c>
      <c r="BG100">
        <v>218627877</v>
      </c>
      <c r="BH100">
        <v>90015848</v>
      </c>
      <c r="BI100">
        <v>6367930</v>
      </c>
      <c r="BJ100">
        <v>2312656332</v>
      </c>
      <c r="BK100">
        <v>990005380</v>
      </c>
      <c r="BL100">
        <v>228236334</v>
      </c>
      <c r="BN100" s="27" t="s">
        <v>396</v>
      </c>
      <c r="BO100" s="27">
        <f>'Weighted US Tariff'!Z103</f>
        <v>20</v>
      </c>
      <c r="BP100" s="27">
        <f>'Weighted US Tariff'!AA103</f>
        <v>0.92901297999999899</v>
      </c>
      <c r="BQ100" s="27">
        <f>'Weighted US Tariff'!AB103</f>
        <v>0.13673027499999901</v>
      </c>
      <c r="BR100" s="27">
        <f>'Weighted US Tariff'!AC103</f>
        <v>10</v>
      </c>
      <c r="BS100" s="27">
        <f>'Weighted US Tariff'!AD103</f>
        <v>15</v>
      </c>
      <c r="BT100" s="27">
        <f>'Weighted US Tariff'!AE103</f>
        <v>15</v>
      </c>
      <c r="BU100" s="27">
        <f>'Weighted US Tariff'!AF103</f>
        <v>12.163988453274801</v>
      </c>
      <c r="BV100" s="27">
        <f>'Weighted US Tariff'!AG103</f>
        <v>13.5250921310364</v>
      </c>
    </row>
    <row r="101" spans="4:74">
      <c r="D101" s="41"/>
      <c r="E101" s="41"/>
      <c r="X101" s="27" t="s">
        <v>498</v>
      </c>
      <c r="Y101" s="27">
        <v>480342</v>
      </c>
      <c r="Z101" s="27">
        <v>3573</v>
      </c>
      <c r="AA101" s="27">
        <v>483915</v>
      </c>
      <c r="AD101" s="46" t="s">
        <v>498</v>
      </c>
      <c r="AE101" s="46">
        <v>490152</v>
      </c>
      <c r="AF101" s="46">
        <v>3682</v>
      </c>
      <c r="AG101" s="46">
        <v>493834</v>
      </c>
      <c r="AJ101" s="27" t="s">
        <v>498</v>
      </c>
      <c r="AK101" s="27">
        <v>450727.59399999998</v>
      </c>
      <c r="AL101" s="27">
        <v>3136.34</v>
      </c>
      <c r="AM101" s="27">
        <v>453863.93400000001</v>
      </c>
      <c r="AQ101" s="27" t="str">
        <f t="shared" si="57"/>
        <v>mil</v>
      </c>
      <c r="AR101" s="27" t="s">
        <v>394</v>
      </c>
      <c r="AS101" s="27">
        <v>0</v>
      </c>
      <c r="AT101" s="27">
        <v>1.42</v>
      </c>
      <c r="AU101" s="27">
        <v>727</v>
      </c>
      <c r="AV101" s="27">
        <v>129</v>
      </c>
      <c r="AW101" s="27">
        <v>101</v>
      </c>
      <c r="AX101" s="27">
        <v>134</v>
      </c>
      <c r="AY101" s="27">
        <v>2.08</v>
      </c>
      <c r="AZ101" s="27">
        <v>1285</v>
      </c>
      <c r="BA101" s="27">
        <v>70.7</v>
      </c>
      <c r="BB101" s="27">
        <v>2450</v>
      </c>
      <c r="BD101" t="s">
        <v>399</v>
      </c>
      <c r="BE101">
        <v>56468571</v>
      </c>
      <c r="BF101">
        <v>26380521</v>
      </c>
      <c r="BG101">
        <v>11937168</v>
      </c>
      <c r="BH101">
        <v>682789</v>
      </c>
      <c r="BI101">
        <v>16010963</v>
      </c>
      <c r="BJ101">
        <v>27828257</v>
      </c>
      <c r="BK101">
        <v>1320055441</v>
      </c>
      <c r="BL101">
        <v>6961680</v>
      </c>
      <c r="BN101" s="27" t="s">
        <v>399</v>
      </c>
      <c r="BO101" s="27">
        <f>'Weighted US Tariff'!Z104</f>
        <v>20</v>
      </c>
      <c r="BP101" s="27">
        <f>'Weighted US Tariff'!AA104</f>
        <v>0.92901297999999899</v>
      </c>
      <c r="BQ101" s="27">
        <f>'Weighted US Tariff'!AB104</f>
        <v>0.13673027499999901</v>
      </c>
      <c r="BR101" s="27">
        <f>'Weighted US Tariff'!AC104</f>
        <v>10</v>
      </c>
      <c r="BS101" s="27">
        <f>'Weighted US Tariff'!AD104</f>
        <v>15</v>
      </c>
      <c r="BT101" s="27">
        <f>'Weighted US Tariff'!AE104</f>
        <v>15</v>
      </c>
      <c r="BU101" s="27">
        <f>'Weighted US Tariff'!AF104</f>
        <v>20.429832721699999</v>
      </c>
      <c r="BV101" s="27">
        <f>'Weighted US Tariff'!AG104</f>
        <v>13.934996293997999</v>
      </c>
    </row>
    <row r="102" spans="4:74">
      <c r="D102" s="41"/>
      <c r="E102" s="41"/>
      <c r="X102" s="27" t="s">
        <v>501</v>
      </c>
      <c r="Y102" s="27">
        <v>477228</v>
      </c>
      <c r="Z102" s="27">
        <v>21800</v>
      </c>
      <c r="AA102" s="27">
        <v>499028</v>
      </c>
      <c r="AD102" s="46" t="s">
        <v>501</v>
      </c>
      <c r="AE102" s="46">
        <v>486732</v>
      </c>
      <c r="AF102" s="46">
        <v>22429</v>
      </c>
      <c r="AG102" s="46">
        <v>509160</v>
      </c>
      <c r="AJ102" s="27" t="s">
        <v>501</v>
      </c>
      <c r="AK102" s="27">
        <v>449173.90600000002</v>
      </c>
      <c r="AL102" s="27">
        <v>18942.572</v>
      </c>
      <c r="AM102" s="27">
        <v>468116.47899999999</v>
      </c>
      <c r="AQ102" s="27" t="str">
        <f t="shared" si="57"/>
        <v>pcr</v>
      </c>
      <c r="AR102" s="27" t="s">
        <v>397</v>
      </c>
      <c r="AS102" s="27">
        <v>0</v>
      </c>
      <c r="AT102" s="27">
        <v>3.42</v>
      </c>
      <c r="AU102" s="27">
        <v>725</v>
      </c>
      <c r="AV102" s="27">
        <v>8.14</v>
      </c>
      <c r="AW102" s="27">
        <v>1.87</v>
      </c>
      <c r="AX102" s="27">
        <v>2.62</v>
      </c>
      <c r="AY102" s="27">
        <v>3.19</v>
      </c>
      <c r="AZ102" s="27">
        <v>24.6</v>
      </c>
      <c r="BA102" s="27">
        <v>2.78</v>
      </c>
      <c r="BB102" s="27">
        <v>771</v>
      </c>
      <c r="BD102" t="s">
        <v>402</v>
      </c>
      <c r="BE102">
        <v>2489868</v>
      </c>
      <c r="BF102">
        <v>359160192</v>
      </c>
      <c r="BG102">
        <v>424399494</v>
      </c>
      <c r="BH102">
        <v>347305</v>
      </c>
      <c r="BI102">
        <v>355886</v>
      </c>
      <c r="BJ102">
        <v>17074568</v>
      </c>
      <c r="BK102">
        <v>1224841475</v>
      </c>
      <c r="BL102">
        <v>1106744809</v>
      </c>
      <c r="BN102" s="27" t="s">
        <v>402</v>
      </c>
      <c r="BO102" s="27">
        <f>'Weighted US Tariff'!Z105</f>
        <v>20</v>
      </c>
      <c r="BP102" s="27">
        <f>'Weighted US Tariff'!AA105</f>
        <v>0.92901297999999899</v>
      </c>
      <c r="BQ102" s="27">
        <f>'Weighted US Tariff'!AB105</f>
        <v>0.13673027499999901</v>
      </c>
      <c r="BR102" s="27">
        <f>'Weighted US Tariff'!AC105</f>
        <v>10</v>
      </c>
      <c r="BS102" s="27">
        <f>'Weighted US Tariff'!AD105</f>
        <v>15</v>
      </c>
      <c r="BT102" s="27">
        <f>'Weighted US Tariff'!AE105</f>
        <v>15</v>
      </c>
      <c r="BU102" s="27">
        <f>'Weighted US Tariff'!AF105</f>
        <v>11.327808514975301</v>
      </c>
      <c r="BV102" s="27">
        <f>'Weighted US Tariff'!AG105</f>
        <v>13.0491586484594</v>
      </c>
    </row>
    <row r="103" spans="4:74">
      <c r="D103" s="41"/>
      <c r="E103" s="41"/>
      <c r="X103" s="27" t="s">
        <v>504</v>
      </c>
      <c r="Y103" s="27">
        <v>533751</v>
      </c>
      <c r="Z103" s="27">
        <v>476</v>
      </c>
      <c r="AA103" s="27">
        <v>534228</v>
      </c>
      <c r="AD103" s="46" t="s">
        <v>504</v>
      </c>
      <c r="AE103" s="46">
        <v>544663</v>
      </c>
      <c r="AF103" s="46">
        <v>491</v>
      </c>
      <c r="AG103" s="46">
        <v>545154</v>
      </c>
      <c r="AJ103" s="27" t="s">
        <v>504</v>
      </c>
      <c r="AK103" s="27">
        <v>500594.56300000002</v>
      </c>
      <c r="AL103" s="27">
        <v>413.28399999999999</v>
      </c>
      <c r="AM103" s="27">
        <v>501007.84700000001</v>
      </c>
      <c r="AQ103" s="27" t="str">
        <f t="shared" si="57"/>
        <v>sgr</v>
      </c>
      <c r="AR103" s="27" t="s">
        <v>400</v>
      </c>
      <c r="AS103" s="27">
        <v>0</v>
      </c>
      <c r="AT103" s="27">
        <v>6.04</v>
      </c>
      <c r="AU103" s="27">
        <v>606</v>
      </c>
      <c r="AV103" s="27">
        <v>200</v>
      </c>
      <c r="AW103" s="27">
        <v>608</v>
      </c>
      <c r="AX103" s="27">
        <v>683</v>
      </c>
      <c r="AY103" s="27">
        <v>0.21099999999999999</v>
      </c>
      <c r="AZ103" s="27">
        <v>18.399999999999999</v>
      </c>
      <c r="BA103" s="27">
        <v>4.7E-2</v>
      </c>
      <c r="BB103" s="27">
        <v>2122</v>
      </c>
      <c r="BD103" t="s">
        <v>405</v>
      </c>
      <c r="BE103">
        <v>4658439454</v>
      </c>
      <c r="BF103">
        <v>20681486330</v>
      </c>
      <c r="BG103">
        <v>10655238816</v>
      </c>
      <c r="BH103">
        <v>561833703</v>
      </c>
      <c r="BI103">
        <v>951264919</v>
      </c>
      <c r="BJ103">
        <v>12495975135</v>
      </c>
      <c r="BK103">
        <v>27529353622</v>
      </c>
      <c r="BL103">
        <v>12026414385</v>
      </c>
      <c r="BN103" s="27" t="s">
        <v>405</v>
      </c>
      <c r="BO103" s="27">
        <f>'Weighted US Tariff'!Z106</f>
        <v>18.1825618914655</v>
      </c>
      <c r="BP103" s="27">
        <f>'Weighted US Tariff'!AA106</f>
        <v>0.92901297999999899</v>
      </c>
      <c r="BQ103" s="27">
        <f>'Weighted US Tariff'!AB106</f>
        <v>0.13673027499999901</v>
      </c>
      <c r="BR103" s="27">
        <f>'Weighted US Tariff'!AC106</f>
        <v>6.6648384032596901</v>
      </c>
      <c r="BS103" s="27">
        <f>'Weighted US Tariff'!AD106</f>
        <v>11.4483573108617</v>
      </c>
      <c r="BT103" s="27">
        <f>'Weighted US Tariff'!AE106</f>
        <v>11.832614173571599</v>
      </c>
      <c r="BU103" s="27">
        <f>'Weighted US Tariff'!AF106</f>
        <v>12.746690912262199</v>
      </c>
      <c r="BV103" s="27">
        <f>'Weighted US Tariff'!AG106</f>
        <v>6.6080950700585701</v>
      </c>
    </row>
    <row r="104" spans="4:74">
      <c r="D104" s="41"/>
      <c r="E104" s="41"/>
      <c r="M104" s="42"/>
      <c r="P104" s="37"/>
      <c r="X104" s="27" t="s">
        <v>507</v>
      </c>
      <c r="Y104" s="27">
        <v>317337</v>
      </c>
      <c r="Z104" s="27">
        <v>1693</v>
      </c>
      <c r="AA104" s="27">
        <v>319030</v>
      </c>
      <c r="AD104" s="46" t="s">
        <v>507</v>
      </c>
      <c r="AE104" s="46">
        <v>323876</v>
      </c>
      <c r="AF104" s="46">
        <v>1750</v>
      </c>
      <c r="AG104" s="46">
        <v>325626</v>
      </c>
      <c r="AJ104" s="27" t="s">
        <v>507</v>
      </c>
      <c r="AK104" s="27">
        <v>297817.21899999998</v>
      </c>
      <c r="AL104" s="27">
        <v>1489.826</v>
      </c>
      <c r="AM104" s="27">
        <v>299307.04499999998</v>
      </c>
      <c r="AQ104" s="27" t="str">
        <f t="shared" si="57"/>
        <v>ofd</v>
      </c>
      <c r="AR104" s="27" t="s">
        <v>403</v>
      </c>
      <c r="AS104" s="27">
        <v>0</v>
      </c>
      <c r="AT104" s="27">
        <v>7145</v>
      </c>
      <c r="AU104" s="27">
        <v>19112</v>
      </c>
      <c r="AV104" s="27">
        <v>12174</v>
      </c>
      <c r="AW104" s="27">
        <v>6185</v>
      </c>
      <c r="AX104" s="27">
        <v>6304</v>
      </c>
      <c r="AY104" s="27">
        <v>685</v>
      </c>
      <c r="AZ104" s="27">
        <v>6904</v>
      </c>
      <c r="BA104" s="27">
        <v>403</v>
      </c>
      <c r="BB104" s="27">
        <v>58913</v>
      </c>
      <c r="BD104" t="s">
        <v>408</v>
      </c>
      <c r="BE104">
        <v>192243387</v>
      </c>
      <c r="BF104">
        <v>1872869598</v>
      </c>
      <c r="BG104">
        <v>12929353411</v>
      </c>
      <c r="BH104">
        <v>1717360130</v>
      </c>
      <c r="BI104">
        <v>252909129</v>
      </c>
      <c r="BJ104">
        <v>11501730153</v>
      </c>
      <c r="BK104">
        <v>2831962552</v>
      </c>
      <c r="BL104">
        <v>2513053361</v>
      </c>
      <c r="BN104" s="27" t="s">
        <v>408</v>
      </c>
      <c r="BO104" s="27">
        <f>'Weighted US Tariff'!Z107</f>
        <v>20</v>
      </c>
      <c r="BP104" s="27">
        <f>'Weighted US Tariff'!AA107</f>
        <v>1.309725375</v>
      </c>
      <c r="BQ104" s="27">
        <f>'Weighted US Tariff'!AB107</f>
        <v>1.4059142999999901</v>
      </c>
      <c r="BR104" s="27">
        <f>'Weighted US Tariff'!AC107</f>
        <v>9.9999489390731302</v>
      </c>
      <c r="BS104" s="27">
        <f>'Weighted US Tariff'!AD107</f>
        <v>14.999793838995799</v>
      </c>
      <c r="BT104" s="27">
        <f>'Weighted US Tariff'!AE107</f>
        <v>14.999896996800899</v>
      </c>
      <c r="BU104" s="27">
        <f>'Weighted US Tariff'!AF107</f>
        <v>14.0971419187042</v>
      </c>
      <c r="BV104" s="27">
        <f>'Weighted US Tariff'!AG107</f>
        <v>18.2998883950081</v>
      </c>
    </row>
    <row r="105" spans="4:74">
      <c r="D105" s="41"/>
      <c r="E105" s="41"/>
      <c r="J105" s="43"/>
      <c r="K105" s="44"/>
      <c r="L105" s="31"/>
      <c r="M105" s="42"/>
      <c r="P105" s="37"/>
      <c r="X105" s="27" t="s">
        <v>510</v>
      </c>
      <c r="Y105" s="27">
        <v>715448</v>
      </c>
      <c r="Z105" s="27">
        <v>1699</v>
      </c>
      <c r="AA105" s="27">
        <v>717146</v>
      </c>
      <c r="AD105" s="46" t="s">
        <v>510</v>
      </c>
      <c r="AE105" s="46">
        <v>730128</v>
      </c>
      <c r="AF105" s="46">
        <v>1758</v>
      </c>
      <c r="AG105" s="46">
        <v>731886</v>
      </c>
      <c r="AJ105" s="27" t="s">
        <v>510</v>
      </c>
      <c r="AK105" s="27">
        <v>671077.93799999997</v>
      </c>
      <c r="AL105" s="27">
        <v>1503.4010000000001</v>
      </c>
      <c r="AM105" s="27">
        <v>672581.33900000004</v>
      </c>
      <c r="AQ105" s="27" t="str">
        <f t="shared" si="57"/>
        <v>b_t</v>
      </c>
      <c r="AR105" s="27" t="s">
        <v>406</v>
      </c>
      <c r="AS105" s="27">
        <v>0</v>
      </c>
      <c r="AT105" s="27">
        <v>97.2</v>
      </c>
      <c r="AU105" s="27">
        <v>3611</v>
      </c>
      <c r="AV105" s="27">
        <v>1190</v>
      </c>
      <c r="AW105" s="27">
        <v>5268</v>
      </c>
      <c r="AX105" s="27">
        <v>2221</v>
      </c>
      <c r="AY105" s="27">
        <v>155</v>
      </c>
      <c r="AZ105" s="27">
        <v>11592</v>
      </c>
      <c r="BA105" s="27">
        <v>2166</v>
      </c>
      <c r="BB105" s="27">
        <v>26299</v>
      </c>
      <c r="BD105" t="s">
        <v>411</v>
      </c>
      <c r="BE105">
        <v>12871353614</v>
      </c>
      <c r="BF105">
        <v>1030875986</v>
      </c>
      <c r="BG105">
        <v>2641353318</v>
      </c>
      <c r="BH105">
        <v>339971120</v>
      </c>
      <c r="BI105">
        <v>509219092</v>
      </c>
      <c r="BJ105">
        <v>2859462897</v>
      </c>
      <c r="BK105">
        <v>12964351721</v>
      </c>
      <c r="BL105">
        <v>1835592372</v>
      </c>
      <c r="BN105" s="27" t="s">
        <v>411</v>
      </c>
      <c r="BO105" s="27">
        <f>'Weighted US Tariff'!Z108</f>
        <v>20</v>
      </c>
      <c r="BP105" s="27">
        <f>'Weighted US Tariff'!AA108</f>
        <v>32.437240499999902</v>
      </c>
      <c r="BQ105" s="27">
        <f>'Weighted US Tariff'!AB108</f>
        <v>22.265485250000001</v>
      </c>
      <c r="BR105" s="27">
        <f>'Weighted US Tariff'!AC108</f>
        <v>10</v>
      </c>
      <c r="BS105" s="27">
        <f>'Weighted US Tariff'!AD108</f>
        <v>15</v>
      </c>
      <c r="BT105" s="27">
        <f>'Weighted US Tariff'!AE108</f>
        <v>15</v>
      </c>
      <c r="BU105" s="27">
        <f>'Weighted US Tariff'!AF108</f>
        <v>20.9630208154393</v>
      </c>
      <c r="BV105" s="27">
        <f>'Weighted US Tariff'!AG108</f>
        <v>14.5747153121205</v>
      </c>
    </row>
    <row r="106" spans="4:74">
      <c r="D106" s="41"/>
      <c r="E106" s="41"/>
      <c r="X106" s="27" t="s">
        <v>513</v>
      </c>
      <c r="Y106" s="27">
        <v>70651</v>
      </c>
      <c r="Z106" s="27">
        <v>343</v>
      </c>
      <c r="AA106" s="27">
        <v>70995</v>
      </c>
      <c r="AD106" s="46" t="s">
        <v>513</v>
      </c>
      <c r="AE106" s="46">
        <v>72105</v>
      </c>
      <c r="AF106" s="46">
        <v>355</v>
      </c>
      <c r="AG106" s="46">
        <v>72460</v>
      </c>
      <c r="AJ106" s="27" t="s">
        <v>513</v>
      </c>
      <c r="AK106" s="27">
        <v>66305.898000000001</v>
      </c>
      <c r="AL106" s="27">
        <v>298.62099999999998</v>
      </c>
      <c r="AM106" s="27">
        <v>66604.52</v>
      </c>
      <c r="AQ106" s="27" t="str">
        <f t="shared" si="57"/>
        <v>tex</v>
      </c>
      <c r="AR106" s="27" t="s">
        <v>409</v>
      </c>
      <c r="AS106" s="27">
        <v>0</v>
      </c>
      <c r="AT106" s="27">
        <v>16252</v>
      </c>
      <c r="AU106" s="27">
        <v>10195</v>
      </c>
      <c r="AV106" s="27">
        <v>1436</v>
      </c>
      <c r="AW106" s="27">
        <v>2038</v>
      </c>
      <c r="AX106" s="27">
        <v>1764</v>
      </c>
      <c r="AY106" s="27">
        <v>626</v>
      </c>
      <c r="AZ106" s="27">
        <v>2888</v>
      </c>
      <c r="BA106" s="27">
        <v>290</v>
      </c>
      <c r="BB106" s="27">
        <v>35489</v>
      </c>
      <c r="BD106" t="s">
        <v>414</v>
      </c>
      <c r="BE106">
        <v>19170148044</v>
      </c>
      <c r="BF106">
        <v>713329339</v>
      </c>
      <c r="BG106">
        <v>3269761100</v>
      </c>
      <c r="BH106">
        <v>147366674</v>
      </c>
      <c r="BI106">
        <v>96359243</v>
      </c>
      <c r="BJ106">
        <v>3776704425</v>
      </c>
      <c r="BK106">
        <v>47509826864</v>
      </c>
      <c r="BL106">
        <v>11533465191</v>
      </c>
      <c r="BN106" s="27" t="s">
        <v>414</v>
      </c>
      <c r="BO106" s="27">
        <f>'Weighted US Tariff'!Z109</f>
        <v>20</v>
      </c>
      <c r="BP106" s="27">
        <f>'Weighted US Tariff'!AA109</f>
        <v>9.74442951999999</v>
      </c>
      <c r="BQ106" s="27">
        <f>'Weighted US Tariff'!AB109</f>
        <v>0.82879159999999996</v>
      </c>
      <c r="BR106" s="27">
        <f>'Weighted US Tariff'!AC109</f>
        <v>10</v>
      </c>
      <c r="BS106" s="27">
        <f>'Weighted US Tariff'!AD109</f>
        <v>15</v>
      </c>
      <c r="BT106" s="27">
        <f>'Weighted US Tariff'!AE109</f>
        <v>15</v>
      </c>
      <c r="BU106" s="27">
        <f>'Weighted US Tariff'!AF109</f>
        <v>19.651757609886399</v>
      </c>
      <c r="BV106" s="27">
        <f>'Weighted US Tariff'!AG109</f>
        <v>13.110490475229801</v>
      </c>
    </row>
    <row r="107" spans="4:74">
      <c r="D107" s="41"/>
      <c r="E107" s="41"/>
      <c r="X107" s="27" t="s">
        <v>516</v>
      </c>
      <c r="Y107" s="27">
        <v>368795</v>
      </c>
      <c r="Z107" s="27">
        <v>14443</v>
      </c>
      <c r="AA107" s="27">
        <v>383238</v>
      </c>
      <c r="AD107" s="46" t="s">
        <v>516</v>
      </c>
      <c r="AE107" s="46">
        <v>376153</v>
      </c>
      <c r="AF107" s="46">
        <v>14909</v>
      </c>
      <c r="AG107" s="46">
        <v>391062</v>
      </c>
      <c r="AJ107" s="27" t="s">
        <v>516</v>
      </c>
      <c r="AK107" s="27">
        <v>346603.03100000002</v>
      </c>
      <c r="AL107" s="27">
        <v>12859.907999999999</v>
      </c>
      <c r="AM107" s="27">
        <v>359462.93900000001</v>
      </c>
      <c r="AQ107" s="27" t="str">
        <f t="shared" si="57"/>
        <v>wap</v>
      </c>
      <c r="AR107" s="27" t="s">
        <v>412</v>
      </c>
      <c r="AS107" s="27">
        <v>0</v>
      </c>
      <c r="AT107" s="27">
        <v>37960</v>
      </c>
      <c r="AU107" s="27">
        <v>42812</v>
      </c>
      <c r="AV107" s="27">
        <v>932</v>
      </c>
      <c r="AW107" s="27">
        <v>4432</v>
      </c>
      <c r="AX107" s="27">
        <v>11764</v>
      </c>
      <c r="AY107" s="27">
        <v>86.5</v>
      </c>
      <c r="AZ107" s="27">
        <v>3023</v>
      </c>
      <c r="BA107" s="27">
        <v>457</v>
      </c>
      <c r="BB107" s="27">
        <v>101467</v>
      </c>
      <c r="BD107" t="s">
        <v>417</v>
      </c>
      <c r="BE107">
        <v>12722595025</v>
      </c>
      <c r="BF107">
        <v>155505406</v>
      </c>
      <c r="BG107">
        <v>1024112706</v>
      </c>
      <c r="BH107">
        <v>77802713</v>
      </c>
      <c r="BI107">
        <v>18938993</v>
      </c>
      <c r="BJ107">
        <v>6387062469</v>
      </c>
      <c r="BK107">
        <v>19442983005</v>
      </c>
      <c r="BL107">
        <v>381655540</v>
      </c>
      <c r="BN107" s="27" t="s">
        <v>417</v>
      </c>
      <c r="BO107" s="27">
        <f>'Weighted US Tariff'!Z110</f>
        <v>20</v>
      </c>
      <c r="BP107" s="27">
        <f>'Weighted US Tariff'!AA110</f>
        <v>1.9334552650000001</v>
      </c>
      <c r="BQ107" s="27">
        <f>'Weighted US Tariff'!AB110</f>
        <v>0.38656072500000099</v>
      </c>
      <c r="BR107" s="27">
        <f>'Weighted US Tariff'!AC110</f>
        <v>10</v>
      </c>
      <c r="BS107" s="27">
        <f>'Weighted US Tariff'!AD110</f>
        <v>15</v>
      </c>
      <c r="BT107" s="27">
        <f>'Weighted US Tariff'!AE110</f>
        <v>15</v>
      </c>
      <c r="BU107" s="27">
        <f>'Weighted US Tariff'!AF110</f>
        <v>19.897488580148</v>
      </c>
      <c r="BV107" s="27">
        <f>'Weighted US Tariff'!AG110</f>
        <v>17.6116977995393</v>
      </c>
    </row>
    <row r="108" spans="4:74">
      <c r="D108" s="41"/>
      <c r="E108" s="41"/>
      <c r="X108" s="27" t="s">
        <v>519</v>
      </c>
      <c r="Y108" s="27">
        <v>2467592</v>
      </c>
      <c r="Z108" s="27">
        <v>2950</v>
      </c>
      <c r="AA108" s="27">
        <v>2470542</v>
      </c>
      <c r="AD108" s="46" t="s">
        <v>519</v>
      </c>
      <c r="AE108" s="46">
        <v>2518438</v>
      </c>
      <c r="AF108" s="46">
        <v>3056</v>
      </c>
      <c r="AG108" s="46">
        <v>2521494</v>
      </c>
      <c r="AJ108" s="27" t="s">
        <v>519</v>
      </c>
      <c r="AK108" s="27">
        <v>2315206.5</v>
      </c>
      <c r="AL108" s="27">
        <v>2612.2579999999998</v>
      </c>
      <c r="AM108" s="27">
        <v>2317818.7579999999</v>
      </c>
      <c r="AQ108" s="27" t="str">
        <f t="shared" si="57"/>
        <v>lea</v>
      </c>
      <c r="AR108" s="27" t="s">
        <v>415</v>
      </c>
      <c r="AS108" s="27">
        <v>0</v>
      </c>
      <c r="AT108" s="27">
        <v>21683</v>
      </c>
      <c r="AU108" s="27">
        <v>12454</v>
      </c>
      <c r="AV108" s="27">
        <v>148</v>
      </c>
      <c r="AW108" s="27">
        <v>797</v>
      </c>
      <c r="AX108" s="27">
        <v>679</v>
      </c>
      <c r="AY108" s="27">
        <v>14.4</v>
      </c>
      <c r="AZ108" s="27">
        <v>4372</v>
      </c>
      <c r="BA108" s="27">
        <v>199</v>
      </c>
      <c r="BB108" s="27">
        <v>40347</v>
      </c>
      <c r="BD108" t="s">
        <v>420</v>
      </c>
      <c r="BE108">
        <v>2134979555</v>
      </c>
      <c r="BF108">
        <v>11095208142</v>
      </c>
      <c r="BG108">
        <v>704178518</v>
      </c>
      <c r="BH108">
        <v>22623988</v>
      </c>
      <c r="BI108">
        <v>37787558</v>
      </c>
      <c r="BJ108">
        <v>2904336890</v>
      </c>
      <c r="BK108">
        <v>5657741027</v>
      </c>
      <c r="BL108">
        <v>1142930840</v>
      </c>
      <c r="BN108" s="27" t="s">
        <v>420</v>
      </c>
      <c r="BO108" s="27">
        <f>'Weighted US Tariff'!Z111</f>
        <v>19.9563540410577</v>
      </c>
      <c r="BP108" s="27">
        <f>'Weighted US Tariff'!AA111</f>
        <v>4.6629773070614604</v>
      </c>
      <c r="BQ108" s="27">
        <f>'Weighted US Tariff'!AB111</f>
        <v>0.35734103753805702</v>
      </c>
      <c r="BR108" s="27">
        <f>'Weighted US Tariff'!AC111</f>
        <v>8.1238829334598304</v>
      </c>
      <c r="BS108" s="27">
        <f>'Weighted US Tariff'!AD111</f>
        <v>12.3035799243761</v>
      </c>
      <c r="BT108" s="27">
        <f>'Weighted US Tariff'!AE111</f>
        <v>12.9260974060071</v>
      </c>
      <c r="BU108" s="27">
        <f>'Weighted US Tariff'!AF111</f>
        <v>15.5474235720969</v>
      </c>
      <c r="BV108" s="27">
        <f>'Weighted US Tariff'!AG111</f>
        <v>10.077994678138101</v>
      </c>
    </row>
    <row r="109" spans="4:74">
      <c r="D109" s="41"/>
      <c r="E109" s="41"/>
      <c r="X109" s="27" t="s">
        <v>522</v>
      </c>
      <c r="Y109" s="27">
        <v>1582226</v>
      </c>
      <c r="Z109" s="27">
        <v>0</v>
      </c>
      <c r="AA109" s="27">
        <v>1582226</v>
      </c>
      <c r="AD109" s="46" t="s">
        <v>522</v>
      </c>
      <c r="AE109" s="46">
        <v>1614386</v>
      </c>
      <c r="AF109" s="46">
        <v>0</v>
      </c>
      <c r="AG109" s="46">
        <v>1614386</v>
      </c>
      <c r="AJ109" s="27" t="s">
        <v>522</v>
      </c>
      <c r="AK109" s="27">
        <v>1482902.25</v>
      </c>
      <c r="AL109" s="27">
        <v>0</v>
      </c>
      <c r="AM109" s="27">
        <v>1482902.25</v>
      </c>
      <c r="AQ109" s="27" t="str">
        <f t="shared" si="57"/>
        <v>lum</v>
      </c>
      <c r="AR109" s="27" t="s">
        <v>418</v>
      </c>
      <c r="AS109" s="27">
        <v>0</v>
      </c>
      <c r="AT109" s="27">
        <v>4531</v>
      </c>
      <c r="AU109" s="27">
        <v>2934</v>
      </c>
      <c r="AV109" s="27">
        <v>4656</v>
      </c>
      <c r="AW109" s="27">
        <v>360</v>
      </c>
      <c r="AX109" s="27">
        <v>831</v>
      </c>
      <c r="AY109" s="27">
        <v>16.3</v>
      </c>
      <c r="AZ109" s="27">
        <v>1906</v>
      </c>
      <c r="BA109" s="27">
        <v>16</v>
      </c>
      <c r="BB109" s="27">
        <v>15250</v>
      </c>
      <c r="BD109" t="s">
        <v>423</v>
      </c>
      <c r="BE109">
        <v>5229981280</v>
      </c>
      <c r="BF109">
        <v>10275929625</v>
      </c>
      <c r="BG109">
        <v>2542581353</v>
      </c>
      <c r="BH109">
        <v>721212862</v>
      </c>
      <c r="BI109">
        <v>253955179</v>
      </c>
      <c r="BJ109">
        <v>5084285745</v>
      </c>
      <c r="BK109">
        <v>5746570888</v>
      </c>
      <c r="BL109">
        <v>1325303074</v>
      </c>
      <c r="BN109" s="27" t="s">
        <v>423</v>
      </c>
      <c r="BO109" s="27">
        <f>'Weighted US Tariff'!Z112</f>
        <v>17.076193590123101</v>
      </c>
      <c r="BP109" s="27">
        <f>'Weighted US Tariff'!AA112</f>
        <v>0.435591485000001</v>
      </c>
      <c r="BQ109" s="27">
        <f>'Weighted US Tariff'!AB112</f>
        <v>2.6294057249999998</v>
      </c>
      <c r="BR109" s="27">
        <f>'Weighted US Tariff'!AC112</f>
        <v>4.1217664667771796</v>
      </c>
      <c r="BS109" s="27">
        <f>'Weighted US Tariff'!AD112</f>
        <v>12.0004242559668</v>
      </c>
      <c r="BT109" s="27">
        <f>'Weighted US Tariff'!AE112</f>
        <v>12.602242203442399</v>
      </c>
      <c r="BU109" s="27">
        <f>'Weighted US Tariff'!AF112</f>
        <v>11.341702772361201</v>
      </c>
      <c r="BV109" s="27">
        <f>'Weighted US Tariff'!AG112</f>
        <v>12.6105461957149</v>
      </c>
    </row>
    <row r="110" spans="4:74">
      <c r="D110" s="41"/>
      <c r="E110" s="41"/>
      <c r="X110" s="27" t="s">
        <v>52</v>
      </c>
      <c r="Y110" s="27">
        <v>12386318</v>
      </c>
      <c r="Z110" s="27">
        <v>926886</v>
      </c>
      <c r="AA110" s="27">
        <v>13313204</v>
      </c>
      <c r="AD110" s="46" t="s">
        <v>52</v>
      </c>
      <c r="AE110" s="46">
        <v>12719937</v>
      </c>
      <c r="AF110" s="46">
        <v>877056</v>
      </c>
      <c r="AG110" s="46">
        <v>13596993</v>
      </c>
      <c r="AJ110" s="27" t="s">
        <v>52</v>
      </c>
      <c r="AK110" s="27">
        <v>11797039.845000001</v>
      </c>
      <c r="AL110" s="27">
        <v>721258.76500000001</v>
      </c>
      <c r="AM110" s="27">
        <v>12518298.611</v>
      </c>
      <c r="AQ110" s="27" t="str">
        <f t="shared" si="57"/>
        <v>ppp</v>
      </c>
      <c r="AR110" s="27" t="s">
        <v>421</v>
      </c>
      <c r="AS110" s="27">
        <v>0</v>
      </c>
      <c r="AT110" s="27">
        <v>5088</v>
      </c>
      <c r="AU110" s="27">
        <v>2924</v>
      </c>
      <c r="AV110" s="27">
        <v>9614</v>
      </c>
      <c r="AW110" s="27">
        <v>1748</v>
      </c>
      <c r="AX110" s="27">
        <v>1333</v>
      </c>
      <c r="AY110" s="27">
        <v>503</v>
      </c>
      <c r="AZ110" s="27">
        <v>3926</v>
      </c>
      <c r="BA110" s="27">
        <v>921</v>
      </c>
      <c r="BB110" s="27">
        <v>26057</v>
      </c>
      <c r="BD110" t="s">
        <v>426</v>
      </c>
      <c r="BE110">
        <v>419274271</v>
      </c>
      <c r="BF110">
        <v>19818371683</v>
      </c>
      <c r="BG110">
        <v>4904038423</v>
      </c>
      <c r="BH110">
        <v>2208207293</v>
      </c>
      <c r="BI110">
        <v>356673649</v>
      </c>
      <c r="BJ110">
        <v>12771809918</v>
      </c>
      <c r="BK110">
        <v>26813667768</v>
      </c>
      <c r="BL110">
        <v>10211534405</v>
      </c>
      <c r="BN110" s="27" t="s">
        <v>426</v>
      </c>
      <c r="BO110" s="27">
        <f>'Weighted US Tariff'!Z113</f>
        <v>10.1640835957711</v>
      </c>
      <c r="BP110" s="27">
        <f>'Weighted US Tariff'!AA113</f>
        <v>0.41238325951363097</v>
      </c>
      <c r="BQ110" s="27">
        <f>'Weighted US Tariff'!AB113</f>
        <v>6.8038958749999896</v>
      </c>
      <c r="BR110" s="27">
        <f>'Weighted US Tariff'!AC113</f>
        <v>2.9829627050325999E-5</v>
      </c>
      <c r="BS110" s="27">
        <f>'Weighted US Tariff'!AD113</f>
        <v>0</v>
      </c>
      <c r="BT110" s="27">
        <f>'Weighted US Tariff'!AE113</f>
        <v>1.4003005607525201</v>
      </c>
      <c r="BU110" s="27">
        <f>'Weighted US Tariff'!AF113</f>
        <v>2.5811663812213399E-2</v>
      </c>
      <c r="BV110" s="27">
        <f>'Weighted US Tariff'!AG113</f>
        <v>0.114939541253007</v>
      </c>
    </row>
    <row r="111" spans="4:74">
      <c r="D111" s="41"/>
      <c r="E111" s="41"/>
      <c r="AQ111" s="27" t="str">
        <f t="shared" si="57"/>
        <v>p_c</v>
      </c>
      <c r="AR111" s="27" t="s">
        <v>424</v>
      </c>
      <c r="AS111" s="27">
        <v>0</v>
      </c>
      <c r="AT111" s="27">
        <v>2776</v>
      </c>
      <c r="AU111" s="27">
        <v>26509</v>
      </c>
      <c r="AV111" s="27">
        <v>8405</v>
      </c>
      <c r="AW111" s="27">
        <v>1640</v>
      </c>
      <c r="AX111" s="27">
        <v>5694</v>
      </c>
      <c r="AY111" s="27">
        <v>754</v>
      </c>
      <c r="AZ111" s="27">
        <v>8052</v>
      </c>
      <c r="BA111" s="27">
        <v>1810</v>
      </c>
      <c r="BB111" s="27">
        <v>55640</v>
      </c>
      <c r="BD111" t="s">
        <v>429</v>
      </c>
      <c r="BE111">
        <v>14053530640</v>
      </c>
      <c r="BF111">
        <v>24261690694</v>
      </c>
      <c r="BG111">
        <v>7977242399</v>
      </c>
      <c r="BH111">
        <v>4684922011</v>
      </c>
      <c r="BI111">
        <v>8312088668</v>
      </c>
      <c r="BJ111">
        <v>41883752679</v>
      </c>
      <c r="BK111">
        <v>25043275409</v>
      </c>
      <c r="BL111">
        <v>15560660126</v>
      </c>
      <c r="BN111" s="27" t="s">
        <v>429</v>
      </c>
      <c r="BO111" s="27">
        <f>'Weighted US Tariff'!Z114</f>
        <v>15.773166860224601</v>
      </c>
      <c r="BP111" s="27">
        <f>'Weighted US Tariff'!AA114</f>
        <v>0.80749356015557305</v>
      </c>
      <c r="BQ111" s="27">
        <f>'Weighted US Tariff'!AB114</f>
        <v>1.1736701222188699</v>
      </c>
      <c r="BR111" s="27">
        <f>'Weighted US Tariff'!AC114</f>
        <v>6.11475425689855</v>
      </c>
      <c r="BS111" s="27">
        <f>'Weighted US Tariff'!AD114</f>
        <v>11.1506355576812</v>
      </c>
      <c r="BT111" s="27">
        <f>'Weighted US Tariff'!AE114</f>
        <v>10.775624293839501</v>
      </c>
      <c r="BU111" s="27">
        <f>'Weighted US Tariff'!AF114</f>
        <v>11.4638193579832</v>
      </c>
      <c r="BV111" s="27">
        <f>'Weighted US Tariff'!AG114</f>
        <v>10.6847241864885</v>
      </c>
    </row>
    <row r="112" spans="4:74">
      <c r="D112" s="41"/>
      <c r="E112" s="41"/>
      <c r="M112" s="42"/>
      <c r="P112" s="37"/>
      <c r="AQ112" s="27" t="str">
        <f t="shared" si="57"/>
        <v>chm</v>
      </c>
      <c r="AR112" s="27" t="s">
        <v>427</v>
      </c>
      <c r="AS112" s="27">
        <v>0</v>
      </c>
      <c r="AT112" s="27">
        <v>12675</v>
      </c>
      <c r="AU112" s="27">
        <v>19087</v>
      </c>
      <c r="AV112" s="27">
        <v>18871</v>
      </c>
      <c r="AW112" s="27">
        <v>4983</v>
      </c>
      <c r="AX112" s="27">
        <v>7950</v>
      </c>
      <c r="AY112" s="27">
        <v>7082</v>
      </c>
      <c r="AZ112" s="27">
        <v>29625</v>
      </c>
      <c r="BA112" s="27">
        <v>3775</v>
      </c>
      <c r="BB112" s="27">
        <v>104048</v>
      </c>
      <c r="BD112" t="s">
        <v>432</v>
      </c>
      <c r="BE112">
        <v>10488190766</v>
      </c>
      <c r="BF112">
        <v>5353541096</v>
      </c>
      <c r="BG112">
        <v>1016334808</v>
      </c>
      <c r="BH112">
        <v>7542674854</v>
      </c>
      <c r="BI112">
        <v>7680015854</v>
      </c>
      <c r="BJ112">
        <v>148837112532</v>
      </c>
      <c r="BK112">
        <v>35785412374</v>
      </c>
      <c r="BL112">
        <v>24265438730</v>
      </c>
      <c r="BN112" s="27" t="s">
        <v>432</v>
      </c>
      <c r="BO112" s="27">
        <f>'Weighted US Tariff'!Z115</f>
        <v>10.739784325353099</v>
      </c>
      <c r="BP112" s="27">
        <f>'Weighted US Tariff'!AA115</f>
        <v>0.93666013000000103</v>
      </c>
      <c r="BQ112" s="27">
        <f>'Weighted US Tariff'!AB115</f>
        <v>1.17558772499999</v>
      </c>
      <c r="BR112" s="27">
        <f>'Weighted US Tariff'!AC115</f>
        <v>0.243275143834007</v>
      </c>
      <c r="BS112" s="27">
        <f>'Weighted US Tariff'!AD115</f>
        <v>0.24350127858473</v>
      </c>
      <c r="BT112" s="27">
        <f>'Weighted US Tariff'!AE115</f>
        <v>4.9807747905658603E-2</v>
      </c>
      <c r="BU112" s="27">
        <f>'Weighted US Tariff'!AF115</f>
        <v>0.28133860967646102</v>
      </c>
      <c r="BV112" s="27">
        <f>'Weighted US Tariff'!AG115</f>
        <v>0.130402568039617</v>
      </c>
    </row>
    <row r="113" spans="4:75">
      <c r="D113" s="41"/>
      <c r="E113" s="41"/>
      <c r="J113" s="43"/>
      <c r="K113" s="44"/>
      <c r="L113" s="31"/>
      <c r="M113" s="42"/>
      <c r="P113" s="37"/>
      <c r="Z113" s="27">
        <f>Z110/AA110</f>
        <v>6.9621557665607764E-2</v>
      </c>
      <c r="AF113" s="27">
        <f>AF110/AG110</f>
        <v>6.4503673716681323E-2</v>
      </c>
      <c r="AQ113" s="27" t="str">
        <f t="shared" si="57"/>
        <v>bph</v>
      </c>
      <c r="AR113" s="27" t="s">
        <v>430</v>
      </c>
      <c r="AS113" s="27">
        <v>0</v>
      </c>
      <c r="AT113" s="27">
        <v>3518</v>
      </c>
      <c r="AU113" s="27">
        <v>25403</v>
      </c>
      <c r="AV113" s="27">
        <v>4132</v>
      </c>
      <c r="AW113" s="27">
        <v>497</v>
      </c>
      <c r="AX113" s="27">
        <v>6352</v>
      </c>
      <c r="AY113" s="27">
        <v>2199</v>
      </c>
      <c r="AZ113" s="27">
        <v>49603</v>
      </c>
      <c r="BA113" s="27">
        <v>8295</v>
      </c>
      <c r="BB113" s="27">
        <v>99999</v>
      </c>
      <c r="BD113" t="s">
        <v>435</v>
      </c>
      <c r="BE113">
        <v>19884291028</v>
      </c>
      <c r="BF113">
        <v>11344964165</v>
      </c>
      <c r="BG113">
        <v>11308432828</v>
      </c>
      <c r="BH113">
        <v>1000634212</v>
      </c>
      <c r="BI113">
        <v>3399099269</v>
      </c>
      <c r="BJ113">
        <v>9341297807</v>
      </c>
      <c r="BK113">
        <v>23768571537</v>
      </c>
      <c r="BL113">
        <v>6396665674</v>
      </c>
      <c r="BN113" s="27" t="s">
        <v>435</v>
      </c>
      <c r="BO113" s="27">
        <f>'Weighted US Tariff'!Z116</f>
        <v>20.1786776097528</v>
      </c>
      <c r="BP113" s="27">
        <f>'Weighted US Tariff'!AA116</f>
        <v>2.9360414924950802</v>
      </c>
      <c r="BQ113" s="27">
        <f>'Weighted US Tariff'!AB116</f>
        <v>4.2152840786835597</v>
      </c>
      <c r="BR113" s="27">
        <f>'Weighted US Tariff'!AC116</f>
        <v>10.617490888081299</v>
      </c>
      <c r="BS113" s="27">
        <f>'Weighted US Tariff'!AD116</f>
        <v>18.4175187020405</v>
      </c>
      <c r="BT113" s="27">
        <f>'Weighted US Tariff'!AE116</f>
        <v>16.9975095983255</v>
      </c>
      <c r="BU113" s="27">
        <f>'Weighted US Tariff'!AF116</f>
        <v>19.685640818087499</v>
      </c>
      <c r="BV113" s="27">
        <f>'Weighted US Tariff'!AG116</f>
        <v>16.505687387404802</v>
      </c>
    </row>
    <row r="114" spans="4:75">
      <c r="AQ114" s="27" t="str">
        <f t="shared" si="57"/>
        <v>rpp</v>
      </c>
      <c r="AR114" s="27" t="s">
        <v>433</v>
      </c>
      <c r="AS114" s="27">
        <v>0</v>
      </c>
      <c r="AT114" s="27">
        <v>18862</v>
      </c>
      <c r="AU114" s="27">
        <v>14762</v>
      </c>
      <c r="AV114" s="27">
        <v>9123</v>
      </c>
      <c r="AW114" s="27">
        <v>6607</v>
      </c>
      <c r="AX114" s="27">
        <v>5644</v>
      </c>
      <c r="AY114" s="27">
        <v>3316</v>
      </c>
      <c r="AZ114" s="27">
        <v>8006</v>
      </c>
      <c r="BA114" s="27">
        <v>971</v>
      </c>
      <c r="BB114" s="27">
        <v>67290</v>
      </c>
      <c r="BD114" t="s">
        <v>438</v>
      </c>
      <c r="BE114">
        <v>6250002047</v>
      </c>
      <c r="BF114">
        <v>2700402219</v>
      </c>
      <c r="BG114">
        <v>4634365311</v>
      </c>
      <c r="BH114">
        <v>331151310</v>
      </c>
      <c r="BI114">
        <v>1101118417</v>
      </c>
      <c r="BJ114">
        <v>5927870458</v>
      </c>
      <c r="BK114">
        <v>8117888546</v>
      </c>
      <c r="BL114">
        <v>1255847713</v>
      </c>
      <c r="BN114" s="27" t="s">
        <v>438</v>
      </c>
      <c r="BO114" s="27">
        <f>'Weighted US Tariff'!Z117</f>
        <v>20.070729242434702</v>
      </c>
      <c r="BP114" s="27">
        <f>'Weighted US Tariff'!AA117</f>
        <v>0.80786243175577199</v>
      </c>
      <c r="BQ114" s="27">
        <f>'Weighted US Tariff'!AB117</f>
        <v>1.5223658567573399</v>
      </c>
      <c r="BR114" s="27">
        <f>'Weighted US Tariff'!AC117</f>
        <v>10.1447850228948</v>
      </c>
      <c r="BS114" s="27">
        <f>'Weighted US Tariff'!AD117</f>
        <v>15.3237973722857</v>
      </c>
      <c r="BT114" s="27">
        <f>'Weighted US Tariff'!AE117</f>
        <v>14.8565561965254</v>
      </c>
      <c r="BU114" s="27">
        <f>'Weighted US Tariff'!AF117</f>
        <v>19.139229548495901</v>
      </c>
      <c r="BV114" s="27">
        <f>'Weighted US Tariff'!AG117</f>
        <v>13.9326656933602</v>
      </c>
    </row>
    <row r="115" spans="4:75">
      <c r="Z115" s="27">
        <f>SUM(Z45:Z92)/SUM(AA45:AA92)</f>
        <v>0.29942674876165754</v>
      </c>
      <c r="AF115" s="27">
        <f>SUM(AF45:AF92)/SUM(AG45:AG92)</f>
        <v>0.27047932751175685</v>
      </c>
      <c r="AQ115" s="27" t="str">
        <f t="shared" si="57"/>
        <v>nmm</v>
      </c>
      <c r="AR115" s="27" t="s">
        <v>436</v>
      </c>
      <c r="AS115" s="27">
        <v>0</v>
      </c>
      <c r="AT115" s="27">
        <v>8906</v>
      </c>
      <c r="AU115" s="27">
        <v>4193</v>
      </c>
      <c r="AV115" s="27">
        <v>2341</v>
      </c>
      <c r="AW115" s="27">
        <v>3162</v>
      </c>
      <c r="AX115" s="27">
        <v>855</v>
      </c>
      <c r="AY115" s="27">
        <v>1236</v>
      </c>
      <c r="AZ115" s="27">
        <v>5758</v>
      </c>
      <c r="BA115" s="27">
        <v>377</v>
      </c>
      <c r="BB115" s="27">
        <v>26828</v>
      </c>
      <c r="BD115" t="s">
        <v>441</v>
      </c>
      <c r="BE115">
        <v>1531102448</v>
      </c>
      <c r="BF115">
        <v>9233649036</v>
      </c>
      <c r="BG115">
        <v>4407235481</v>
      </c>
      <c r="BH115">
        <v>562456191</v>
      </c>
      <c r="BI115">
        <v>1877085546</v>
      </c>
      <c r="BJ115">
        <v>7881332235</v>
      </c>
      <c r="BK115">
        <v>13328175106</v>
      </c>
      <c r="BL115">
        <v>4224833829</v>
      </c>
      <c r="BN115" s="27" t="s">
        <v>441</v>
      </c>
      <c r="BO115" s="27">
        <f>'Weighted US Tariff'!Z118</f>
        <v>31.614563508293699</v>
      </c>
      <c r="BP115" s="27">
        <f>'Weighted US Tariff'!AA118</f>
        <v>16.955676047169302</v>
      </c>
      <c r="BQ115" s="27">
        <f>'Weighted US Tariff'!AB118</f>
        <v>6.4461911350847299</v>
      </c>
      <c r="BR115" s="27">
        <f>'Weighted US Tariff'!AC118</f>
        <v>11.039911204391</v>
      </c>
      <c r="BS115" s="27">
        <f>'Weighted US Tariff'!AD118</f>
        <v>15.715101324422999</v>
      </c>
      <c r="BT115" s="27">
        <f>'Weighted US Tariff'!AE118</f>
        <v>17.100163820844099</v>
      </c>
      <c r="BU115" s="27">
        <f>'Weighted US Tariff'!AF118</f>
        <v>15.4677649812834</v>
      </c>
      <c r="BV115" s="27">
        <f>'Weighted US Tariff'!AG118</f>
        <v>18.122499932292602</v>
      </c>
    </row>
    <row r="116" spans="4:75">
      <c r="AQ116" s="27" t="str">
        <f t="shared" si="57"/>
        <v>i_s</v>
      </c>
      <c r="AR116" s="27" t="s">
        <v>439</v>
      </c>
      <c r="AS116" s="27">
        <v>0</v>
      </c>
      <c r="AT116" s="27">
        <v>2254</v>
      </c>
      <c r="AU116" s="27">
        <v>15791</v>
      </c>
      <c r="AV116" s="27">
        <v>7177</v>
      </c>
      <c r="AW116" s="27">
        <v>3075</v>
      </c>
      <c r="AX116" s="27">
        <v>4438</v>
      </c>
      <c r="AY116" s="27">
        <v>2019</v>
      </c>
      <c r="AZ116" s="27">
        <v>6990</v>
      </c>
      <c r="BA116" s="27">
        <v>742</v>
      </c>
      <c r="BB116" s="27">
        <v>42486</v>
      </c>
      <c r="BD116" t="s">
        <v>444</v>
      </c>
      <c r="BE116">
        <v>1888479854</v>
      </c>
      <c r="BF116">
        <v>23081980564</v>
      </c>
      <c r="BG116">
        <v>7895742176</v>
      </c>
      <c r="BH116">
        <v>1218853380</v>
      </c>
      <c r="BI116">
        <v>1168525800</v>
      </c>
      <c r="BJ116">
        <v>7685238340</v>
      </c>
      <c r="BK116">
        <v>16801480514</v>
      </c>
      <c r="BL116">
        <v>16814286772</v>
      </c>
      <c r="BN116" s="27" t="s">
        <v>444</v>
      </c>
      <c r="BO116" s="27">
        <f>'Weighted US Tariff'!Z119</f>
        <v>39.227378980554299</v>
      </c>
      <c r="BP116" s="27">
        <f>'Weighted US Tariff'!AA119</f>
        <v>32.593436848484501</v>
      </c>
      <c r="BQ116" s="27">
        <f>'Weighted US Tariff'!AB119</f>
        <v>8.6554727801627198</v>
      </c>
      <c r="BR116" s="27">
        <f>'Weighted US Tariff'!AC119</f>
        <v>6.7264050824554404</v>
      </c>
      <c r="BS116" s="27">
        <f>'Weighted US Tariff'!AD119</f>
        <v>15.039620943756599</v>
      </c>
      <c r="BT116" s="27">
        <f>'Weighted US Tariff'!AE119</f>
        <v>22.055467642790099</v>
      </c>
      <c r="BU116" s="27">
        <f>'Weighted US Tariff'!AF119</f>
        <v>13.789665535126099</v>
      </c>
      <c r="BV116" s="27">
        <f>'Weighted US Tariff'!AG119</f>
        <v>9.8036574321131695</v>
      </c>
    </row>
    <row r="117" spans="4:75">
      <c r="AQ117" s="27" t="str">
        <f t="shared" si="57"/>
        <v>nfm</v>
      </c>
      <c r="AR117" s="27" t="s">
        <v>442</v>
      </c>
      <c r="AS117" s="27">
        <v>0</v>
      </c>
      <c r="AT117" s="27">
        <v>2980</v>
      </c>
      <c r="AU117" s="27">
        <v>14948</v>
      </c>
      <c r="AV117" s="27">
        <v>17442</v>
      </c>
      <c r="AW117" s="27">
        <v>7103</v>
      </c>
      <c r="AX117" s="27">
        <v>10875</v>
      </c>
      <c r="AY117" s="27">
        <v>1167</v>
      </c>
      <c r="AZ117" s="27">
        <v>5669</v>
      </c>
      <c r="BA117" s="27">
        <v>1338</v>
      </c>
      <c r="BB117" s="27">
        <v>61523</v>
      </c>
      <c r="BD117" t="s">
        <v>447</v>
      </c>
      <c r="BE117">
        <v>20204838573</v>
      </c>
      <c r="BF117">
        <v>8419519640</v>
      </c>
      <c r="BG117">
        <v>9892346441</v>
      </c>
      <c r="BH117">
        <v>1379875572</v>
      </c>
      <c r="BI117">
        <v>2562825285</v>
      </c>
      <c r="BJ117">
        <v>12770092848</v>
      </c>
      <c r="BK117">
        <v>17052694140</v>
      </c>
      <c r="BL117">
        <v>5195052221</v>
      </c>
      <c r="BN117" s="27" t="s">
        <v>447</v>
      </c>
      <c r="BO117" s="27">
        <f>'Weighted US Tariff'!Z120</f>
        <v>46.164871252000502</v>
      </c>
      <c r="BP117" s="27">
        <f>'Weighted US Tariff'!AA120</f>
        <v>39.0032743466708</v>
      </c>
      <c r="BQ117" s="27">
        <f>'Weighted US Tariff'!AB120</f>
        <v>37.947248008114997</v>
      </c>
      <c r="BR117" s="27">
        <f>'Weighted US Tariff'!AC120</f>
        <v>16.9527633503175</v>
      </c>
      <c r="BS117" s="27">
        <f>'Weighted US Tariff'!AD120</f>
        <v>33.977703006001001</v>
      </c>
      <c r="BT117" s="27">
        <f>'Weighted US Tariff'!AE120</f>
        <v>33.511394315509797</v>
      </c>
      <c r="BU117" s="27">
        <f>'Weighted US Tariff'!AF120</f>
        <v>38.514976870921501</v>
      </c>
      <c r="BV117" s="27">
        <f>'Weighted US Tariff'!AG120</f>
        <v>36.3148107669426</v>
      </c>
    </row>
    <row r="118" spans="4:75">
      <c r="AQ118" s="27" t="str">
        <f t="shared" si="57"/>
        <v>fmp</v>
      </c>
      <c r="AR118" s="27" t="s">
        <v>445</v>
      </c>
      <c r="AS118" s="27">
        <v>0</v>
      </c>
      <c r="AT118" s="27">
        <v>19252</v>
      </c>
      <c r="AU118" s="27">
        <v>9750</v>
      </c>
      <c r="AV118" s="27">
        <v>7072</v>
      </c>
      <c r="AW118" s="27">
        <v>6572</v>
      </c>
      <c r="AX118" s="27">
        <v>3090</v>
      </c>
      <c r="AY118" s="27">
        <v>2935</v>
      </c>
      <c r="AZ118" s="27">
        <v>9348</v>
      </c>
      <c r="BA118" s="27">
        <v>874</v>
      </c>
      <c r="BB118" s="27">
        <v>58892</v>
      </c>
      <c r="BD118" t="s">
        <v>450</v>
      </c>
      <c r="BE118">
        <v>122654025160</v>
      </c>
      <c r="BF118">
        <v>7461777004</v>
      </c>
      <c r="BG118">
        <v>89776783476</v>
      </c>
      <c r="BH118">
        <v>4237357912</v>
      </c>
      <c r="BI118">
        <v>13030368134</v>
      </c>
      <c r="BJ118">
        <v>35937144662</v>
      </c>
      <c r="BK118">
        <v>230960164564</v>
      </c>
      <c r="BL118">
        <v>35538388752</v>
      </c>
      <c r="BN118" s="27" t="s">
        <v>450</v>
      </c>
      <c r="BO118" s="27">
        <f>'Weighted US Tariff'!Z121</f>
        <v>20.251318223404802</v>
      </c>
      <c r="BP118" s="27">
        <f>'Weighted US Tariff'!AA121</f>
        <v>9.4027954169206396</v>
      </c>
      <c r="BQ118" s="27">
        <f>'Weighted US Tariff'!AB121</f>
        <v>9.5508613051271904</v>
      </c>
      <c r="BR118" s="27">
        <f>'Weighted US Tariff'!AC121</f>
        <v>10.855498399535399</v>
      </c>
      <c r="BS118" s="27">
        <f>'Weighted US Tariff'!AD121</f>
        <v>12.683390547884001</v>
      </c>
      <c r="BT118" s="27">
        <f>'Weighted US Tariff'!AE121</f>
        <v>13.715932364155099</v>
      </c>
      <c r="BU118" s="27">
        <f>'Weighted US Tariff'!AF121</f>
        <v>13.742598705625801</v>
      </c>
      <c r="BV118" s="27">
        <f>'Weighted US Tariff'!AG121</f>
        <v>8.0966653340067793</v>
      </c>
    </row>
    <row r="119" spans="4:75">
      <c r="AQ119" s="27" t="str">
        <f t="shared" si="57"/>
        <v>ele</v>
      </c>
      <c r="AR119" s="27" t="s">
        <v>448</v>
      </c>
      <c r="AS119" s="27">
        <v>0</v>
      </c>
      <c r="AT119" s="27">
        <v>151785</v>
      </c>
      <c r="AU119" s="27">
        <v>56997</v>
      </c>
      <c r="AV119" s="27">
        <v>7743</v>
      </c>
      <c r="AW119" s="27">
        <v>67436</v>
      </c>
      <c r="AX119" s="27">
        <v>26567</v>
      </c>
      <c r="AY119" s="27">
        <v>14635</v>
      </c>
      <c r="AZ119" s="27">
        <v>30387</v>
      </c>
      <c r="BA119" s="27">
        <v>5466</v>
      </c>
      <c r="BB119" s="27">
        <v>361017</v>
      </c>
      <c r="BD119" t="s">
        <v>453</v>
      </c>
      <c r="BE119">
        <v>56936188138</v>
      </c>
      <c r="BF119">
        <v>9137498696</v>
      </c>
      <c r="BG119">
        <v>64145157528</v>
      </c>
      <c r="BH119">
        <v>2383262691</v>
      </c>
      <c r="BI119">
        <v>11079599952</v>
      </c>
      <c r="BJ119">
        <v>26227563675</v>
      </c>
      <c r="BK119">
        <v>43406359653</v>
      </c>
      <c r="BL119">
        <v>16853984948</v>
      </c>
      <c r="BN119" s="27" t="s">
        <v>453</v>
      </c>
      <c r="BO119" s="27">
        <f>'Weighted US Tariff'!Z122</f>
        <v>28.929156917525098</v>
      </c>
      <c r="BP119" s="27">
        <f>'Weighted US Tariff'!AA122</f>
        <v>12.2341365508758</v>
      </c>
      <c r="BQ119" s="27">
        <f>'Weighted US Tariff'!AB122</f>
        <v>10.8371433136747</v>
      </c>
      <c r="BR119" s="27">
        <f>'Weighted US Tariff'!AC122</f>
        <v>16.022447437661601</v>
      </c>
      <c r="BS119" s="27">
        <f>'Weighted US Tariff'!AD122</f>
        <v>20.2778834940172</v>
      </c>
      <c r="BT119" s="27">
        <f>'Weighted US Tariff'!AE122</f>
        <v>19.557311432041502</v>
      </c>
      <c r="BU119" s="27">
        <f>'Weighted US Tariff'!AF122</f>
        <v>22.8320491939714</v>
      </c>
      <c r="BV119" s="27">
        <f>'Weighted US Tariff'!AG122</f>
        <v>20.538416813829699</v>
      </c>
    </row>
    <row r="120" spans="4:75">
      <c r="AQ120" s="27" t="str">
        <f t="shared" si="57"/>
        <v>eeq</v>
      </c>
      <c r="AR120" s="27" t="s">
        <v>451</v>
      </c>
      <c r="AS120" s="27">
        <v>0</v>
      </c>
      <c r="AT120" s="27">
        <v>52369</v>
      </c>
      <c r="AU120" s="27">
        <v>16150</v>
      </c>
      <c r="AV120" s="27">
        <v>5524</v>
      </c>
      <c r="AW120" s="27">
        <v>41185</v>
      </c>
      <c r="AX120" s="27">
        <v>8584</v>
      </c>
      <c r="AY120" s="27">
        <v>10128</v>
      </c>
      <c r="AZ120" s="27">
        <v>16629</v>
      </c>
      <c r="BA120" s="27">
        <v>1901</v>
      </c>
      <c r="BB120" s="27">
        <v>152472</v>
      </c>
      <c r="BD120" t="s">
        <v>456</v>
      </c>
      <c r="BE120">
        <v>33118163303</v>
      </c>
      <c r="BF120">
        <v>20596527778</v>
      </c>
      <c r="BG120">
        <v>49641307576</v>
      </c>
      <c r="BH120">
        <v>9636538170</v>
      </c>
      <c r="BI120">
        <v>31843320350</v>
      </c>
      <c r="BJ120">
        <v>73804591058</v>
      </c>
      <c r="BK120">
        <v>37921853844</v>
      </c>
      <c r="BL120">
        <v>20618973272</v>
      </c>
      <c r="BN120" s="27" t="s">
        <v>456</v>
      </c>
      <c r="BO120" s="27">
        <f>'Weighted US Tariff'!Z123</f>
        <v>26.444111758977801</v>
      </c>
      <c r="BP120" s="27">
        <f>'Weighted US Tariff'!AA123</f>
        <v>10.0265463039384</v>
      </c>
      <c r="BQ120" s="27">
        <f>'Weighted US Tariff'!AB123</f>
        <v>16.5004164254992</v>
      </c>
      <c r="BR120" s="27">
        <f>'Weighted US Tariff'!AC123</f>
        <v>12.7816159891096</v>
      </c>
      <c r="BS120" s="27">
        <f>'Weighted US Tariff'!AD123</f>
        <v>19.3868233763333</v>
      </c>
      <c r="BT120" s="27">
        <f>'Weighted US Tariff'!AE123</f>
        <v>18.721309665632901</v>
      </c>
      <c r="BU120" s="27">
        <f>'Weighted US Tariff'!AF123</f>
        <v>22.701646552261298</v>
      </c>
      <c r="BV120" s="27">
        <f>'Weighted US Tariff'!AG123</f>
        <v>20.6937979222728</v>
      </c>
    </row>
    <row r="121" spans="4:75">
      <c r="AQ121" s="27" t="str">
        <f t="shared" si="57"/>
        <v>ome</v>
      </c>
      <c r="AR121" s="27" t="s">
        <v>454</v>
      </c>
      <c r="AS121" s="27">
        <v>0</v>
      </c>
      <c r="AT121" s="27">
        <v>32333</v>
      </c>
      <c r="AU121" s="27">
        <v>18883</v>
      </c>
      <c r="AV121" s="27">
        <v>15935</v>
      </c>
      <c r="AW121" s="27">
        <v>23496</v>
      </c>
      <c r="AX121" s="27">
        <v>10189</v>
      </c>
      <c r="AY121" s="27">
        <v>24284</v>
      </c>
      <c r="AZ121" s="27">
        <v>47345</v>
      </c>
      <c r="BA121" s="27">
        <v>5841</v>
      </c>
      <c r="BB121" s="27">
        <v>178305</v>
      </c>
      <c r="BD121" t="s">
        <v>459</v>
      </c>
      <c r="BE121">
        <v>14996132259</v>
      </c>
      <c r="BF121">
        <v>52285090600</v>
      </c>
      <c r="BG121">
        <v>134841351356</v>
      </c>
      <c r="BH121">
        <v>11226324327</v>
      </c>
      <c r="BI121">
        <v>51832187138</v>
      </c>
      <c r="BJ121">
        <v>61297278928</v>
      </c>
      <c r="BK121">
        <v>12186792090</v>
      </c>
      <c r="BL121">
        <v>45426914417</v>
      </c>
      <c r="BN121" s="27" t="s">
        <v>459</v>
      </c>
      <c r="BO121" s="27">
        <f>'Weighted US Tariff'!Z124</f>
        <v>34.390747081693902</v>
      </c>
      <c r="BP121" s="27">
        <f>'Weighted US Tariff'!AA124</f>
        <v>17.9628780142491</v>
      </c>
      <c r="BQ121" s="27">
        <f>'Weighted US Tariff'!AB124</f>
        <v>18.391115113114299</v>
      </c>
      <c r="BR121" s="27">
        <f>'Weighted US Tariff'!AC124</f>
        <v>23.507096380563102</v>
      </c>
      <c r="BS121" s="27">
        <f>'Weighted US Tariff'!AD124</f>
        <v>24.108957099543399</v>
      </c>
      <c r="BT121" s="27">
        <f>'Weighted US Tariff'!AE124</f>
        <v>23.972766535126102</v>
      </c>
      <c r="BU121" s="27">
        <f>'Weighted US Tariff'!AF124</f>
        <v>27.936524001579901</v>
      </c>
      <c r="BV121" s="27">
        <f>'Weighted US Tariff'!AG124</f>
        <v>25.012810895904501</v>
      </c>
    </row>
    <row r="122" spans="4:75">
      <c r="AQ122" s="27" t="str">
        <f t="shared" si="57"/>
        <v>mvh</v>
      </c>
      <c r="AR122" s="27" t="s">
        <v>457</v>
      </c>
      <c r="AS122" s="27">
        <v>0</v>
      </c>
      <c r="AT122" s="27">
        <v>18366</v>
      </c>
      <c r="AU122" s="27">
        <v>9112</v>
      </c>
      <c r="AV122" s="27">
        <v>58783</v>
      </c>
      <c r="AW122" s="27">
        <v>91875</v>
      </c>
      <c r="AX122" s="27">
        <v>21930</v>
      </c>
      <c r="AY122" s="27">
        <v>53378</v>
      </c>
      <c r="AZ122" s="27">
        <v>49855</v>
      </c>
      <c r="BA122" s="27">
        <v>9928</v>
      </c>
      <c r="BB122" s="27">
        <v>313228</v>
      </c>
      <c r="BD122" t="s">
        <v>462</v>
      </c>
      <c r="BE122">
        <v>4211960943</v>
      </c>
      <c r="BF122">
        <v>15359480772</v>
      </c>
      <c r="BG122">
        <v>4316028776</v>
      </c>
      <c r="BH122">
        <v>6644255638</v>
      </c>
      <c r="BI122">
        <v>4914826735</v>
      </c>
      <c r="BJ122">
        <v>28665629236</v>
      </c>
      <c r="BK122">
        <v>9573056967</v>
      </c>
      <c r="BL122">
        <v>2959435369</v>
      </c>
      <c r="BN122" s="27" t="s">
        <v>462</v>
      </c>
      <c r="BO122" s="27">
        <f>'Weighted US Tariff'!Z125</f>
        <v>20.242363472457299</v>
      </c>
      <c r="BP122" s="27">
        <f>'Weighted US Tariff'!AA125</f>
        <v>4.1145887806465797</v>
      </c>
      <c r="BQ122" s="27">
        <f>'Weighted US Tariff'!AB125</f>
        <v>8.1952238394807093</v>
      </c>
      <c r="BR122" s="27">
        <f>'Weighted US Tariff'!AC125</f>
        <v>11.8757059509756</v>
      </c>
      <c r="BS122" s="27">
        <f>'Weighted US Tariff'!AD125</f>
        <v>15.5652506995244</v>
      </c>
      <c r="BT122" s="27">
        <f>'Weighted US Tariff'!AE125</f>
        <v>16.259658828617301</v>
      </c>
      <c r="BU122" s="27">
        <f>'Weighted US Tariff'!AF125</f>
        <v>17.9002278595758</v>
      </c>
      <c r="BV122" s="27">
        <f>'Weighted US Tariff'!AG125</f>
        <v>18.597107461953801</v>
      </c>
    </row>
    <row r="123" spans="4:75">
      <c r="AQ123" s="27" t="str">
        <f t="shared" si="57"/>
        <v>otn</v>
      </c>
      <c r="AR123" s="27" t="s">
        <v>460</v>
      </c>
      <c r="AS123" s="27">
        <v>0</v>
      </c>
      <c r="AT123" s="27">
        <v>5336</v>
      </c>
      <c r="AU123" s="27">
        <v>7591</v>
      </c>
      <c r="AV123" s="27">
        <v>9045</v>
      </c>
      <c r="AW123" s="27">
        <v>2570</v>
      </c>
      <c r="AX123" s="27">
        <v>4155</v>
      </c>
      <c r="AY123" s="27">
        <v>6800</v>
      </c>
      <c r="AZ123" s="27">
        <v>24732</v>
      </c>
      <c r="BA123" s="27">
        <v>7121</v>
      </c>
      <c r="BB123" s="27">
        <v>67350</v>
      </c>
      <c r="BD123" t="s">
        <v>465</v>
      </c>
      <c r="BE123">
        <v>52915251444</v>
      </c>
      <c r="BF123">
        <v>10341828943</v>
      </c>
      <c r="BG123">
        <v>26653280492</v>
      </c>
      <c r="BH123">
        <v>4229093772</v>
      </c>
      <c r="BI123">
        <v>3223638945</v>
      </c>
      <c r="BJ123">
        <v>35503914881</v>
      </c>
      <c r="BK123">
        <v>71033169759</v>
      </c>
      <c r="BL123">
        <v>22622570101</v>
      </c>
      <c r="BN123" s="27" t="s">
        <v>465</v>
      </c>
      <c r="BO123" s="27">
        <f>'Weighted US Tariff'!Z126</f>
        <v>25.946844426753199</v>
      </c>
      <c r="BP123" s="27">
        <f>'Weighted US Tariff'!AA126</f>
        <v>34.093900913230499</v>
      </c>
      <c r="BQ123" s="27">
        <f>'Weighted US Tariff'!AB126</f>
        <v>23.943862170166302</v>
      </c>
      <c r="BR123" s="27">
        <f>'Weighted US Tariff'!AC126</f>
        <v>9.7590054264703596</v>
      </c>
      <c r="BS123" s="27">
        <f>'Weighted US Tariff'!AD126</f>
        <v>15.6432098492965</v>
      </c>
      <c r="BT123" s="27">
        <f>'Weighted US Tariff'!AE126</f>
        <v>15.7775595639953</v>
      </c>
      <c r="BU123" s="27">
        <f>'Weighted US Tariff'!AF126</f>
        <v>17.428308735175701</v>
      </c>
      <c r="BV123" s="27">
        <f>'Weighted US Tariff'!AG126</f>
        <v>13.9305290318039</v>
      </c>
    </row>
    <row r="124" spans="4:75">
      <c r="AQ124" s="27" t="str">
        <f t="shared" si="57"/>
        <v>omf</v>
      </c>
      <c r="AR124" s="27" t="s">
        <v>463</v>
      </c>
      <c r="AS124" s="27">
        <v>0</v>
      </c>
      <c r="AT124" s="27">
        <v>60206</v>
      </c>
      <c r="AU124" s="27">
        <v>34921</v>
      </c>
      <c r="AV124" s="27">
        <v>6842</v>
      </c>
      <c r="AW124" s="27">
        <v>18205</v>
      </c>
      <c r="AX124" s="27">
        <v>15992</v>
      </c>
      <c r="AY124" s="27">
        <v>2657</v>
      </c>
      <c r="AZ124" s="27">
        <v>25858</v>
      </c>
      <c r="BA124" s="27">
        <v>5540</v>
      </c>
      <c r="BB124" s="27">
        <v>170221</v>
      </c>
      <c r="BD124" t="s">
        <v>468</v>
      </c>
      <c r="BE124">
        <v>0</v>
      </c>
      <c r="BF124">
        <v>2289715638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 s="27" t="s">
        <v>468</v>
      </c>
      <c r="BO124" s="27">
        <f>'Weighted US Tariff'!Z127</f>
        <v>0</v>
      </c>
      <c r="BP124" s="27">
        <f>'Weighted US Tariff'!AA127</f>
        <v>0</v>
      </c>
      <c r="BQ124" s="27">
        <f>'Weighted US Tariff'!AB127</f>
        <v>0</v>
      </c>
      <c r="BR124" s="27">
        <f>'Weighted US Tariff'!AC127</f>
        <v>0</v>
      </c>
      <c r="BS124" s="27">
        <f>'Weighted US Tariff'!AD127</f>
        <v>0</v>
      </c>
      <c r="BT124" s="27">
        <f>'Weighted US Tariff'!AE127</f>
        <v>0</v>
      </c>
      <c r="BU124" s="27">
        <f>'Weighted US Tariff'!AF127</f>
        <v>0</v>
      </c>
      <c r="BV124" s="27">
        <f>'Weighted US Tariff'!AG127</f>
        <v>0</v>
      </c>
    </row>
    <row r="125" spans="4:75">
      <c r="AQ125" s="27" t="str">
        <f t="shared" si="57"/>
        <v>ely</v>
      </c>
      <c r="AR125" s="27" t="s">
        <v>466</v>
      </c>
      <c r="AS125" s="27">
        <v>0</v>
      </c>
      <c r="AT125" s="27">
        <v>8.51</v>
      </c>
      <c r="AU125" s="27">
        <v>71.5</v>
      </c>
      <c r="AV125" s="27">
        <v>4661</v>
      </c>
      <c r="AW125" s="27">
        <v>14.8</v>
      </c>
      <c r="AX125" s="27">
        <v>13.7</v>
      </c>
      <c r="AY125" s="27">
        <v>2E-3</v>
      </c>
      <c r="AZ125" s="27">
        <v>51.7</v>
      </c>
      <c r="BA125" s="27">
        <v>4.74</v>
      </c>
      <c r="BB125" s="27">
        <v>4826</v>
      </c>
      <c r="BE125" s="27">
        <f>SUM(BE80:BE124)</f>
        <v>417986720127</v>
      </c>
      <c r="BF125" s="27">
        <f t="shared" ref="BF125" si="58">SUM(BF80:BF124)</f>
        <v>392465115618</v>
      </c>
      <c r="BG125" s="27">
        <f t="shared" ref="BG125" si="59">SUM(BG80:BG124)</f>
        <v>491614935695</v>
      </c>
      <c r="BH125" s="27">
        <f t="shared" ref="BH125" si="60">SUM(BH80:BH124)</f>
        <v>62318446789</v>
      </c>
      <c r="BI125" s="27">
        <f t="shared" ref="BI125" si="61">SUM(BI80:BI124)</f>
        <v>144863352475</v>
      </c>
      <c r="BJ125" s="27">
        <f t="shared" ref="BJ125" si="62">SUM(BJ80:BJ124)</f>
        <v>562425464663</v>
      </c>
      <c r="BK125" s="27">
        <f t="shared" ref="BK125" si="63">SUM(BK80:BK124)</f>
        <v>763562057092</v>
      </c>
      <c r="BL125" s="27">
        <f t="shared" ref="BL125" si="64">SUM(BL80:BL124)</f>
        <v>288537320178</v>
      </c>
      <c r="BM125" s="27">
        <f>SUM(BE125:BL125)</f>
        <v>3123773412637</v>
      </c>
      <c r="BO125" s="27">
        <f>SUMPRODUCT(BO80:BO124,BE80:BE124)/SUM(BE80:BE124)</f>
        <v>24.021794010077258</v>
      </c>
      <c r="BP125" s="27">
        <f t="shared" ref="BP125" si="65">SUMPRODUCT(BP80:BP124,BF80:BF124)/SUM(BF80:BF124)</f>
        <v>8.1243365414907966</v>
      </c>
      <c r="BQ125" s="27">
        <f t="shared" ref="BQ125" si="66">SUMPRODUCT(BQ80:BQ124,BG80:BG124)/SUM(BG80:BG124)</f>
        <v>12.780105742261044</v>
      </c>
      <c r="BR125" s="27">
        <f t="shared" ref="BR125" si="67">SUMPRODUCT(BR80:BR124,BH80:BH124)/SUM(BH80:BH124)</f>
        <v>11.368229360772691</v>
      </c>
      <c r="BS125" s="27">
        <f t="shared" ref="BS125" si="68">SUMPRODUCT(BS80:BS124,BI80:BI124)/SUM(BI80:BI124)</f>
        <v>18.795838062404297</v>
      </c>
      <c r="BT125" s="27">
        <f t="shared" ref="BT125" si="69">SUMPRODUCT(BT80:BT124,BJ80:BJ124)/SUM(BJ80:BJ124)</f>
        <v>12.595540810918253</v>
      </c>
      <c r="BU125" s="27">
        <f t="shared" ref="BU125" si="70">SUMPRODUCT(BU80:BU124,BK80:BK124)/SUM(BK80:BK124)</f>
        <v>14.614473374476837</v>
      </c>
      <c r="BV125" s="27">
        <f t="shared" ref="BV125" si="71">SUMPRODUCT(BV80:BV124,BL80:BL124)/SUM(BL80:BL124)</f>
        <v>13.013912301675537</v>
      </c>
      <c r="BW125" s="27">
        <f>SUMPRODUCT(BO125:BV125,BE125:BL125)/SUM(BE125:BL125)</f>
        <v>14.38695533693838</v>
      </c>
    </row>
    <row r="126" spans="4:75">
      <c r="AQ126" s="27" t="str">
        <f t="shared" si="57"/>
        <v>gdt</v>
      </c>
      <c r="AR126" s="27" t="s">
        <v>469</v>
      </c>
      <c r="AS126" s="27">
        <v>0</v>
      </c>
      <c r="AT126" s="27">
        <v>4.26</v>
      </c>
      <c r="AU126" s="27">
        <v>123</v>
      </c>
      <c r="AV126" s="27">
        <v>2.86</v>
      </c>
      <c r="AW126" s="27">
        <v>1.0999999999999999E-2</v>
      </c>
      <c r="AX126" s="27">
        <v>6.56</v>
      </c>
      <c r="AY126" s="27">
        <v>1E-3</v>
      </c>
      <c r="AZ126" s="27">
        <v>9.8000000000000007</v>
      </c>
      <c r="BA126" s="27">
        <v>4.4800000000000004</v>
      </c>
      <c r="BB126" s="27">
        <v>151</v>
      </c>
      <c r="BE126" s="27">
        <f>BE125/SUM($BE125:$BL125)</f>
        <v>0.1338082712517063</v>
      </c>
      <c r="BF126" s="27">
        <f t="shared" ref="BF126:BM126" si="72">BF125/SUM($BE125:$BL125)</f>
        <v>0.1256381509716136</v>
      </c>
      <c r="BG126" s="27">
        <f t="shared" si="72"/>
        <v>0.15737855175609319</v>
      </c>
      <c r="BH126" s="27">
        <f t="shared" si="72"/>
        <v>1.9949733401563384E-2</v>
      </c>
      <c r="BI126" s="27">
        <f t="shared" si="72"/>
        <v>4.6374475142456156E-2</v>
      </c>
      <c r="BJ126" s="27">
        <f t="shared" si="72"/>
        <v>0.1800468185009029</v>
      </c>
      <c r="BK126" s="27">
        <f t="shared" si="72"/>
        <v>0.24443580126620734</v>
      </c>
      <c r="BL126" s="27">
        <f t="shared" si="72"/>
        <v>9.2368197709457117E-2</v>
      </c>
      <c r="BM126" s="27">
        <f t="shared" si="72"/>
        <v>1</v>
      </c>
      <c r="BO126" s="27">
        <f>SUMPRODUCT(BR125:BV125,BH125:BL125)/SUM(BH125:BL125)</f>
        <v>13.959101626288057</v>
      </c>
    </row>
    <row r="127" spans="4:75">
      <c r="AQ127" s="27" t="str">
        <f t="shared" si="57"/>
        <v>wtr</v>
      </c>
      <c r="AR127" s="27" t="s">
        <v>472</v>
      </c>
      <c r="AS127" s="27">
        <v>0</v>
      </c>
      <c r="AT127" s="27">
        <v>1.51</v>
      </c>
      <c r="AU127" s="27">
        <v>31.9</v>
      </c>
      <c r="AV127" s="27">
        <v>1.38</v>
      </c>
      <c r="AW127" s="27">
        <v>2.74</v>
      </c>
      <c r="AX127" s="27">
        <v>7.19</v>
      </c>
      <c r="AY127" s="27">
        <v>0.77800000000000002</v>
      </c>
      <c r="AZ127" s="27">
        <v>15.1</v>
      </c>
      <c r="BA127" s="27">
        <v>6.52</v>
      </c>
      <c r="BB127" s="27">
        <v>67.099999999999994</v>
      </c>
    </row>
    <row r="128" spans="4:75">
      <c r="AQ128" s="27" t="str">
        <f t="shared" si="57"/>
        <v>cns</v>
      </c>
      <c r="AR128" s="27" t="s">
        <v>475</v>
      </c>
      <c r="AS128" s="27">
        <v>0</v>
      </c>
      <c r="AT128" s="27">
        <v>170</v>
      </c>
      <c r="AU128" s="27">
        <v>1328</v>
      </c>
      <c r="AV128" s="27">
        <v>345</v>
      </c>
      <c r="AW128" s="27">
        <v>39</v>
      </c>
      <c r="AX128" s="27">
        <v>342</v>
      </c>
      <c r="AY128" s="27">
        <v>225</v>
      </c>
      <c r="AZ128" s="27">
        <v>625</v>
      </c>
      <c r="BA128" s="27">
        <v>227</v>
      </c>
      <c r="BB128" s="27">
        <v>3300</v>
      </c>
    </row>
    <row r="129" spans="43:54">
      <c r="AQ129" s="27" t="str">
        <f t="shared" si="57"/>
        <v>trd</v>
      </c>
      <c r="AR129" s="27" t="s">
        <v>477</v>
      </c>
      <c r="AS129" s="27">
        <v>0</v>
      </c>
      <c r="AT129" s="27">
        <v>10403</v>
      </c>
      <c r="AU129" s="27">
        <v>4486</v>
      </c>
      <c r="AV129" s="27">
        <v>1556</v>
      </c>
      <c r="AW129" s="27">
        <v>331</v>
      </c>
      <c r="AX129" s="27">
        <v>1823</v>
      </c>
      <c r="AY129" s="27">
        <v>338</v>
      </c>
      <c r="AZ129" s="27">
        <v>4112</v>
      </c>
      <c r="BA129" s="27">
        <v>1453</v>
      </c>
      <c r="BB129" s="27">
        <v>24502</v>
      </c>
    </row>
    <row r="130" spans="43:54">
      <c r="AQ130" s="27" t="str">
        <f t="shared" si="57"/>
        <v>afs</v>
      </c>
      <c r="AR130" s="27" t="s">
        <v>480</v>
      </c>
      <c r="AS130" s="27">
        <v>0</v>
      </c>
      <c r="AT130" s="27">
        <v>3497</v>
      </c>
      <c r="AU130" s="27">
        <v>33358</v>
      </c>
      <c r="AV130" s="27">
        <v>6502</v>
      </c>
      <c r="AW130" s="27">
        <v>14025</v>
      </c>
      <c r="AX130" s="27">
        <v>12898</v>
      </c>
      <c r="AY130" s="27">
        <v>2248</v>
      </c>
      <c r="AZ130" s="27">
        <v>20712</v>
      </c>
      <c r="BA130" s="27">
        <v>4213</v>
      </c>
      <c r="BB130" s="27">
        <v>97453</v>
      </c>
    </row>
    <row r="131" spans="43:54">
      <c r="AQ131" s="27" t="str">
        <f t="shared" si="57"/>
        <v>otp</v>
      </c>
      <c r="AR131" s="27" t="s">
        <v>483</v>
      </c>
      <c r="AS131" s="27">
        <v>0</v>
      </c>
      <c r="AT131" s="27">
        <v>234</v>
      </c>
      <c r="AU131" s="27">
        <v>2247</v>
      </c>
      <c r="AV131" s="27">
        <v>240</v>
      </c>
      <c r="AW131" s="27">
        <v>631</v>
      </c>
      <c r="AX131" s="27">
        <v>598</v>
      </c>
      <c r="AY131" s="27">
        <v>37</v>
      </c>
      <c r="AZ131" s="27">
        <v>1246</v>
      </c>
      <c r="BA131" s="27">
        <v>151</v>
      </c>
      <c r="BB131" s="27">
        <v>5384</v>
      </c>
    </row>
    <row r="132" spans="43:54">
      <c r="AQ132" s="27" t="str">
        <f t="shared" si="57"/>
        <v>wtp</v>
      </c>
      <c r="AR132" s="27" t="s">
        <v>486</v>
      </c>
      <c r="AS132" s="27">
        <v>0</v>
      </c>
      <c r="AT132" s="27">
        <v>401</v>
      </c>
      <c r="AU132" s="27">
        <v>1875</v>
      </c>
      <c r="AV132" s="27">
        <v>221</v>
      </c>
      <c r="AW132" s="27">
        <v>20.6</v>
      </c>
      <c r="AX132" s="27">
        <v>681</v>
      </c>
      <c r="AY132" s="27">
        <v>36.200000000000003</v>
      </c>
      <c r="AZ132" s="27">
        <v>154</v>
      </c>
      <c r="BA132" s="27">
        <v>58.2</v>
      </c>
      <c r="BB132" s="27">
        <v>3447</v>
      </c>
    </row>
    <row r="133" spans="43:54">
      <c r="AQ133" s="27" t="str">
        <f t="shared" si="57"/>
        <v>atp</v>
      </c>
      <c r="AR133" s="27" t="s">
        <v>489</v>
      </c>
      <c r="AS133" s="27">
        <v>0</v>
      </c>
      <c r="AT133" s="27">
        <v>5081</v>
      </c>
      <c r="AU133" s="27">
        <v>10575</v>
      </c>
      <c r="AV133" s="27">
        <v>4361</v>
      </c>
      <c r="AW133" s="27">
        <v>2851</v>
      </c>
      <c r="AX133" s="27">
        <v>6108</v>
      </c>
      <c r="AY133" s="27">
        <v>1450</v>
      </c>
      <c r="AZ133" s="27">
        <v>11750</v>
      </c>
      <c r="BA133" s="27">
        <v>5037</v>
      </c>
      <c r="BB133" s="27">
        <v>47213</v>
      </c>
    </row>
    <row r="134" spans="43:54">
      <c r="AQ134" s="27" t="str">
        <f t="shared" si="57"/>
        <v>whs</v>
      </c>
      <c r="AR134" s="27" t="s">
        <v>492</v>
      </c>
      <c r="AS134" s="27">
        <v>0</v>
      </c>
      <c r="AT134" s="27">
        <v>415</v>
      </c>
      <c r="AU134" s="27">
        <v>1438</v>
      </c>
      <c r="AV134" s="27">
        <v>453</v>
      </c>
      <c r="AW134" s="27">
        <v>193</v>
      </c>
      <c r="AX134" s="27">
        <v>479</v>
      </c>
      <c r="AY134" s="27">
        <v>114</v>
      </c>
      <c r="AZ134" s="27">
        <v>777</v>
      </c>
      <c r="BA134" s="27">
        <v>504</v>
      </c>
      <c r="BB134" s="27">
        <v>4373</v>
      </c>
    </row>
    <row r="135" spans="43:54">
      <c r="AQ135" s="27" t="str">
        <f t="shared" si="57"/>
        <v>cmn</v>
      </c>
      <c r="AR135" s="27" t="s">
        <v>495</v>
      </c>
      <c r="AS135" s="27">
        <v>0</v>
      </c>
      <c r="AT135" s="27">
        <v>3426</v>
      </c>
      <c r="AU135" s="27">
        <v>26631</v>
      </c>
      <c r="AV135" s="27">
        <v>7009</v>
      </c>
      <c r="AW135" s="27">
        <v>980</v>
      </c>
      <c r="AX135" s="27">
        <v>5461</v>
      </c>
      <c r="AY135" s="27">
        <v>1712</v>
      </c>
      <c r="AZ135" s="27">
        <v>19170</v>
      </c>
      <c r="BA135" s="27">
        <v>6082</v>
      </c>
      <c r="BB135" s="27">
        <v>70471</v>
      </c>
    </row>
    <row r="136" spans="43:54">
      <c r="AQ136" s="27" t="str">
        <f t="shared" si="57"/>
        <v>ofi</v>
      </c>
      <c r="AR136" s="27" t="s">
        <v>498</v>
      </c>
      <c r="AS136" s="27">
        <v>0</v>
      </c>
      <c r="AT136" s="27">
        <v>3668</v>
      </c>
      <c r="AU136" s="27">
        <v>8748</v>
      </c>
      <c r="AV136" s="27">
        <v>4219</v>
      </c>
      <c r="AW136" s="27">
        <v>372</v>
      </c>
      <c r="AX136" s="27">
        <v>3951</v>
      </c>
      <c r="AY136" s="27">
        <v>2691</v>
      </c>
      <c r="AZ136" s="27">
        <v>8183</v>
      </c>
      <c r="BA136" s="27">
        <v>17146</v>
      </c>
      <c r="BB136" s="27">
        <v>48977</v>
      </c>
    </row>
    <row r="137" spans="43:54">
      <c r="AQ137" s="27" t="str">
        <f t="shared" si="57"/>
        <v>ins</v>
      </c>
      <c r="AR137" s="27" t="s">
        <v>501</v>
      </c>
      <c r="AS137" s="27">
        <v>0</v>
      </c>
      <c r="AT137" s="27">
        <v>489</v>
      </c>
      <c r="AU137" s="27">
        <v>27373</v>
      </c>
      <c r="AV137" s="27">
        <v>874</v>
      </c>
      <c r="AW137" s="27">
        <v>438</v>
      </c>
      <c r="AX137" s="27">
        <v>868</v>
      </c>
      <c r="AY137" s="27">
        <v>434</v>
      </c>
      <c r="AZ137" s="27">
        <v>9209</v>
      </c>
      <c r="BA137" s="27">
        <v>5751</v>
      </c>
      <c r="BB137" s="27">
        <v>45437</v>
      </c>
    </row>
    <row r="138" spans="43:54">
      <c r="AQ138" s="27" t="str">
        <f t="shared" si="57"/>
        <v>rsa</v>
      </c>
      <c r="AR138" s="27" t="s">
        <v>504</v>
      </c>
      <c r="AS138" s="27">
        <v>0</v>
      </c>
      <c r="AT138" s="27">
        <v>30.7</v>
      </c>
      <c r="AU138" s="27">
        <v>3508</v>
      </c>
      <c r="AV138" s="27">
        <v>199</v>
      </c>
      <c r="AW138" s="27">
        <v>121</v>
      </c>
      <c r="AX138" s="27">
        <v>455</v>
      </c>
      <c r="AY138" s="27">
        <v>271</v>
      </c>
      <c r="AZ138" s="27">
        <v>2349</v>
      </c>
      <c r="BA138" s="27">
        <v>122</v>
      </c>
      <c r="BB138" s="27">
        <v>7058</v>
      </c>
    </row>
    <row r="139" spans="43:54">
      <c r="AQ139" s="27" t="str">
        <f t="shared" si="57"/>
        <v>obs</v>
      </c>
      <c r="AR139" s="27" t="s">
        <v>507</v>
      </c>
      <c r="AS139" s="27">
        <v>0</v>
      </c>
      <c r="AT139" s="27">
        <v>9478</v>
      </c>
      <c r="AU139" s="27">
        <v>37485</v>
      </c>
      <c r="AV139" s="27">
        <v>11303</v>
      </c>
      <c r="AW139" s="27">
        <v>2811</v>
      </c>
      <c r="AX139" s="27">
        <v>14650</v>
      </c>
      <c r="AY139" s="27">
        <v>6503</v>
      </c>
      <c r="AZ139" s="27">
        <v>42257</v>
      </c>
      <c r="BA139" s="27">
        <v>23042</v>
      </c>
      <c r="BB139" s="27">
        <v>147528</v>
      </c>
    </row>
    <row r="140" spans="43:54">
      <c r="AQ140" s="27" t="str">
        <f t="shared" si="57"/>
        <v>ros</v>
      </c>
      <c r="AR140" s="27" t="s">
        <v>510</v>
      </c>
      <c r="AS140" s="27">
        <v>0</v>
      </c>
      <c r="AT140" s="27">
        <v>179</v>
      </c>
      <c r="AU140" s="27">
        <v>825</v>
      </c>
      <c r="AV140" s="27">
        <v>253</v>
      </c>
      <c r="AW140" s="27">
        <v>88.3</v>
      </c>
      <c r="AX140" s="27">
        <v>211</v>
      </c>
      <c r="AY140" s="27">
        <v>104</v>
      </c>
      <c r="AZ140" s="27">
        <v>567</v>
      </c>
      <c r="BA140" s="27">
        <v>158</v>
      </c>
      <c r="BB140" s="27">
        <v>2386</v>
      </c>
    </row>
    <row r="141" spans="43:54">
      <c r="AQ141" s="27" t="str">
        <f t="shared" si="57"/>
        <v>osg</v>
      </c>
      <c r="AR141" s="27" t="s">
        <v>513</v>
      </c>
      <c r="AS141" s="27">
        <v>0</v>
      </c>
      <c r="AT141" s="27">
        <v>167</v>
      </c>
      <c r="AU141" s="27">
        <v>6474</v>
      </c>
      <c r="AV141" s="27">
        <v>331</v>
      </c>
      <c r="AW141" s="27">
        <v>114</v>
      </c>
      <c r="AX141" s="27">
        <v>3477</v>
      </c>
      <c r="AY141" s="27">
        <v>3717</v>
      </c>
      <c r="AZ141" s="27">
        <v>5911</v>
      </c>
      <c r="BA141" s="27">
        <v>422</v>
      </c>
      <c r="BB141" s="27">
        <v>20613</v>
      </c>
    </row>
    <row r="142" spans="43:54">
      <c r="AQ142" s="27" t="str">
        <f t="shared" si="57"/>
        <v>edu</v>
      </c>
      <c r="AR142" s="27" t="s">
        <v>516</v>
      </c>
      <c r="AS142" s="27">
        <v>0</v>
      </c>
      <c r="AT142" s="27">
        <v>967</v>
      </c>
      <c r="AU142" s="27">
        <v>3501</v>
      </c>
      <c r="AV142" s="27">
        <v>2202</v>
      </c>
      <c r="AW142" s="27">
        <v>202</v>
      </c>
      <c r="AX142" s="27">
        <v>1748</v>
      </c>
      <c r="AY142" s="27">
        <v>150</v>
      </c>
      <c r="AZ142" s="27">
        <v>3197</v>
      </c>
      <c r="BA142" s="27">
        <v>3973</v>
      </c>
      <c r="BB142" s="27">
        <v>15940</v>
      </c>
    </row>
    <row r="143" spans="43:54">
      <c r="AQ143" s="27" t="str">
        <f t="shared" si="57"/>
        <v>hht</v>
      </c>
      <c r="AR143" s="27" t="s">
        <v>519</v>
      </c>
      <c r="AS143" s="27">
        <v>0</v>
      </c>
      <c r="AT143" s="27">
        <v>402</v>
      </c>
      <c r="AU143" s="27">
        <v>830</v>
      </c>
      <c r="AV143" s="27">
        <v>160</v>
      </c>
      <c r="AW143" s="27">
        <v>287</v>
      </c>
      <c r="AX143" s="27">
        <v>505</v>
      </c>
      <c r="AY143" s="27">
        <v>9.5500000000000007</v>
      </c>
      <c r="AZ143" s="27">
        <v>600</v>
      </c>
      <c r="BA143" s="27">
        <v>115</v>
      </c>
      <c r="BB143" s="27">
        <v>2909</v>
      </c>
    </row>
    <row r="144" spans="43:54">
      <c r="AQ144" s="27" t="str">
        <f t="shared" si="57"/>
        <v>dwe</v>
      </c>
      <c r="AR144" s="27" t="s">
        <v>522</v>
      </c>
      <c r="AS144" s="27">
        <v>0</v>
      </c>
      <c r="AT144" s="27">
        <v>0</v>
      </c>
      <c r="AU144" s="27">
        <v>0</v>
      </c>
      <c r="AV144" s="27">
        <v>0</v>
      </c>
      <c r="AW144" s="27">
        <v>0</v>
      </c>
      <c r="AX144" s="27">
        <v>0</v>
      </c>
      <c r="AY144" s="27">
        <v>0</v>
      </c>
      <c r="AZ144" s="27">
        <v>0</v>
      </c>
      <c r="BA144" s="27">
        <v>0</v>
      </c>
      <c r="BB144" s="27">
        <v>0</v>
      </c>
    </row>
    <row r="145" spans="44:54">
      <c r="AR145" s="27" t="s">
        <v>52</v>
      </c>
      <c r="AS145" s="27">
        <v>0</v>
      </c>
      <c r="AT145" s="27">
        <v>524995</v>
      </c>
      <c r="AU145" s="27">
        <v>633821</v>
      </c>
      <c r="AV145" s="27">
        <v>332027</v>
      </c>
      <c r="AW145" s="27">
        <v>351368</v>
      </c>
      <c r="AX145" s="27">
        <v>235685</v>
      </c>
      <c r="AY145" s="27">
        <v>154947</v>
      </c>
      <c r="AZ145" s="27">
        <v>489580</v>
      </c>
      <c r="BA145" s="27">
        <v>127681</v>
      </c>
      <c r="BB145" s="27">
        <v>2850103</v>
      </c>
    </row>
    <row r="146" spans="44:54">
      <c r="AT146" s="27">
        <f>SUM(AT80:AT128)</f>
        <v>486155.88500000001</v>
      </c>
      <c r="AU146" s="27">
        <f t="shared" ref="AU146:BB146" si="73">SUM(AU80:AU128)</f>
        <v>464469.11</v>
      </c>
      <c r="AV146" s="27">
        <f t="shared" si="73"/>
        <v>292144.22200000001</v>
      </c>
      <c r="AW146" s="27">
        <f t="shared" si="73"/>
        <v>327903.30799999996</v>
      </c>
      <c r="AX146" s="27">
        <f t="shared" si="73"/>
        <v>181771.44700000001</v>
      </c>
      <c r="AY146" s="27">
        <f t="shared" si="73"/>
        <v>135132.41199999998</v>
      </c>
      <c r="AZ146" s="27">
        <f t="shared" si="73"/>
        <v>359384.08299999998</v>
      </c>
      <c r="BA146" s="27">
        <f t="shared" si="73"/>
        <v>59453.943999999996</v>
      </c>
      <c r="BB146" s="27">
        <f t="shared" si="73"/>
        <v>2306416.7600000002</v>
      </c>
    </row>
    <row r="147" spans="44:54">
      <c r="AT147" s="27">
        <f>AT146/$BB146</f>
        <v>0.21078405838500755</v>
      </c>
      <c r="AU147" s="27">
        <f t="shared" ref="AU147" si="74">AU146/$BB146</f>
        <v>0.20138125860653214</v>
      </c>
      <c r="AV147" s="27">
        <f t="shared" ref="AV147" si="75">AV146/$BB146</f>
        <v>0.12666584247332646</v>
      </c>
      <c r="AW147" s="27">
        <f t="shared" ref="AW147" si="76">AW146/$BB146</f>
        <v>0.14217001614226907</v>
      </c>
      <c r="AX147" s="27">
        <f t="shared" ref="AX147" si="77">AX146/$BB146</f>
        <v>7.8811188919733655E-2</v>
      </c>
      <c r="AY147" s="27">
        <f t="shared" ref="AY147" si="78">AY146/$BB146</f>
        <v>5.8589763282850912E-2</v>
      </c>
      <c r="AZ147" s="27">
        <f t="shared" ref="AZ147" si="79">AZ146/$BB146</f>
        <v>0.15581922973886123</v>
      </c>
      <c r="BA147" s="27">
        <f t="shared" ref="BA147" si="80">BA146/$BB146</f>
        <v>2.5777623988476387E-2</v>
      </c>
      <c r="BB147" s="27">
        <f t="shared" ref="BB147" si="81">BB146/$BB146</f>
        <v>1</v>
      </c>
    </row>
  </sheetData>
  <mergeCells count="2">
    <mergeCell ref="E47:E48"/>
    <mergeCell ref="E50:E5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CD9A-6F76-4603-9E77-C59880D59759}">
  <sheetPr codeName="Sheet19"/>
  <dimension ref="A1:AN64"/>
  <sheetViews>
    <sheetView topLeftCell="A7" zoomScaleNormal="100" workbookViewId="0">
      <selection activeCell="D39" sqref="D39"/>
    </sheetView>
  </sheetViews>
  <sheetFormatPr defaultRowHeight="12.6"/>
  <cols>
    <col min="1" max="1" width="25.140625" bestFit="1" customWidth="1"/>
    <col min="2" max="13" width="9.28515625" style="1" customWidth="1"/>
    <col min="27" max="27" width="12.5703125" bestFit="1" customWidth="1"/>
  </cols>
  <sheetData>
    <row r="1" spans="1:17" ht="15.6">
      <c r="A1" s="258" t="s">
        <v>1833</v>
      </c>
      <c r="B1" s="259"/>
      <c r="C1" s="259"/>
      <c r="D1" s="259"/>
      <c r="E1" s="259"/>
      <c r="F1" s="259"/>
      <c r="G1" s="259"/>
      <c r="H1" s="259"/>
      <c r="I1" s="260"/>
    </row>
    <row r="2" spans="1:17" ht="15.6">
      <c r="A2" s="261" t="s">
        <v>2094</v>
      </c>
      <c r="B2" s="262"/>
      <c r="C2" s="262"/>
      <c r="D2" s="262"/>
      <c r="E2" s="262"/>
      <c r="F2" s="262"/>
      <c r="G2" s="262"/>
      <c r="H2" s="262"/>
      <c r="I2" s="263"/>
    </row>
    <row r="3" spans="1:17" ht="15.6">
      <c r="A3" s="261" t="s">
        <v>2129</v>
      </c>
      <c r="B3" s="262"/>
      <c r="C3" s="262"/>
      <c r="D3" s="262"/>
      <c r="E3" s="262"/>
      <c r="F3" s="262"/>
      <c r="G3" s="262"/>
      <c r="H3" s="262"/>
      <c r="I3" s="263"/>
    </row>
    <row r="4" spans="1:17" ht="15.6">
      <c r="A4" s="261" t="s">
        <v>2130</v>
      </c>
      <c r="B4" s="262"/>
      <c r="C4" s="262"/>
      <c r="D4" s="262"/>
      <c r="E4" s="262"/>
      <c r="F4" s="262"/>
      <c r="G4" s="262"/>
      <c r="H4" s="262"/>
      <c r="I4" s="263"/>
    </row>
    <row r="5" spans="1:17" ht="15.95" thickBot="1">
      <c r="A5" s="264"/>
      <c r="B5" s="265"/>
      <c r="C5" s="265"/>
      <c r="D5" s="265"/>
      <c r="E5" s="265"/>
      <c r="F5" s="265"/>
      <c r="G5" s="265"/>
      <c r="H5" s="265"/>
      <c r="I5" s="266"/>
    </row>
    <row r="10" spans="1:17" ht="12.95" thickBot="1"/>
    <row r="11" spans="1:17" ht="24.95" customHeight="1" thickBot="1">
      <c r="A11" s="11" t="s">
        <v>2131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P11" s="119" t="s">
        <v>2132</v>
      </c>
      <c r="Q11" s="26">
        <v>-15.54</v>
      </c>
    </row>
    <row r="12" spans="1:17">
      <c r="A12" s="4" t="s">
        <v>539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7" ht="24.95" customHeight="1">
      <c r="A13" s="1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7">
      <c r="A14" s="4"/>
      <c r="B14" s="6">
        <v>2025</v>
      </c>
      <c r="C14" s="6">
        <v>2026</v>
      </c>
      <c r="D14" s="6">
        <v>2027</v>
      </c>
      <c r="E14" s="6">
        <v>2028</v>
      </c>
      <c r="F14" s="6">
        <v>2029</v>
      </c>
      <c r="G14" s="6">
        <v>2030</v>
      </c>
      <c r="H14" s="6">
        <v>2031</v>
      </c>
      <c r="I14" s="6">
        <v>2032</v>
      </c>
      <c r="J14" s="6">
        <v>2033</v>
      </c>
      <c r="K14" s="6">
        <v>2034</v>
      </c>
      <c r="L14" s="6">
        <v>2035</v>
      </c>
      <c r="M14" s="6" t="s">
        <v>541</v>
      </c>
    </row>
    <row r="15" spans="1:17" ht="12.95">
      <c r="A15" s="11" t="s">
        <v>2133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17" ht="14.1">
      <c r="A16" s="7" t="s">
        <v>2134</v>
      </c>
      <c r="B16" s="15">
        <v>4170</v>
      </c>
      <c r="C16" s="15">
        <v>4283</v>
      </c>
      <c r="D16" s="15">
        <v>4468</v>
      </c>
      <c r="E16" s="15">
        <v>4634</v>
      </c>
      <c r="F16" s="15">
        <v>4786</v>
      </c>
      <c r="G16" s="15">
        <v>4945</v>
      </c>
      <c r="H16" s="15">
        <v>5137</v>
      </c>
      <c r="I16" s="15">
        <v>5338</v>
      </c>
      <c r="J16" s="15">
        <v>5544</v>
      </c>
      <c r="K16" s="15">
        <v>5753</v>
      </c>
      <c r="L16" s="15">
        <v>5961</v>
      </c>
      <c r="M16" s="5"/>
    </row>
    <row r="17" spans="1:40" ht="14.1">
      <c r="A17" s="7" t="s">
        <v>2135</v>
      </c>
      <c r="B17" s="23">
        <v>80</v>
      </c>
      <c r="C17" s="23">
        <v>84</v>
      </c>
      <c r="D17" s="23">
        <v>87</v>
      </c>
      <c r="E17" s="23">
        <v>89</v>
      </c>
      <c r="F17" s="23">
        <v>91</v>
      </c>
      <c r="G17" s="23">
        <v>92</v>
      </c>
      <c r="H17" s="23">
        <v>95</v>
      </c>
      <c r="I17" s="23">
        <v>97</v>
      </c>
      <c r="J17" s="23">
        <v>100</v>
      </c>
      <c r="K17" s="23">
        <v>102</v>
      </c>
      <c r="L17" s="23">
        <v>105</v>
      </c>
      <c r="M17" s="8">
        <f>SUM(B17:K17)</f>
        <v>917</v>
      </c>
    </row>
    <row r="18" spans="1:40">
      <c r="A18" s="7" t="s">
        <v>2136</v>
      </c>
      <c r="B18" s="9">
        <f>B17/B16</f>
        <v>1.9184652278177457E-2</v>
      </c>
      <c r="C18" s="9">
        <f t="shared" ref="C18:L18" si="0">C17/C16</f>
        <v>1.9612421200093391E-2</v>
      </c>
      <c r="D18" s="9">
        <f t="shared" si="0"/>
        <v>1.9471799462846912E-2</v>
      </c>
      <c r="E18" s="9">
        <f t="shared" si="0"/>
        <v>1.9205869659041863E-2</v>
      </c>
      <c r="F18" s="9">
        <f t="shared" si="0"/>
        <v>1.9013790221479313E-2</v>
      </c>
      <c r="G18" s="9">
        <f t="shared" si="0"/>
        <v>1.8604651162790697E-2</v>
      </c>
      <c r="H18" s="9">
        <f t="shared" si="0"/>
        <v>1.8493284017909284E-2</v>
      </c>
      <c r="I18" s="9">
        <f t="shared" si="0"/>
        <v>1.8171599850131136E-2</v>
      </c>
      <c r="J18" s="9">
        <f t="shared" si="0"/>
        <v>1.8037518037518036E-2</v>
      </c>
      <c r="K18" s="9">
        <f t="shared" si="0"/>
        <v>1.7729880062576048E-2</v>
      </c>
      <c r="L18" s="9">
        <f t="shared" si="0"/>
        <v>1.7614494212380472E-2</v>
      </c>
      <c r="M18" s="5"/>
    </row>
    <row r="19" spans="1:40">
      <c r="A19" s="7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40" ht="12.95">
      <c r="A20" s="13" t="s">
        <v>2137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40">
      <c r="A21" s="7" t="s">
        <v>2138</v>
      </c>
      <c r="B21" s="10">
        <f>B16*(1-B42)+(B42)*B16*(1+$Q$11/100)</f>
        <v>3956.1540599999998</v>
      </c>
      <c r="C21" s="10">
        <f>C16*(1-C42)+(C42)*C16*(1+$Q$11/100)</f>
        <v>3843.7183880000002</v>
      </c>
      <c r="D21" s="10">
        <f t="shared" ref="D21:L21" si="1">D16*(1-D42)+(D42)*D16*(1+$Q$11/100)</f>
        <v>3773.6728000000003</v>
      </c>
      <c r="E21" s="10">
        <f>E16*(1-E42)+(E42)*E16*(1+$Q$11/100)</f>
        <v>3913.8764000000001</v>
      </c>
      <c r="F21" s="10">
        <f t="shared" si="1"/>
        <v>4042.2556</v>
      </c>
      <c r="G21" s="10">
        <f t="shared" si="1"/>
        <v>4176.5470000000005</v>
      </c>
      <c r="H21" s="10">
        <f t="shared" si="1"/>
        <v>4338.7102000000004</v>
      </c>
      <c r="I21" s="10">
        <f t="shared" si="1"/>
        <v>4508.4748</v>
      </c>
      <c r="J21" s="10">
        <f t="shared" si="1"/>
        <v>4682.4624000000003</v>
      </c>
      <c r="K21" s="10">
        <f t="shared" si="1"/>
        <v>4858.9838</v>
      </c>
      <c r="L21" s="10">
        <f t="shared" si="1"/>
        <v>5034.6606000000002</v>
      </c>
      <c r="M21" s="5"/>
      <c r="O21" s="123"/>
    </row>
    <row r="22" spans="1:40">
      <c r="A22" s="7" t="s">
        <v>2139</v>
      </c>
      <c r="B22" s="8">
        <f>B23*B21</f>
        <v>462.05148758872184</v>
      </c>
      <c r="C22" s="8">
        <f>C23*C21</f>
        <v>450.5640004364671</v>
      </c>
      <c r="D22" s="8">
        <f t="shared" ref="D22:L22" si="2">D23*D21</f>
        <v>441.82253548414076</v>
      </c>
      <c r="E22" s="8">
        <f t="shared" si="2"/>
        <v>457.19679092065985</v>
      </c>
      <c r="F22" s="8">
        <f t="shared" si="2"/>
        <v>471.41688505530379</v>
      </c>
      <c r="G22" s="8">
        <f t="shared" si="2"/>
        <v>485.36945984088544</v>
      </c>
      <c r="H22" s="8">
        <f t="shared" si="2"/>
        <v>503.73175769517258</v>
      </c>
      <c r="I22" s="8">
        <f t="shared" si="2"/>
        <v>521.99141638637946</v>
      </c>
      <c r="J22" s="8">
        <f t="shared" si="2"/>
        <v>541.5078755425418</v>
      </c>
      <c r="K22" s="8">
        <f t="shared" si="2"/>
        <v>560.42705497767724</v>
      </c>
      <c r="L22" s="8">
        <f t="shared" si="2"/>
        <v>580.10839431982163</v>
      </c>
      <c r="M22" s="10">
        <f>SUM(B22:K22)</f>
        <v>4896.0792639279507</v>
      </c>
    </row>
    <row r="23" spans="1:40">
      <c r="A23" s="415" t="s">
        <v>2140</v>
      </c>
      <c r="B23" s="414">
        <f>B18+mtax!$B$29-mtax!$B$18</f>
        <v>0.11679309768556431</v>
      </c>
      <c r="C23" s="414">
        <f>C18+mtax!$B$29-mtax!$B$18</f>
        <v>0.11722086660748027</v>
      </c>
      <c r="D23" s="414">
        <f>D18+mtax!$B$29-mtax!$B$18</f>
        <v>0.11708024487023377</v>
      </c>
      <c r="E23" s="414">
        <f>E18+mtax!$B$29-mtax!$B$18</f>
        <v>0.11681431506642873</v>
      </c>
      <c r="F23" s="414">
        <f>F18+mtax!$B$29-mtax!$B$18</f>
        <v>0.11662223562886617</v>
      </c>
      <c r="G23" s="414">
        <f>G18+mtax!$B$29-mtax!$B$18</f>
        <v>0.11621309657017756</v>
      </c>
      <c r="H23" s="414">
        <f>H18+mtax!$B$29-mtax!$B$18</f>
        <v>0.11610172942529615</v>
      </c>
      <c r="I23" s="414">
        <f>I18+mtax!$B$29-mtax!$B$18</f>
        <v>0.11578004525751801</v>
      </c>
      <c r="J23" s="414">
        <f>J18+mtax!$B$29-mtax!$B$18</f>
        <v>0.11564596344490491</v>
      </c>
      <c r="K23" s="414">
        <f>K18+mtax!$B$29-mtax!$B$18</f>
        <v>0.11533832546996292</v>
      </c>
      <c r="L23" s="414">
        <f>L18+mtax!$B$29-mtax!$B$18</f>
        <v>0.11522293961976734</v>
      </c>
      <c r="M23" s="5"/>
    </row>
    <row r="24" spans="1:40">
      <c r="A24" s="4"/>
      <c r="B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40" ht="12.95">
      <c r="A25" s="4" t="s">
        <v>2141</v>
      </c>
      <c r="B25" s="8">
        <f>88+23</f>
        <v>111</v>
      </c>
      <c r="C25" s="125">
        <f>C22-C17</f>
        <v>366.5640004364671</v>
      </c>
      <c r="D25" s="8">
        <f t="shared" ref="D25:L25" si="3">D22-D17</f>
        <v>354.82253548414076</v>
      </c>
      <c r="E25" s="8">
        <f t="shared" si="3"/>
        <v>368.19679092065985</v>
      </c>
      <c r="F25" s="8">
        <f t="shared" si="3"/>
        <v>380.41688505530379</v>
      </c>
      <c r="G25" s="8">
        <f t="shared" si="3"/>
        <v>393.36945984088544</v>
      </c>
      <c r="H25" s="8">
        <f t="shared" si="3"/>
        <v>408.73175769517258</v>
      </c>
      <c r="I25" s="8">
        <f t="shared" si="3"/>
        <v>424.99141638637946</v>
      </c>
      <c r="J25" s="8">
        <f t="shared" si="3"/>
        <v>441.5078755425418</v>
      </c>
      <c r="K25" s="8">
        <f t="shared" si="3"/>
        <v>458.42705497767724</v>
      </c>
      <c r="L25" s="8">
        <f t="shared" si="3"/>
        <v>475.10839431982163</v>
      </c>
      <c r="M25" s="10">
        <f>SUM(C25:L25)</f>
        <v>4072.1361706590505</v>
      </c>
      <c r="AA25" s="217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216"/>
    </row>
    <row r="26" spans="1:40" ht="12.95">
      <c r="A26" s="4" t="s">
        <v>2142</v>
      </c>
      <c r="B26" s="8">
        <v>0</v>
      </c>
      <c r="C26" s="8">
        <f>C25*-0.1</f>
        <v>-36.656400043646713</v>
      </c>
      <c r="D26" s="8">
        <f t="shared" ref="D26:L26" si="4">D25*-0.1</f>
        <v>-35.482253548414079</v>
      </c>
      <c r="E26" s="8">
        <f t="shared" si="4"/>
        <v>-36.819679092065989</v>
      </c>
      <c r="F26" s="8">
        <f t="shared" si="4"/>
        <v>-38.041688505530381</v>
      </c>
      <c r="G26" s="8">
        <f t="shared" si="4"/>
        <v>-39.336945984088544</v>
      </c>
      <c r="H26" s="8">
        <f t="shared" si="4"/>
        <v>-40.87317576951726</v>
      </c>
      <c r="I26" s="8">
        <f t="shared" si="4"/>
        <v>-42.499141638637951</v>
      </c>
      <c r="J26" s="8">
        <f t="shared" si="4"/>
        <v>-44.15078755425418</v>
      </c>
      <c r="K26" s="8">
        <f t="shared" si="4"/>
        <v>-45.842705497767724</v>
      </c>
      <c r="L26" s="8">
        <f t="shared" si="4"/>
        <v>-47.510839431982163</v>
      </c>
      <c r="M26" s="10">
        <f>SUM(C26:L26)</f>
        <v>-407.21361706590494</v>
      </c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215"/>
      <c r="AN26" s="116"/>
    </row>
    <row r="27" spans="1:40" ht="12.95">
      <c r="A27" s="4" t="s">
        <v>2143</v>
      </c>
      <c r="B27" s="8">
        <v>0</v>
      </c>
      <c r="C27" s="8">
        <f>-0.23*(C22-C17)</f>
        <v>-84.309720100387437</v>
      </c>
      <c r="D27" s="8">
        <f t="shared" ref="D27:L27" si="5">-0.23*(D22-D17)</f>
        <v>-81.609183161352377</v>
      </c>
      <c r="E27" s="8">
        <f t="shared" si="5"/>
        <v>-84.685261911751766</v>
      </c>
      <c r="F27" s="8">
        <f t="shared" si="5"/>
        <v>-87.495883562719882</v>
      </c>
      <c r="G27" s="8">
        <f t="shared" si="5"/>
        <v>-90.474975763403648</v>
      </c>
      <c r="H27" s="8">
        <f t="shared" si="5"/>
        <v>-94.008304269889692</v>
      </c>
      <c r="I27" s="8">
        <f t="shared" si="5"/>
        <v>-97.748025768867279</v>
      </c>
      <c r="J27" s="8">
        <f t="shared" si="5"/>
        <v>-101.54681137478462</v>
      </c>
      <c r="K27" s="8">
        <f t="shared" si="5"/>
        <v>-105.43822264486577</v>
      </c>
      <c r="L27" s="8">
        <f t="shared" si="5"/>
        <v>-109.27493069355899</v>
      </c>
      <c r="M27" s="10">
        <f>SUM(C27:L27)</f>
        <v>-936.59131925158135</v>
      </c>
      <c r="N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215"/>
      <c r="AN27" s="116"/>
    </row>
    <row r="28" spans="1:40" ht="12.95">
      <c r="A28" s="11" t="s">
        <v>2144</v>
      </c>
      <c r="B28" s="62">
        <f>B25+B27+B26</f>
        <v>111</v>
      </c>
      <c r="C28" s="62">
        <f>C25+C27+C26</f>
        <v>245.59788029243293</v>
      </c>
      <c r="D28" s="62">
        <f t="shared" ref="C28:L28" si="6">D25+D27+D26</f>
        <v>237.73109877437435</v>
      </c>
      <c r="E28" s="62">
        <f t="shared" si="6"/>
        <v>246.6918499168421</v>
      </c>
      <c r="F28" s="62">
        <f t="shared" si="6"/>
        <v>254.87931298705354</v>
      </c>
      <c r="G28" s="62">
        <f t="shared" si="6"/>
        <v>263.5575380933933</v>
      </c>
      <c r="H28" s="62">
        <f t="shared" si="6"/>
        <v>273.85027765576558</v>
      </c>
      <c r="I28" s="62">
        <f t="shared" si="6"/>
        <v>284.74424897887423</v>
      </c>
      <c r="J28" s="62">
        <f t="shared" si="6"/>
        <v>295.81027661350299</v>
      </c>
      <c r="K28" s="62">
        <f t="shared" si="6"/>
        <v>307.14612683504373</v>
      </c>
      <c r="L28" s="62">
        <f t="shared" si="6"/>
        <v>318.32262419428048</v>
      </c>
      <c r="M28" s="62">
        <f>M25+M27+M26</f>
        <v>2728.3312343415641</v>
      </c>
      <c r="N28" s="116"/>
      <c r="O28" s="116"/>
    </row>
    <row r="29" spans="1:40" ht="12.95">
      <c r="A29" s="4" t="s">
        <v>2145</v>
      </c>
      <c r="B29" s="9">
        <f>B28/B64</f>
        <v>3.6833023626227767E-3</v>
      </c>
      <c r="C29" s="9">
        <f t="shared" ref="C29:L29" si="7">C28/C64</f>
        <v>7.8363128264073555E-3</v>
      </c>
      <c r="D29" s="9">
        <f t="shared" si="7"/>
        <v>7.3062603348200365E-3</v>
      </c>
      <c r="E29" s="9">
        <f t="shared" si="7"/>
        <v>7.3061409719189134E-3</v>
      </c>
      <c r="F29" s="9">
        <f t="shared" si="7"/>
        <v>7.2725001565627171E-3</v>
      </c>
      <c r="G29" s="9">
        <f t="shared" si="7"/>
        <v>7.2417854067536765E-3</v>
      </c>
      <c r="H29" s="9">
        <f t="shared" si="7"/>
        <v>7.2462499379700885E-3</v>
      </c>
      <c r="I29" s="9">
        <f t="shared" si="7"/>
        <v>7.2542609033647773E-3</v>
      </c>
      <c r="J29" s="9">
        <f t="shared" si="7"/>
        <v>7.2559428133217967E-3</v>
      </c>
      <c r="K29" s="9">
        <f t="shared" si="7"/>
        <v>7.2559916568637785E-3</v>
      </c>
      <c r="L29" s="9">
        <f t="shared" si="7"/>
        <v>7.2451434858494283E-3</v>
      </c>
      <c r="M29" s="249">
        <f>M28/SUM(C64:L64)</f>
        <v>7.3113659026794297E-3</v>
      </c>
      <c r="AN29" s="116"/>
    </row>
    <row r="30" spans="1:40" ht="12.95">
      <c r="A30" s="4"/>
      <c r="B30" s="19">
        <f t="shared" ref="B30:L30" si="8">B16*0.8</f>
        <v>3336</v>
      </c>
      <c r="C30" s="19">
        <f t="shared" si="8"/>
        <v>3426.4</v>
      </c>
      <c r="D30" s="19">
        <f t="shared" si="8"/>
        <v>3574.4</v>
      </c>
      <c r="E30" s="19">
        <f t="shared" si="8"/>
        <v>3707.2000000000003</v>
      </c>
      <c r="F30" s="19">
        <f t="shared" si="8"/>
        <v>3828.8</v>
      </c>
      <c r="G30" s="19">
        <f t="shared" si="8"/>
        <v>3956</v>
      </c>
      <c r="H30" s="19">
        <f t="shared" si="8"/>
        <v>4109.6000000000004</v>
      </c>
      <c r="I30" s="19">
        <f t="shared" si="8"/>
        <v>4270.4000000000005</v>
      </c>
      <c r="J30" s="19">
        <f t="shared" si="8"/>
        <v>4435.2</v>
      </c>
      <c r="K30" s="19">
        <f t="shared" si="8"/>
        <v>4602.4000000000005</v>
      </c>
      <c r="L30" s="19">
        <f t="shared" si="8"/>
        <v>4768.8</v>
      </c>
      <c r="M30" s="20"/>
      <c r="N30" s="19">
        <f>C16*0.8</f>
        <v>3426.4</v>
      </c>
      <c r="O30">
        <f>L16*0.8</f>
        <v>4768.8</v>
      </c>
    </row>
    <row r="31" spans="1:40" ht="12.95">
      <c r="A31" s="4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20"/>
      <c r="N31">
        <v>300</v>
      </c>
      <c r="O31">
        <v>200</v>
      </c>
    </row>
    <row r="32" spans="1:40" ht="12.95">
      <c r="A32" s="4"/>
      <c r="B32" s="416">
        <v>9.4622618684383875E-2</v>
      </c>
      <c r="C32" s="416">
        <v>9.4622618684383861E-2</v>
      </c>
      <c r="D32" s="416">
        <v>9.4622618684383847E-2</v>
      </c>
      <c r="E32" s="416">
        <v>9.4622618684383875E-2</v>
      </c>
      <c r="F32" s="416">
        <v>9.4622618684383875E-2</v>
      </c>
      <c r="G32" s="416">
        <v>9.4622618684383875E-2</v>
      </c>
      <c r="H32" s="416">
        <v>9.4622618684383875E-2</v>
      </c>
      <c r="I32" s="416">
        <v>9.4622618684383847E-2</v>
      </c>
      <c r="J32" s="416">
        <v>9.4622618684383861E-2</v>
      </c>
      <c r="K32" s="416">
        <v>9.4622618684383861E-2</v>
      </c>
      <c r="L32" s="416">
        <v>9.4622618684383861E-2</v>
      </c>
      <c r="M32" s="20"/>
      <c r="N32">
        <f>N31/N30</f>
        <v>8.7555451786131208E-2</v>
      </c>
      <c r="O32">
        <f>O31/O30</f>
        <v>4.1939271934239221E-2</v>
      </c>
    </row>
    <row r="33" spans="1:38" ht="12.95">
      <c r="A33" s="4"/>
      <c r="B33" s="9">
        <f>(B23-B18)</f>
        <v>9.7608445407386862E-2</v>
      </c>
      <c r="C33" s="9">
        <f t="shared" ref="C33:L33" si="9">(C23-C18)</f>
        <v>9.7608445407386876E-2</v>
      </c>
      <c r="D33" s="9">
        <f t="shared" si="9"/>
        <v>9.7608445407386862E-2</v>
      </c>
      <c r="E33" s="9">
        <f t="shared" si="9"/>
        <v>9.7608445407386862E-2</v>
      </c>
      <c r="F33" s="9">
        <f t="shared" si="9"/>
        <v>9.7608445407386862E-2</v>
      </c>
      <c r="G33" s="9">
        <f t="shared" si="9"/>
        <v>9.7608445407386862E-2</v>
      </c>
      <c r="H33" s="9">
        <f t="shared" si="9"/>
        <v>9.7608445407386862E-2</v>
      </c>
      <c r="I33" s="9">
        <f t="shared" si="9"/>
        <v>9.7608445407386862E-2</v>
      </c>
      <c r="J33" s="9">
        <f t="shared" si="9"/>
        <v>9.7608445407386876E-2</v>
      </c>
      <c r="K33" s="9">
        <f t="shared" si="9"/>
        <v>9.7608445407386876E-2</v>
      </c>
      <c r="L33" s="9">
        <f t="shared" si="9"/>
        <v>9.7608445407386876E-2</v>
      </c>
      <c r="M33" s="20"/>
    </row>
    <row r="34" spans="1:38" ht="12.95">
      <c r="A34" s="4"/>
      <c r="B34" s="5"/>
      <c r="C34" s="416"/>
      <c r="D34" s="5"/>
      <c r="E34" s="5"/>
      <c r="F34" s="5"/>
      <c r="G34" s="5"/>
      <c r="H34" s="5"/>
      <c r="I34" s="5"/>
      <c r="J34" s="5"/>
      <c r="K34" s="19"/>
      <c r="L34" s="19"/>
      <c r="M34" s="20"/>
    </row>
    <row r="35" spans="1:38">
      <c r="A35" s="4" t="s">
        <v>2146</v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8"/>
      <c r="M35" s="5"/>
    </row>
    <row r="36" spans="1:38">
      <c r="A36" s="4" t="s">
        <v>2147</v>
      </c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38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</row>
    <row r="38" spans="1:38">
      <c r="A38" s="4" t="s">
        <v>2148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38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1" spans="1:38">
      <c r="A41" t="s">
        <v>2149</v>
      </c>
      <c r="B41" s="1">
        <f>(B25+B26)/7</f>
        <v>15.857142857142858</v>
      </c>
      <c r="C41" s="1">
        <f>(C25+C26)/12</f>
        <v>27.492300032735031</v>
      </c>
    </row>
    <row r="42" spans="1:38">
      <c r="A42" t="s">
        <v>2150</v>
      </c>
      <c r="B42" s="18">
        <v>0.33</v>
      </c>
      <c r="C42" s="18">
        <v>0.66</v>
      </c>
      <c r="D42" s="18">
        <v>1</v>
      </c>
      <c r="E42" s="18">
        <v>1</v>
      </c>
      <c r="F42" s="18">
        <v>1</v>
      </c>
      <c r="G42" s="18">
        <v>1</v>
      </c>
      <c r="H42" s="18">
        <v>1</v>
      </c>
      <c r="I42" s="18">
        <v>1</v>
      </c>
      <c r="J42" s="18">
        <v>1</v>
      </c>
      <c r="K42" s="18">
        <v>1</v>
      </c>
      <c r="L42" s="18">
        <v>1</v>
      </c>
    </row>
    <row r="44" spans="1:38" ht="14.1">
      <c r="A44" t="s">
        <v>2151</v>
      </c>
      <c r="B44" s="15">
        <v>273</v>
      </c>
      <c r="C44" s="15">
        <v>277</v>
      </c>
      <c r="D44" s="15">
        <v>279</v>
      </c>
      <c r="E44" s="15">
        <v>281</v>
      </c>
      <c r="F44" s="15">
        <v>283</v>
      </c>
      <c r="G44" s="15">
        <v>285</v>
      </c>
      <c r="H44" s="15">
        <v>286</v>
      </c>
      <c r="I44" s="15">
        <v>288</v>
      </c>
      <c r="J44" s="15">
        <v>289</v>
      </c>
      <c r="K44" s="15">
        <v>291</v>
      </c>
      <c r="L44" s="15"/>
    </row>
    <row r="45" spans="1:38">
      <c r="A45" t="s">
        <v>2152</v>
      </c>
      <c r="B45" s="16">
        <f>(B25+B26-(B27/0.272))*(12/7)*1000/(B44)</f>
        <v>697.01726844583993</v>
      </c>
      <c r="C45" s="16">
        <f>(C25+C26-(C27/0.272))*1000/(C44)</f>
        <v>2309.9993019647827</v>
      </c>
      <c r="D45" s="16">
        <f t="shared" ref="D45:K45" si="10">(D25+D26-(D27/0.272))*1000/(D44)</f>
        <v>2219.9786507467584</v>
      </c>
      <c r="E45" s="16">
        <f t="shared" si="10"/>
        <v>2287.2597384489391</v>
      </c>
      <c r="F45" s="16">
        <f t="shared" si="10"/>
        <v>2346.4708093984914</v>
      </c>
      <c r="G45" s="16">
        <f t="shared" si="10"/>
        <v>2409.3371972710574</v>
      </c>
      <c r="H45" s="16">
        <f t="shared" si="10"/>
        <v>2494.6760406425847</v>
      </c>
      <c r="I45" s="16">
        <f t="shared" si="10"/>
        <v>2575.9028352258597</v>
      </c>
      <c r="J45" s="16">
        <f t="shared" si="10"/>
        <v>2666.7507035874064</v>
      </c>
      <c r="K45" s="16">
        <f t="shared" si="10"/>
        <v>2749.9136560466086</v>
      </c>
      <c r="L45" s="16"/>
    </row>
    <row r="48" spans="1:38" ht="14.1"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</row>
    <row r="49" spans="1:12" ht="14.1">
      <c r="B49" s="225">
        <f t="shared" ref="B49:K49" si="11">B21/B16-1</f>
        <v>-5.128200000000005E-2</v>
      </c>
      <c r="C49" s="225">
        <f t="shared" si="11"/>
        <v>-0.10256399999999999</v>
      </c>
      <c r="D49" s="225">
        <f t="shared" si="11"/>
        <v>-0.15539999999999998</v>
      </c>
      <c r="E49" s="225">
        <f t="shared" si="11"/>
        <v>-0.15539999999999998</v>
      </c>
      <c r="F49" s="225">
        <f t="shared" si="11"/>
        <v>-0.15539999999999998</v>
      </c>
      <c r="G49" s="225">
        <f t="shared" si="11"/>
        <v>-0.15539999999999987</v>
      </c>
      <c r="H49" s="225">
        <f t="shared" si="11"/>
        <v>-0.15539999999999987</v>
      </c>
      <c r="I49" s="225">
        <f t="shared" si="11"/>
        <v>-0.15539999999999998</v>
      </c>
      <c r="J49" s="225">
        <f t="shared" si="11"/>
        <v>-0.15539999999999998</v>
      </c>
      <c r="K49" s="225">
        <f t="shared" si="11"/>
        <v>-0.15539999999999998</v>
      </c>
      <c r="L49" s="17"/>
    </row>
    <row r="50" spans="1:12">
      <c r="B50" s="122"/>
      <c r="C50" s="3"/>
      <c r="D50" s="3"/>
      <c r="E50" s="3"/>
      <c r="F50" s="3"/>
      <c r="G50" s="3"/>
      <c r="H50" s="3"/>
      <c r="I50" s="3"/>
      <c r="J50" s="3"/>
      <c r="K50" s="3"/>
      <c r="L50" s="3"/>
    </row>
    <row r="51" spans="1:12">
      <c r="B51" s="1">
        <f>SUM(B25:B26)/7</f>
        <v>15.857142857142858</v>
      </c>
      <c r="C51" s="1">
        <f>SUM(C25:C26)/12</f>
        <v>27.492300032735031</v>
      </c>
      <c r="D51" s="1">
        <f t="shared" ref="D51:J51" si="12">SUM(D25:D26)/12</f>
        <v>26.611690161310559</v>
      </c>
      <c r="E51" s="1">
        <f t="shared" si="12"/>
        <v>27.614759319049487</v>
      </c>
      <c r="F51" s="1">
        <f t="shared" si="12"/>
        <v>28.531266379147784</v>
      </c>
      <c r="G51" s="1">
        <f t="shared" si="12"/>
        <v>29.502709488066404</v>
      </c>
      <c r="H51" s="1">
        <f t="shared" si="12"/>
        <v>30.654881827137942</v>
      </c>
      <c r="I51" s="1">
        <f t="shared" si="12"/>
        <v>31.874356228978456</v>
      </c>
      <c r="J51" s="1">
        <f t="shared" si="12"/>
        <v>33.113090665690635</v>
      </c>
    </row>
    <row r="54" spans="1:12">
      <c r="B54" s="1">
        <f>EXP(-1*(B23-B18))</f>
        <v>0.90700397580658343</v>
      </c>
    </row>
    <row r="59" spans="1:12" ht="14.1">
      <c r="B59" s="24">
        <v>30136</v>
      </c>
      <c r="C59" s="24">
        <v>31341</v>
      </c>
      <c r="D59" s="24">
        <v>32538</v>
      </c>
      <c r="E59" s="24">
        <v>33765</v>
      </c>
      <c r="F59" s="24">
        <v>35047</v>
      </c>
      <c r="G59" s="24">
        <v>36394</v>
      </c>
      <c r="H59" s="24">
        <v>37792</v>
      </c>
      <c r="I59" s="24">
        <v>39252</v>
      </c>
      <c r="J59" s="24">
        <v>40768</v>
      </c>
      <c r="K59" s="24">
        <v>42330</v>
      </c>
      <c r="L59" s="24">
        <v>43936</v>
      </c>
    </row>
    <row r="60" spans="1:12">
      <c r="A60" t="s">
        <v>2153</v>
      </c>
      <c r="B60" s="18">
        <f t="shared" ref="B60:L60" si="13">B16/B59</f>
        <v>0.13837271037961243</v>
      </c>
      <c r="C60" s="18">
        <f t="shared" si="13"/>
        <v>0.1366580517532944</v>
      </c>
      <c r="D60" s="18">
        <f t="shared" si="13"/>
        <v>0.13731636855369106</v>
      </c>
      <c r="E60" s="18">
        <f t="shared" si="13"/>
        <v>0.13724270694506147</v>
      </c>
      <c r="F60" s="18">
        <f t="shared" si="13"/>
        <v>0.13655947727337575</v>
      </c>
      <c r="G60" s="18">
        <f t="shared" si="13"/>
        <v>0.13587404517228113</v>
      </c>
      <c r="H60" s="18">
        <f t="shared" si="13"/>
        <v>0.13592823878069432</v>
      </c>
      <c r="I60" s="18">
        <f t="shared" si="13"/>
        <v>0.13599307041679404</v>
      </c>
      <c r="J60" s="18">
        <f t="shared" si="13"/>
        <v>0.13598901098901098</v>
      </c>
      <c r="K60" s="18">
        <f t="shared" si="13"/>
        <v>0.13590833923931017</v>
      </c>
      <c r="L60" s="18">
        <f t="shared" si="13"/>
        <v>0.13567461762563729</v>
      </c>
    </row>
    <row r="61" spans="1:12">
      <c r="B61" s="18">
        <f>B21/B59</f>
        <v>0.13127668104592513</v>
      </c>
      <c r="C61" s="18">
        <f t="shared" ref="C61:L61" si="14">C21/C59</f>
        <v>0.12264185533326953</v>
      </c>
      <c r="D61" s="18">
        <f t="shared" si="14"/>
        <v>0.11597740488044748</v>
      </c>
      <c r="E61" s="18">
        <f t="shared" si="14"/>
        <v>0.11591519028579891</v>
      </c>
      <c r="F61" s="18">
        <f t="shared" si="14"/>
        <v>0.11533813450509316</v>
      </c>
      <c r="G61" s="18">
        <f t="shared" si="14"/>
        <v>0.11475921855250867</v>
      </c>
      <c r="H61" s="18">
        <f t="shared" si="14"/>
        <v>0.11480499047417445</v>
      </c>
      <c r="I61" s="18">
        <f t="shared" si="14"/>
        <v>0.11485974727402425</v>
      </c>
      <c r="J61" s="18">
        <f t="shared" si="14"/>
        <v>0.11485631868131869</v>
      </c>
      <c r="K61" s="18">
        <f t="shared" si="14"/>
        <v>0.11478818332152138</v>
      </c>
      <c r="L61" s="18">
        <f t="shared" si="14"/>
        <v>0.11459078204661326</v>
      </c>
    </row>
    <row r="64" spans="1:12" ht="14.1">
      <c r="B64" s="24">
        <v>30136</v>
      </c>
      <c r="C64" s="24">
        <v>31341</v>
      </c>
      <c r="D64" s="24">
        <v>32538</v>
      </c>
      <c r="E64" s="24">
        <v>33765</v>
      </c>
      <c r="F64" s="24">
        <v>35047</v>
      </c>
      <c r="G64" s="24">
        <v>36394</v>
      </c>
      <c r="H64" s="24">
        <v>37792</v>
      </c>
      <c r="I64" s="24">
        <v>39252</v>
      </c>
      <c r="J64" s="24">
        <v>40768</v>
      </c>
      <c r="K64" s="24">
        <v>42330</v>
      </c>
      <c r="L64" s="24">
        <v>43936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84F05-7D01-40FD-BC3C-F01E4DE7DFB2}">
  <sheetPr codeName="Sheet20"/>
  <dimension ref="A1:I37"/>
  <sheetViews>
    <sheetView workbookViewId="0">
      <selection activeCell="C30" sqref="C30"/>
    </sheetView>
  </sheetViews>
  <sheetFormatPr defaultRowHeight="12.6"/>
  <cols>
    <col min="2" max="2" width="11.28515625" bestFit="1" customWidth="1"/>
  </cols>
  <sheetData>
    <row r="1" spans="1:9" ht="15.6">
      <c r="A1" s="258" t="s">
        <v>1833</v>
      </c>
      <c r="B1" s="259"/>
      <c r="C1" s="259"/>
      <c r="D1" s="259"/>
      <c r="E1" s="259"/>
      <c r="F1" s="259"/>
      <c r="G1" s="259"/>
      <c r="H1" s="259"/>
      <c r="I1" s="260"/>
    </row>
    <row r="2" spans="1:9" ht="15.6">
      <c r="A2" s="261" t="s">
        <v>2094</v>
      </c>
      <c r="B2" s="262"/>
      <c r="C2" s="262"/>
      <c r="D2" s="262"/>
      <c r="E2" s="262"/>
      <c r="F2" s="262"/>
      <c r="G2" s="262"/>
      <c r="H2" s="262"/>
      <c r="I2" s="263"/>
    </row>
    <row r="3" spans="1:9" ht="15.6">
      <c r="A3" s="261" t="s">
        <v>2095</v>
      </c>
      <c r="B3" s="262"/>
      <c r="C3" s="262"/>
      <c r="D3" s="262"/>
      <c r="E3" s="262"/>
      <c r="F3" s="262"/>
      <c r="G3" s="262"/>
      <c r="H3" s="262"/>
      <c r="I3" s="263"/>
    </row>
    <row r="4" spans="1:9" ht="15.6">
      <c r="A4" s="261" t="s">
        <v>2154</v>
      </c>
      <c r="B4" s="262"/>
      <c r="C4" s="262"/>
      <c r="D4" s="262"/>
      <c r="E4" s="262"/>
      <c r="F4" s="262"/>
      <c r="G4" s="262"/>
      <c r="H4" s="262"/>
      <c r="I4" s="263"/>
    </row>
    <row r="5" spans="1:9" ht="15.95" thickBot="1">
      <c r="A5" s="264" t="s">
        <v>2155</v>
      </c>
      <c r="B5" s="265"/>
      <c r="C5" s="265"/>
      <c r="D5" s="265"/>
      <c r="E5" s="265"/>
      <c r="F5" s="265"/>
      <c r="G5" s="265"/>
      <c r="H5" s="265"/>
      <c r="I5" s="266"/>
    </row>
    <row r="9" spans="1:9">
      <c r="A9" t="s">
        <v>2102</v>
      </c>
      <c r="B9" t="s">
        <v>1846</v>
      </c>
      <c r="C9" t="s">
        <v>1847</v>
      </c>
      <c r="D9" t="s">
        <v>1848</v>
      </c>
      <c r="E9" t="s">
        <v>1849</v>
      </c>
      <c r="F9" t="s">
        <v>1850</v>
      </c>
      <c r="G9" t="s">
        <v>1851</v>
      </c>
      <c r="H9" t="s">
        <v>52</v>
      </c>
    </row>
    <row r="10" spans="1:9">
      <c r="A10" t="s">
        <v>1846</v>
      </c>
      <c r="B10">
        <v>0</v>
      </c>
      <c r="C10">
        <v>8883.3439999999991</v>
      </c>
      <c r="D10">
        <v>28158.625</v>
      </c>
      <c r="E10">
        <v>819.93799999999999</v>
      </c>
      <c r="F10">
        <v>102.547</v>
      </c>
      <c r="G10">
        <v>1635.547</v>
      </c>
      <c r="H10">
        <v>39600</v>
      </c>
    </row>
    <row r="11" spans="1:9">
      <c r="A11" t="s">
        <v>1847</v>
      </c>
      <c r="B11">
        <v>13810.813</v>
      </c>
      <c r="C11">
        <v>80.531000000000006</v>
      </c>
      <c r="D11">
        <v>70044</v>
      </c>
      <c r="E11">
        <v>1461.18</v>
      </c>
      <c r="F11">
        <v>1829.5820000000001</v>
      </c>
      <c r="G11">
        <v>6286.6559999999999</v>
      </c>
      <c r="H11">
        <v>93512.762000000002</v>
      </c>
    </row>
    <row r="12" spans="1:9">
      <c r="A12" t="s">
        <v>1848</v>
      </c>
      <c r="B12">
        <v>20094.375</v>
      </c>
      <c r="C12">
        <v>49459.75</v>
      </c>
      <c r="D12">
        <v>139804</v>
      </c>
      <c r="E12">
        <v>1336.5550000000001</v>
      </c>
      <c r="F12">
        <v>1927.172</v>
      </c>
      <c r="G12">
        <v>15510.375</v>
      </c>
      <c r="H12">
        <v>228132.22700000001</v>
      </c>
    </row>
    <row r="13" spans="1:9">
      <c r="A13" t="s">
        <v>1849</v>
      </c>
      <c r="B13">
        <v>303.875</v>
      </c>
      <c r="C13">
        <v>955.75400000000002</v>
      </c>
      <c r="D13">
        <v>2967.8359999999998</v>
      </c>
      <c r="E13">
        <v>0</v>
      </c>
      <c r="F13">
        <v>4.5720000000000001</v>
      </c>
      <c r="G13">
        <v>296.25</v>
      </c>
      <c r="H13">
        <v>4528.2870000000003</v>
      </c>
    </row>
    <row r="14" spans="1:9">
      <c r="A14" t="s">
        <v>1850</v>
      </c>
      <c r="B14">
        <v>900.75</v>
      </c>
      <c r="C14">
        <v>571.51400000000001</v>
      </c>
      <c r="D14">
        <v>1483.68</v>
      </c>
      <c r="E14">
        <v>0.93200000000000005</v>
      </c>
      <c r="F14">
        <v>0</v>
      </c>
      <c r="G14">
        <v>358.58199999999999</v>
      </c>
      <c r="H14">
        <v>3315.4569999999999</v>
      </c>
    </row>
    <row r="15" spans="1:9">
      <c r="A15" t="s">
        <v>1851</v>
      </c>
      <c r="B15">
        <v>262.40600000000001</v>
      </c>
      <c r="C15">
        <v>8597.625</v>
      </c>
      <c r="D15">
        <v>16412.375</v>
      </c>
      <c r="E15">
        <v>78.710999999999999</v>
      </c>
      <c r="F15">
        <v>563.07799999999997</v>
      </c>
      <c r="G15">
        <v>1362.664</v>
      </c>
      <c r="H15">
        <v>27276.859</v>
      </c>
    </row>
    <row r="16" spans="1:9">
      <c r="A16" t="s">
        <v>52</v>
      </c>
      <c r="B16" s="221">
        <v>35372.218999999997</v>
      </c>
      <c r="C16">
        <v>68548.517999999996</v>
      </c>
      <c r="D16">
        <v>258870.516</v>
      </c>
      <c r="E16">
        <v>3697.3139999999999</v>
      </c>
      <c r="F16">
        <v>4426.951</v>
      </c>
      <c r="G16">
        <v>25450.074000000001</v>
      </c>
      <c r="H16">
        <v>396365.592</v>
      </c>
    </row>
    <row r="18" spans="1:8">
      <c r="B18" s="2">
        <f>-B16/'GTAP Imports'!F9</f>
        <v>1.2410854202312301E-2</v>
      </c>
    </row>
    <row r="20" spans="1:8">
      <c r="A20" t="s">
        <v>2102</v>
      </c>
      <c r="B20" t="s">
        <v>1846</v>
      </c>
      <c r="C20" t="s">
        <v>1847</v>
      </c>
      <c r="D20" t="s">
        <v>1848</v>
      </c>
      <c r="E20" t="s">
        <v>1849</v>
      </c>
      <c r="F20" t="s">
        <v>1850</v>
      </c>
      <c r="G20" t="s">
        <v>1851</v>
      </c>
      <c r="H20" t="s">
        <v>52</v>
      </c>
    </row>
    <row r="21" spans="1:8">
      <c r="A21" t="s">
        <v>1846</v>
      </c>
      <c r="B21">
        <v>0</v>
      </c>
      <c r="C21">
        <v>8550.3250000000007</v>
      </c>
      <c r="D21">
        <v>27618.179</v>
      </c>
      <c r="E21">
        <v>828.33600000000001</v>
      </c>
      <c r="F21">
        <v>100.629</v>
      </c>
      <c r="G21">
        <v>1624.1020000000001</v>
      </c>
      <c r="H21">
        <v>38721.57</v>
      </c>
    </row>
    <row r="22" spans="1:8">
      <c r="A22" t="s">
        <v>1847</v>
      </c>
      <c r="B22">
        <v>40384.879000000001</v>
      </c>
      <c r="C22">
        <v>85.021000000000001</v>
      </c>
      <c r="D22">
        <v>77016.25</v>
      </c>
      <c r="E22">
        <v>1641.904</v>
      </c>
      <c r="F22">
        <v>2093.2429999999999</v>
      </c>
      <c r="G22">
        <v>6852.3149999999996</v>
      </c>
      <c r="H22">
        <v>128073.613</v>
      </c>
    </row>
    <row r="23" spans="1:8">
      <c r="A23" t="s">
        <v>1848</v>
      </c>
      <c r="B23">
        <v>22572.967000000001</v>
      </c>
      <c r="C23">
        <v>47647.057999999997</v>
      </c>
      <c r="D23">
        <v>138932.47099999999</v>
      </c>
      <c r="E23">
        <v>1347.5630000000001</v>
      </c>
      <c r="F23">
        <v>1962.8</v>
      </c>
      <c r="G23">
        <v>15385.278</v>
      </c>
      <c r="H23">
        <v>227848.13800000001</v>
      </c>
    </row>
    <row r="24" spans="1:8">
      <c r="A24" t="s">
        <v>1849</v>
      </c>
      <c r="B24">
        <v>304.84699999999998</v>
      </c>
      <c r="C24">
        <v>892.85599999999999</v>
      </c>
      <c r="D24">
        <v>2838.5540000000001</v>
      </c>
      <c r="E24">
        <v>0</v>
      </c>
      <c r="F24">
        <v>4.5540000000000003</v>
      </c>
      <c r="G24">
        <v>284.11700000000002</v>
      </c>
      <c r="H24">
        <v>4324.9279999999999</v>
      </c>
    </row>
    <row r="25" spans="1:8">
      <c r="A25" t="s">
        <v>1850</v>
      </c>
      <c r="B25">
        <v>896.36</v>
      </c>
      <c r="C25">
        <v>517.24599999999998</v>
      </c>
      <c r="D25">
        <v>1399.9639999999999</v>
      </c>
      <c r="E25">
        <v>0.90200000000000002</v>
      </c>
      <c r="F25">
        <v>0</v>
      </c>
      <c r="G25">
        <v>336.12599999999998</v>
      </c>
      <c r="H25">
        <v>3150.5970000000002</v>
      </c>
    </row>
    <row r="26" spans="1:8">
      <c r="A26" t="s">
        <v>1851</v>
      </c>
      <c r="B26">
        <v>277.35599999999999</v>
      </c>
      <c r="C26">
        <v>8306.7250000000004</v>
      </c>
      <c r="D26">
        <v>16355.093000000001</v>
      </c>
      <c r="E26">
        <v>78.775999999999996</v>
      </c>
      <c r="F26">
        <v>573.96400000000006</v>
      </c>
      <c r="G26">
        <v>1355.0229999999999</v>
      </c>
      <c r="H26">
        <v>26946.937000000002</v>
      </c>
    </row>
    <row r="27" spans="1:8">
      <c r="A27" t="s">
        <v>52</v>
      </c>
      <c r="B27" s="145">
        <v>264921</v>
      </c>
      <c r="C27">
        <v>65999.231</v>
      </c>
      <c r="D27">
        <v>264160.51199999999</v>
      </c>
      <c r="E27">
        <v>3897.482</v>
      </c>
      <c r="F27">
        <v>4735.1899999999996</v>
      </c>
      <c r="G27">
        <v>25836.960999999999</v>
      </c>
      <c r="H27">
        <v>429065.78499999997</v>
      </c>
    </row>
    <row r="29" spans="1:8">
      <c r="B29" s="2">
        <f>-B27/'GTAP Imports'!F18</f>
        <v>0.11001929960969917</v>
      </c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E065-F1A2-44C1-8027-63D9D26CFFDE}">
  <sheetPr codeName="Sheet21"/>
  <dimension ref="A1:J33"/>
  <sheetViews>
    <sheetView workbookViewId="0">
      <selection activeCell="F21" sqref="F21"/>
    </sheetView>
  </sheetViews>
  <sheetFormatPr defaultRowHeight="12.6"/>
  <cols>
    <col min="6" max="6" width="13.42578125" bestFit="1" customWidth="1"/>
  </cols>
  <sheetData>
    <row r="1" spans="1:10" ht="15.6">
      <c r="A1" s="258" t="s">
        <v>1833</v>
      </c>
      <c r="B1" s="259"/>
      <c r="C1" s="259"/>
      <c r="D1" s="259"/>
      <c r="E1" s="259"/>
      <c r="F1" s="259"/>
      <c r="G1" s="259"/>
      <c r="H1" s="259"/>
      <c r="I1" s="260"/>
    </row>
    <row r="2" spans="1:10" ht="15.6">
      <c r="A2" s="261" t="s">
        <v>2094</v>
      </c>
      <c r="B2" s="262"/>
      <c r="C2" s="262"/>
      <c r="D2" s="262"/>
      <c r="E2" s="262"/>
      <c r="F2" s="262"/>
      <c r="G2" s="262"/>
      <c r="H2" s="262"/>
      <c r="I2" s="263"/>
    </row>
    <row r="3" spans="1:10" ht="15.6">
      <c r="A3" s="261" t="s">
        <v>2156</v>
      </c>
      <c r="B3" s="262"/>
      <c r="C3" s="262"/>
      <c r="D3" s="262"/>
      <c r="E3" s="262"/>
      <c r="F3" s="262"/>
      <c r="G3" s="262"/>
      <c r="H3" s="262"/>
      <c r="I3" s="263"/>
    </row>
    <row r="4" spans="1:10" ht="15.6">
      <c r="A4" s="261" t="s">
        <v>2157</v>
      </c>
      <c r="B4" s="262"/>
      <c r="C4" s="262"/>
      <c r="D4" s="262"/>
      <c r="E4" s="262"/>
      <c r="F4" s="262"/>
      <c r="G4" s="262"/>
      <c r="H4" s="262"/>
      <c r="I4" s="263"/>
    </row>
    <row r="5" spans="1:10" ht="15.95" thickBot="1">
      <c r="A5" s="264" t="s">
        <v>2158</v>
      </c>
      <c r="B5" s="265"/>
      <c r="C5" s="265"/>
      <c r="D5" s="265"/>
      <c r="E5" s="265"/>
      <c r="F5" s="265"/>
      <c r="G5" s="265"/>
      <c r="H5" s="265"/>
      <c r="I5" s="266"/>
    </row>
    <row r="8" spans="1:10">
      <c r="A8" t="s">
        <v>2159</v>
      </c>
      <c r="B8" t="s">
        <v>2160</v>
      </c>
      <c r="C8" t="s">
        <v>2161</v>
      </c>
      <c r="D8" t="s">
        <v>2162</v>
      </c>
      <c r="E8" t="s">
        <v>2163</v>
      </c>
      <c r="F8" t="s">
        <v>2164</v>
      </c>
      <c r="G8" t="s">
        <v>52</v>
      </c>
    </row>
    <row r="9" spans="1:10">
      <c r="A9" t="s">
        <v>1846</v>
      </c>
      <c r="B9">
        <v>13313204</v>
      </c>
      <c r="C9">
        <v>4042716.5</v>
      </c>
      <c r="D9">
        <v>2745978.25</v>
      </c>
      <c r="E9">
        <v>2227783.5</v>
      </c>
      <c r="F9" s="14">
        <v>-2850103.5</v>
      </c>
      <c r="G9">
        <v>19479578.75</v>
      </c>
      <c r="I9" s="2">
        <f>E9/G9</f>
        <v>0.11436507578481388</v>
      </c>
      <c r="J9" s="2">
        <f>(E9-F9)/G9</f>
        <v>0.26067745433150086</v>
      </c>
    </row>
    <row r="17" spans="1:10">
      <c r="A17" t="s">
        <v>2159</v>
      </c>
      <c r="B17" t="s">
        <v>2160</v>
      </c>
      <c r="C17" t="s">
        <v>2161</v>
      </c>
      <c r="D17" t="s">
        <v>2162</v>
      </c>
      <c r="E17" t="s">
        <v>2165</v>
      </c>
      <c r="F17" t="s">
        <v>2164</v>
      </c>
      <c r="G17" t="s">
        <v>52</v>
      </c>
    </row>
    <row r="18" spans="1:10">
      <c r="A18" t="s">
        <v>1846</v>
      </c>
      <c r="B18">
        <v>13374702</v>
      </c>
      <c r="C18">
        <v>4052385.75</v>
      </c>
      <c r="D18">
        <v>2758551</v>
      </c>
      <c r="E18">
        <v>2188488.25</v>
      </c>
      <c r="F18" s="145">
        <v>-2407950.25</v>
      </c>
      <c r="G18">
        <v>19574970</v>
      </c>
      <c r="I18" s="2">
        <f>E18/G18</f>
        <v>0.11180033736961027</v>
      </c>
      <c r="J18" s="2">
        <f>(E18-F18)/G18</f>
        <v>0.23481203291754726</v>
      </c>
    </row>
    <row r="27" spans="1:10">
      <c r="A27" t="s">
        <v>1846</v>
      </c>
      <c r="B27" s="2">
        <f t="shared" ref="B27:G27" si="0">B18/B9-1</f>
        <v>4.6193237931304587E-3</v>
      </c>
      <c r="C27" s="2">
        <f t="shared" si="0"/>
        <v>2.3917704840297205E-3</v>
      </c>
      <c r="D27" s="2">
        <f t="shared" si="0"/>
        <v>4.5786050927387745E-3</v>
      </c>
      <c r="E27" s="2">
        <f t="shared" si="0"/>
        <v>-1.7638720279596343E-2</v>
      </c>
      <c r="F27" s="2">
        <f>F18/F9-1</f>
        <v>-0.15513585734693491</v>
      </c>
      <c r="G27" s="2">
        <f t="shared" si="0"/>
        <v>4.8969873129314223E-3</v>
      </c>
    </row>
    <row r="28" spans="1:10">
      <c r="B28" s="2"/>
      <c r="C28" s="2"/>
      <c r="D28" s="2"/>
      <c r="E28" s="2"/>
      <c r="F28" s="2"/>
      <c r="G28" s="2"/>
    </row>
    <row r="29" spans="1:10">
      <c r="B29" s="2"/>
      <c r="C29" s="2"/>
      <c r="D29" s="2"/>
      <c r="E29" s="2"/>
      <c r="F29" s="2"/>
      <c r="G29" s="2"/>
    </row>
    <row r="30" spans="1:10">
      <c r="B30" s="2"/>
      <c r="C30" s="2"/>
      <c r="D30" s="2"/>
      <c r="E30" s="2"/>
      <c r="F30" s="2"/>
      <c r="G30" s="2"/>
    </row>
    <row r="31" spans="1:10">
      <c r="B31" s="2"/>
      <c r="C31" s="2"/>
      <c r="D31" s="2"/>
      <c r="E31" s="2"/>
      <c r="F31" s="2"/>
      <c r="G31" s="2"/>
    </row>
    <row r="32" spans="1:10">
      <c r="B32" s="2"/>
      <c r="C32" s="2"/>
      <c r="D32" s="2"/>
      <c r="E32" s="2"/>
      <c r="F32" s="2"/>
      <c r="G32" s="2"/>
    </row>
    <row r="33" spans="2:7">
      <c r="B33" s="2"/>
      <c r="C33" s="2"/>
      <c r="D33" s="2"/>
      <c r="E33" s="2"/>
      <c r="F33" s="2"/>
      <c r="G33" s="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2F345-31FA-437F-95FD-EEF22644C557}">
  <sheetPr codeName="Sheet23"/>
  <dimension ref="A1:BE410"/>
  <sheetViews>
    <sheetView zoomScale="80" zoomScaleNormal="80" workbookViewId="0">
      <selection activeCell="D13" sqref="D13"/>
    </sheetView>
  </sheetViews>
  <sheetFormatPr defaultRowHeight="12.6"/>
  <cols>
    <col min="1" max="1" width="39.28515625" customWidth="1"/>
    <col min="3" max="3" width="15.85546875" customWidth="1"/>
    <col min="8" max="8" width="19.42578125" bestFit="1" customWidth="1"/>
    <col min="16" max="16" width="14.5703125" customWidth="1"/>
    <col min="25" max="32" width="10.5703125" bestFit="1" customWidth="1"/>
    <col min="33" max="33" width="10.5703125" customWidth="1"/>
    <col min="46" max="46" width="35.7109375" customWidth="1"/>
    <col min="50" max="50" width="52.5703125" style="25" customWidth="1"/>
    <col min="51" max="57" width="52.5703125" customWidth="1"/>
    <col min="58" max="58" width="23.42578125" customWidth="1"/>
  </cols>
  <sheetData>
    <row r="1" spans="1:57" ht="15.6">
      <c r="A1" s="258" t="s">
        <v>1833</v>
      </c>
      <c r="B1" s="259"/>
      <c r="C1" s="259"/>
      <c r="D1" s="259"/>
      <c r="E1" s="259"/>
      <c r="F1" s="259"/>
      <c r="G1" s="259"/>
      <c r="H1" s="259"/>
      <c r="I1" s="260"/>
      <c r="J1" s="262"/>
    </row>
    <row r="2" spans="1:57" ht="15.6">
      <c r="A2" s="261" t="s">
        <v>2166</v>
      </c>
      <c r="B2" s="262"/>
      <c r="C2" s="262"/>
      <c r="D2" s="262"/>
      <c r="E2" s="262"/>
      <c r="F2" s="262"/>
      <c r="G2" s="262"/>
      <c r="H2" s="262"/>
      <c r="I2" s="263"/>
      <c r="J2" s="262"/>
    </row>
    <row r="3" spans="1:57" ht="15.6">
      <c r="A3" s="261" t="s">
        <v>2167</v>
      </c>
      <c r="B3" s="262"/>
      <c r="C3" s="262"/>
      <c r="D3" s="262"/>
      <c r="E3" s="262"/>
      <c r="F3" s="262"/>
      <c r="G3" s="262"/>
      <c r="H3" s="262"/>
      <c r="I3" s="263"/>
      <c r="J3" s="262"/>
    </row>
    <row r="4" spans="1:57" ht="15.6">
      <c r="A4" s="261" t="s">
        <v>2168</v>
      </c>
      <c r="B4" s="262"/>
      <c r="C4" s="262"/>
      <c r="D4" s="262"/>
      <c r="E4" s="262"/>
      <c r="F4" s="262"/>
      <c r="G4" s="262"/>
      <c r="H4" s="262"/>
      <c r="I4" s="263"/>
      <c r="J4" s="262"/>
    </row>
    <row r="5" spans="1:57" ht="15.95" thickBot="1">
      <c r="A5" s="264"/>
      <c r="B5" s="265"/>
      <c r="C5" s="265"/>
      <c r="D5" s="265"/>
      <c r="E5" s="265"/>
      <c r="F5" s="265"/>
      <c r="G5" s="265"/>
      <c r="H5" s="265"/>
      <c r="I5" s="266"/>
      <c r="J5" s="262"/>
    </row>
    <row r="6" spans="1:57" ht="12.95" thickBot="1"/>
    <row r="7" spans="1:57" ht="12.95">
      <c r="K7" s="229" t="s">
        <v>5</v>
      </c>
      <c r="L7" s="235"/>
      <c r="M7" s="235"/>
      <c r="N7" s="230"/>
    </row>
    <row r="8" spans="1:57" ht="12.95" thickBot="1">
      <c r="K8" s="231"/>
      <c r="N8" s="232"/>
    </row>
    <row r="9" spans="1:57" ht="12.95" thickBot="1">
      <c r="K9" s="231"/>
      <c r="L9" s="243"/>
      <c r="M9" s="235" t="s">
        <v>1783</v>
      </c>
      <c r="N9" s="230" t="s">
        <v>307</v>
      </c>
    </row>
    <row r="10" spans="1:57" ht="15" thickBot="1">
      <c r="A10" s="227" t="s">
        <v>2169</v>
      </c>
      <c r="B10" s="228">
        <f>ricco_price_effects_and_etr!E24*100</f>
        <v>1.2349939084544252</v>
      </c>
      <c r="K10" s="231"/>
      <c r="L10" s="412" t="s">
        <v>5</v>
      </c>
      <c r="M10" s="237">
        <f>SUMPRODUCT(M12:M75,$T$12:$T$75)/SUM($T$12:$T$75)</f>
        <v>0.9448196498669017</v>
      </c>
      <c r="N10" s="234">
        <f>SUMPRODUCT(N12:N75,$T$12:$T$75)/SUM($T$12:$T$75)</f>
        <v>1.234993908454425</v>
      </c>
      <c r="P10" s="229" t="s">
        <v>2170</v>
      </c>
      <c r="Q10" s="235"/>
      <c r="R10" s="235"/>
      <c r="S10" s="235"/>
      <c r="T10" s="230"/>
      <c r="V10" s="229" t="s">
        <v>2171</v>
      </c>
      <c r="W10" s="230"/>
      <c r="Y10" s="229" t="s">
        <v>2172</v>
      </c>
      <c r="Z10" s="235"/>
      <c r="AA10" s="235"/>
      <c r="AB10" s="235"/>
      <c r="AC10" s="235"/>
      <c r="AD10" s="235"/>
      <c r="AE10" s="235"/>
      <c r="AF10" s="230"/>
      <c r="AH10" s="227"/>
      <c r="AI10" s="278"/>
      <c r="AJ10" s="279" t="s">
        <v>46</v>
      </c>
      <c r="AK10" s="280">
        <f>SUMPRODUCT(AK12:AK76,Y$12:Y$76)/AK77</f>
        <v>23.665864892422885</v>
      </c>
      <c r="AL10" s="280">
        <f t="shared" ref="AL10:AR10" si="0">SUMPRODUCT(AL12:AL76,Z$12:Z$76)/AL77</f>
        <v>12.641004395420595</v>
      </c>
      <c r="AM10" s="280">
        <f t="shared" si="0"/>
        <v>9.4277536600066032</v>
      </c>
      <c r="AN10" s="280">
        <f>SUMPRODUCT(AN12:AN76,AB$12:AB$76)/AN77</f>
        <v>12.734390586203128</v>
      </c>
      <c r="AO10" s="280">
        <f t="shared" si="0"/>
        <v>12.860621302685725</v>
      </c>
      <c r="AP10" s="280">
        <f t="shared" si="0"/>
        <v>19.524957697799586</v>
      </c>
      <c r="AQ10" s="280">
        <f t="shared" si="0"/>
        <v>14.820777969241222</v>
      </c>
      <c r="AR10" s="280">
        <f t="shared" si="0"/>
        <v>10.992552434474348</v>
      </c>
      <c r="AS10" s="401">
        <f>SUMPRODUCT(AK10:AR10,AK77:AR77)/SUM(AK77:AR77)</f>
        <v>15.291488546934056</v>
      </c>
      <c r="AT10" s="125">
        <f>(AL10*AL77+SUMPRODUCT(AO10:AR10,AO77:AR77))/SUM(AL77,AO77:AR77)</f>
        <v>14.021566023180574</v>
      </c>
    </row>
    <row r="11" spans="1:57" ht="13.5" thickBot="1">
      <c r="A11" s="227" t="s">
        <v>2173</v>
      </c>
      <c r="B11" s="228">
        <f>SUMPRODUCT(K12:K75,N12:N75,T12:T75)/SUMPRODUCT(K12:K75,T12:T75)</f>
        <v>1.1565491228492391</v>
      </c>
      <c r="H11" s="315" t="s">
        <v>2174</v>
      </c>
      <c r="K11" s="231" t="s">
        <v>2175</v>
      </c>
      <c r="N11" s="232"/>
      <c r="P11" s="231"/>
      <c r="Q11" t="s">
        <v>547</v>
      </c>
      <c r="R11" t="s">
        <v>2126</v>
      </c>
      <c r="S11" t="s">
        <v>2127</v>
      </c>
      <c r="T11" s="232" t="s">
        <v>52</v>
      </c>
      <c r="V11" s="231" t="s">
        <v>34</v>
      </c>
      <c r="W11" s="232" t="s">
        <v>35</v>
      </c>
      <c r="Y11" s="293" t="s">
        <v>32</v>
      </c>
      <c r="Z11" s="294" t="s">
        <v>33</v>
      </c>
      <c r="AA11" s="294" t="s">
        <v>34</v>
      </c>
      <c r="AB11" s="294" t="s">
        <v>35</v>
      </c>
      <c r="AC11" s="294" t="s">
        <v>36</v>
      </c>
      <c r="AD11" s="294" t="s">
        <v>37</v>
      </c>
      <c r="AE11" s="294" t="s">
        <v>38</v>
      </c>
      <c r="AF11" s="295" t="s">
        <v>39</v>
      </c>
      <c r="AG11" s="294"/>
      <c r="AI11" t="s">
        <v>2102</v>
      </c>
      <c r="AJ11" t="s">
        <v>1846</v>
      </c>
      <c r="AK11" s="5" t="s">
        <v>1847</v>
      </c>
      <c r="AL11" s="5" t="s">
        <v>1848</v>
      </c>
      <c r="AM11" s="5" t="s">
        <v>1849</v>
      </c>
      <c r="AN11" s="5" t="s">
        <v>1850</v>
      </c>
      <c r="AO11" s="5" t="s">
        <v>1851</v>
      </c>
      <c r="AP11" s="5" t="s">
        <v>2103</v>
      </c>
      <c r="AQ11" s="5" t="s">
        <v>2104</v>
      </c>
      <c r="AR11" s="5" t="s">
        <v>2105</v>
      </c>
      <c r="AS11" s="19" t="s">
        <v>52</v>
      </c>
      <c r="AT11" s="5" t="s">
        <v>2176</v>
      </c>
    </row>
    <row r="12" spans="1:57" ht="15" thickBot="1">
      <c r="H12" s="316" t="s">
        <v>2177</v>
      </c>
      <c r="K12" s="306">
        <v>1</v>
      </c>
      <c r="L12" s="28" t="s">
        <v>333</v>
      </c>
      <c r="M12">
        <f>(S12/T12)*SUMPRODUCT(Y12:AF12,AK12:AR12)/AS12</f>
        <v>0.98641980945817287</v>
      </c>
      <c r="N12" s="232">
        <f>$B$10*M12/$M$10</f>
        <v>1.2893703639961673</v>
      </c>
      <c r="O12" t="str">
        <f>VLOOKUP(L12,$Y$83:$Y$127,1,FALSE)</f>
        <v>pdr</v>
      </c>
      <c r="P12" s="306" t="s">
        <v>332</v>
      </c>
      <c r="Q12" t="s">
        <v>331</v>
      </c>
      <c r="R12">
        <f>ricco_price_effects_and_etr!Y45</f>
        <v>32.200000000000003</v>
      </c>
      <c r="S12">
        <f>ricco_price_effects_and_etr!Z45</f>
        <v>1.91</v>
      </c>
      <c r="T12" s="232">
        <f>ricco_price_effects_and_etr!AA45</f>
        <v>34.1</v>
      </c>
      <c r="V12" s="231">
        <f>'Full Imports'!$T$5</f>
        <v>0.99953804975574523</v>
      </c>
      <c r="W12" s="232" cm="1">
        <f t="array" aca="1" ref="W12" ca="1">OFFSET(INDIRECT(REPLACE(_xlfn.FORMULATEXT(V12),1,1,"")),32,0)</f>
        <v>0.99968776053195185</v>
      </c>
      <c r="Y12" s="296">
        <f>INDEX($Z$83:$AG$127,MATCH($L12,$Y$83:$Y$127,0),MATCH(Y$11,$Z$82:$AG$82,0))</f>
        <v>0</v>
      </c>
      <c r="Z12" s="112">
        <f t="shared" ref="Z12:AF27" si="1">INDEX($Z$83:$AG$127,MATCH($L12,$Y$83:$Y$127,0),MATCH(Z$11,$Z$82:$AG$82,0))</f>
        <v>25</v>
      </c>
      <c r="AA12" s="112">
        <f t="shared" si="1"/>
        <v>1.6168250000001501E-2</v>
      </c>
      <c r="AB12" s="112">
        <f t="shared" si="1"/>
        <v>0</v>
      </c>
      <c r="AC12" s="112">
        <f t="shared" si="1"/>
        <v>0</v>
      </c>
      <c r="AD12" s="112">
        <f t="shared" si="1"/>
        <v>15</v>
      </c>
      <c r="AE12" s="112">
        <f t="shared" si="1"/>
        <v>0</v>
      </c>
      <c r="AF12" s="252">
        <f t="shared" si="1"/>
        <v>0</v>
      </c>
      <c r="AG12" s="112"/>
      <c r="AI12" t="s">
        <v>331</v>
      </c>
      <c r="AJ12">
        <v>0</v>
      </c>
      <c r="AK12">
        <v>0.42899999999999999</v>
      </c>
      <c r="AL12">
        <v>1.635</v>
      </c>
      <c r="AM12">
        <v>1E-3</v>
      </c>
      <c r="AN12">
        <v>0</v>
      </c>
      <c r="AO12">
        <v>0.108</v>
      </c>
      <c r="AP12">
        <v>0</v>
      </c>
      <c r="AQ12">
        <v>0.13600000000000001</v>
      </c>
      <c r="AR12">
        <v>1.0999999999999999E-2</v>
      </c>
      <c r="AS12">
        <v>2.3210000000000002</v>
      </c>
      <c r="AT12">
        <f t="shared" ref="AT12:AT43" si="2">AS12-AN12-AM12-AK12</f>
        <v>1.8910000000000002</v>
      </c>
      <c r="AX12" s="25" t="str">
        <f t="shared" ref="AX12:AX43" si="3">"Shock tms("&amp;CHAR(34)&amp;$L12&amp;CHAR(34)&amp;","&amp;CHAR(34)&amp;Y$11&amp;CHAR(34)&amp;","&amp;CHAR(34)&amp;"USA"&amp;CHAR(34)&amp;") = "&amp;TEXT(Y12,"0.0")&amp;";"</f>
        <v>Shock tms("pdr","China","USA") = 0.0;</v>
      </c>
      <c r="AY12" t="str">
        <f t="shared" ref="AY12:AY43" si="4">"Shock tms("&amp;CHAR(34)&amp;$L12&amp;CHAR(34)&amp;","&amp;CHAR(34)&amp;Z$11&amp;CHAR(34)&amp;","&amp;CHAR(34)&amp;"USA"&amp;CHAR(34)&amp;") = "&amp;TEXT(Z12,"0.0")&amp;";"</f>
        <v>Shock tms("pdr","ROW","USA") = 25.0;</v>
      </c>
      <c r="AZ12" t="str">
        <f t="shared" ref="AZ12:AZ43" si="5">"Shock tms("&amp;CHAR(34)&amp;$L12&amp;CHAR(34)&amp;","&amp;CHAR(34)&amp;AA$11&amp;CHAR(34)&amp;","&amp;CHAR(34)&amp;"USA"&amp;CHAR(34)&amp;") = "&amp;TEXT(AA12,"0.0")&amp;";"</f>
        <v>Shock tms("pdr","Canada","USA") = 0.0;</v>
      </c>
      <c r="BA12" t="str">
        <f t="shared" ref="BA12:BA43" si="6">"Shock tms("&amp;CHAR(34)&amp;$L12&amp;CHAR(34)&amp;","&amp;CHAR(34)&amp;AB$11&amp;CHAR(34)&amp;","&amp;CHAR(34)&amp;"USA"&amp;CHAR(34)&amp;") = "&amp;TEXT(AB12,"0.0")&amp;";"</f>
        <v>Shock tms("pdr","Mexico","USA") = 0.0;</v>
      </c>
      <c r="BB12" t="str">
        <f t="shared" ref="BB12:BB43" si="7">"Shock tms("&amp;CHAR(34)&amp;$L12&amp;CHAR(34)&amp;","&amp;CHAR(34)&amp;AC$11&amp;CHAR(34)&amp;","&amp;CHAR(34)&amp;"USA"&amp;CHAR(34)&amp;") = "&amp;TEXT(AC12,"0.0")&amp;";"</f>
        <v>Shock tms("pdr","FTROW","USA") = 0.0;</v>
      </c>
      <c r="BC12" t="str">
        <f t="shared" ref="BC12:BC43" si="8">"Shock tms("&amp;CHAR(34)&amp;$L12&amp;CHAR(34)&amp;","&amp;CHAR(34)&amp;AD$11&amp;CHAR(34)&amp;","&amp;CHAR(34)&amp;"USA"&amp;CHAR(34)&amp;") = "&amp;TEXT(AD12,"0.0")&amp;";"</f>
        <v>Shock tms("pdr","Japan","USA") = 15.0;</v>
      </c>
      <c r="BD12" t="str">
        <f t="shared" ref="BD12:BD43" si="9">"Shock tms("&amp;CHAR(34)&amp;$L12&amp;CHAR(34)&amp;","&amp;CHAR(34)&amp;AE$11&amp;CHAR(34)&amp;","&amp;CHAR(34)&amp;"USA"&amp;CHAR(34)&amp;") = "&amp;TEXT(AE12,"0.0")&amp;";"</f>
        <v>Shock tms("pdr","EU","USA") = 0.0;</v>
      </c>
      <c r="BE12" t="str">
        <f t="shared" ref="BE12:BE43" si="10">"Shock tms("&amp;CHAR(34)&amp;$L12&amp;CHAR(34)&amp;","&amp;CHAR(34)&amp;AF$11&amp;CHAR(34)&amp;","&amp;CHAR(34)&amp;"USA"&amp;CHAR(34)&amp;") = "&amp;TEXT(AF12,"0.0")&amp;";"</f>
        <v>Shock tms("pdr","UK","USA") = 0.0;</v>
      </c>
    </row>
    <row r="13" spans="1:57" ht="14.45">
      <c r="A13" s="243" t="s">
        <v>2178</v>
      </c>
      <c r="B13" s="267">
        <v>0.33</v>
      </c>
      <c r="H13" s="317" t="s">
        <v>2179</v>
      </c>
      <c r="K13" s="306">
        <v>1</v>
      </c>
      <c r="L13" s="28" t="s">
        <v>336</v>
      </c>
      <c r="M13">
        <f>(S13/T13)*SUMPRODUCT(Y13:AF13,AK13:AR13)/AS13</f>
        <v>2.9201008292854165E-3</v>
      </c>
      <c r="N13" s="232">
        <f>$B$10*M13/$M$10</f>
        <v>3.816926052234658E-3</v>
      </c>
      <c r="O13" t="str">
        <f t="shared" ref="O13:O60" si="11">VLOOKUP(L13,$Y$83:$Y$127,1,FALSE)</f>
        <v>wht</v>
      </c>
      <c r="P13" s="306" t="s">
        <v>335</v>
      </c>
      <c r="Q13" t="s">
        <v>334</v>
      </c>
      <c r="R13">
        <f>ricco_price_effects_and_etr!Y46</f>
        <v>2055</v>
      </c>
      <c r="S13">
        <f>ricco_price_effects_and_etr!Z46</f>
        <v>16</v>
      </c>
      <c r="T13" s="232">
        <f>ricco_price_effects_and_etr!AA46</f>
        <v>2071</v>
      </c>
      <c r="V13" s="231">
        <f>'Full Imports'!$T$5</f>
        <v>0.99953804975574523</v>
      </c>
      <c r="W13" s="232" cm="1">
        <f t="array" aca="1" ref="W13" ca="1">OFFSET(INDIRECT(REPLACE(_xlfn.FORMULATEXT(V13),1,1,"")),32,0)</f>
        <v>0.99968776053195185</v>
      </c>
      <c r="Y13" s="296">
        <f t="shared" ref="Y13:AF28" si="12">INDEX($Z$83:$AG$127,MATCH($L13,$Y$83:$Y$127,0),MATCH(Y$11,$Z$82:$AG$82,0))</f>
        <v>0</v>
      </c>
      <c r="Z13" s="112">
        <f>INDEX($Z$83:$AG$127,MATCH($L13,$Y$83:$Y$127,0),MATCH(Z$11,$Z$82:$AG$82,0))</f>
        <v>10.136395712297499</v>
      </c>
      <c r="AA13" s="112">
        <f t="shared" si="1"/>
        <v>1.6168250000001501E-2</v>
      </c>
      <c r="AB13" s="112">
        <f t="shared" si="1"/>
        <v>7.8059749999997898E-3</v>
      </c>
      <c r="AC13" s="112">
        <f t="shared" si="1"/>
        <v>13.601224460047099</v>
      </c>
      <c r="AD13" s="112">
        <f t="shared" si="1"/>
        <v>0</v>
      </c>
      <c r="AE13" s="112">
        <f t="shared" si="1"/>
        <v>15</v>
      </c>
      <c r="AF13" s="252">
        <f t="shared" si="1"/>
        <v>10</v>
      </c>
      <c r="AG13" s="112"/>
      <c r="AI13" t="s">
        <v>334</v>
      </c>
      <c r="AJ13">
        <v>0</v>
      </c>
      <c r="AK13">
        <v>0.124</v>
      </c>
      <c r="AL13">
        <v>13.723000000000001</v>
      </c>
      <c r="AM13">
        <v>705.476</v>
      </c>
      <c r="AN13">
        <v>2.7109999999999999</v>
      </c>
      <c r="AO13">
        <v>0.21</v>
      </c>
      <c r="AP13">
        <v>2E-3</v>
      </c>
      <c r="AQ13">
        <v>7.7919999999999998</v>
      </c>
      <c r="AR13">
        <v>0.58899999999999997</v>
      </c>
      <c r="AS13">
        <v>730.62699999999995</v>
      </c>
      <c r="AT13">
        <f t="shared" si="2"/>
        <v>22.315999999999942</v>
      </c>
      <c r="AX13" s="25" t="str">
        <f t="shared" si="3"/>
        <v>Shock tms("wht","China","USA") = 0.0;</v>
      </c>
      <c r="AY13" t="str">
        <f t="shared" si="4"/>
        <v>Shock tms("wht","ROW","USA") = 10.1;</v>
      </c>
      <c r="AZ13" t="str">
        <f t="shared" si="5"/>
        <v>Shock tms("wht","Canada","USA") = 0.0;</v>
      </c>
      <c r="BA13" t="str">
        <f t="shared" si="6"/>
        <v>Shock tms("wht","Mexico","USA") = 0.0;</v>
      </c>
      <c r="BB13" t="str">
        <f t="shared" si="7"/>
        <v>Shock tms("wht","FTROW","USA") = 13.6;</v>
      </c>
      <c r="BC13" t="str">
        <f t="shared" si="8"/>
        <v>Shock tms("wht","Japan","USA") = 0.0;</v>
      </c>
      <c r="BD13" t="str">
        <f t="shared" si="9"/>
        <v>Shock tms("wht","EU","USA") = 15.0;</v>
      </c>
      <c r="BE13" t="str">
        <f t="shared" si="10"/>
        <v>Shock tms("wht","UK","USA") = 10.0;</v>
      </c>
    </row>
    <row r="14" spans="1:57" ht="15" thickBot="1">
      <c r="A14" s="233" t="s">
        <v>2180</v>
      </c>
      <c r="B14" s="268">
        <v>3.75</v>
      </c>
      <c r="H14" s="318" t="s">
        <v>2181</v>
      </c>
      <c r="K14" s="306">
        <v>1</v>
      </c>
      <c r="L14" s="28" t="s">
        <v>339</v>
      </c>
      <c r="M14">
        <f t="shared" ref="M14:M43" si="13">(S14/T14)*SUMPRODUCT(Y14:AF14,AK14:AR14)/AS14</f>
        <v>0.38590811794669216</v>
      </c>
      <c r="N14" s="232">
        <f t="shared" ref="N14:N75" si="14">$B$10*M14/$M$10</f>
        <v>0.50442872875729805</v>
      </c>
      <c r="O14" t="str">
        <f t="shared" si="11"/>
        <v>gro</v>
      </c>
      <c r="P14" s="306" t="s">
        <v>338</v>
      </c>
      <c r="Q14" t="s">
        <v>337</v>
      </c>
      <c r="R14">
        <f>ricco_price_effects_and_etr!Y47</f>
        <v>1971</v>
      </c>
      <c r="S14">
        <f>ricco_price_effects_and_etr!Z47</f>
        <v>149</v>
      </c>
      <c r="T14" s="232">
        <f>ricco_price_effects_and_etr!AA47</f>
        <v>2119</v>
      </c>
      <c r="V14" s="231">
        <f>'Full Imports'!$T$5</f>
        <v>0.99953804975574523</v>
      </c>
      <c r="W14" s="232" cm="1">
        <f t="array" aca="1" ref="W14" ca="1">OFFSET(INDIRECT(REPLACE(_xlfn.FORMULATEXT(V14),1,1,"")),32,0)</f>
        <v>0.99968776053195185</v>
      </c>
      <c r="Y14" s="296">
        <f t="shared" si="12"/>
        <v>19.716024779333701</v>
      </c>
      <c r="Z14" s="112">
        <f t="shared" si="1"/>
        <v>12.389364749538601</v>
      </c>
      <c r="AA14" s="112">
        <f t="shared" si="1"/>
        <v>1.6168250000001501E-2</v>
      </c>
      <c r="AB14" s="112">
        <f t="shared" si="1"/>
        <v>7.8059749999997898E-3</v>
      </c>
      <c r="AC14" s="112">
        <f t="shared" si="1"/>
        <v>9.9757078405952999</v>
      </c>
      <c r="AD14" s="112">
        <f t="shared" si="1"/>
        <v>15</v>
      </c>
      <c r="AE14" s="112">
        <f t="shared" si="1"/>
        <v>14.9957786144648</v>
      </c>
      <c r="AF14" s="252">
        <f t="shared" si="1"/>
        <v>10</v>
      </c>
      <c r="AG14" s="112"/>
      <c r="AI14" t="s">
        <v>337</v>
      </c>
      <c r="AJ14">
        <v>0</v>
      </c>
      <c r="AK14">
        <v>0.89200000000000002</v>
      </c>
      <c r="AL14">
        <v>283.85700000000003</v>
      </c>
      <c r="AM14">
        <v>566.22299999999996</v>
      </c>
      <c r="AN14">
        <v>18.449000000000002</v>
      </c>
      <c r="AO14">
        <v>143.929</v>
      </c>
      <c r="AP14">
        <v>6.4000000000000001E-2</v>
      </c>
      <c r="AQ14">
        <v>61.107999999999997</v>
      </c>
      <c r="AR14">
        <v>8.2000000000000003E-2</v>
      </c>
      <c r="AS14">
        <v>1074.605</v>
      </c>
      <c r="AT14">
        <f t="shared" si="2"/>
        <v>489.041</v>
      </c>
      <c r="AX14" s="25" t="str">
        <f t="shared" si="3"/>
        <v>Shock tms("gro","China","USA") = 19.7;</v>
      </c>
      <c r="AY14" t="str">
        <f t="shared" si="4"/>
        <v>Shock tms("gro","ROW","USA") = 12.4;</v>
      </c>
      <c r="AZ14" t="str">
        <f t="shared" si="5"/>
        <v>Shock tms("gro","Canada","USA") = 0.0;</v>
      </c>
      <c r="BA14" t="str">
        <f t="shared" si="6"/>
        <v>Shock tms("gro","Mexico","USA") = 0.0;</v>
      </c>
      <c r="BB14" t="str">
        <f t="shared" si="7"/>
        <v>Shock tms("gro","FTROW","USA") = 10.0;</v>
      </c>
      <c r="BC14" t="str">
        <f t="shared" si="8"/>
        <v>Shock tms("gro","Japan","USA") = 15.0;</v>
      </c>
      <c r="BD14" t="str">
        <f t="shared" si="9"/>
        <v>Shock tms("gro","EU","USA") = 15.0;</v>
      </c>
      <c r="BE14" t="str">
        <f t="shared" si="10"/>
        <v>Shock tms("gro","UK","USA") = 10.0;</v>
      </c>
    </row>
    <row r="15" spans="1:57" ht="15" thickBot="1">
      <c r="H15" s="319" t="s">
        <v>2182</v>
      </c>
      <c r="K15" s="306">
        <v>1</v>
      </c>
      <c r="L15" s="28" t="s">
        <v>342</v>
      </c>
      <c r="M15">
        <f t="shared" si="13"/>
        <v>0.90949973565203712</v>
      </c>
      <c r="N15" s="232">
        <f t="shared" si="14"/>
        <v>1.1888264955427279</v>
      </c>
      <c r="O15" t="str">
        <f t="shared" si="11"/>
        <v>v_f</v>
      </c>
      <c r="P15" s="306" t="s">
        <v>341</v>
      </c>
      <c r="Q15" t="s">
        <v>340</v>
      </c>
      <c r="R15">
        <f>ricco_price_effects_and_etr!Y48</f>
        <v>33710</v>
      </c>
      <c r="S15">
        <f>ricco_price_effects_and_etr!Z48</f>
        <v>16556</v>
      </c>
      <c r="T15" s="232">
        <f>ricco_price_effects_and_etr!AA48</f>
        <v>50266</v>
      </c>
      <c r="V15" s="231">
        <f>'Full Imports'!$T$5</f>
        <v>0.99953804975574523</v>
      </c>
      <c r="W15" s="232" cm="1">
        <f t="array" aca="1" ref="W15" ca="1">OFFSET(INDIRECT(REPLACE(_xlfn.FORMULATEXT(V15),1,1,"")),32,0)</f>
        <v>0.99968776053195185</v>
      </c>
      <c r="Y15" s="296">
        <f t="shared" si="12"/>
        <v>18.465108736476001</v>
      </c>
      <c r="Z15" s="112">
        <f t="shared" si="1"/>
        <v>4.3494251399218404</v>
      </c>
      <c r="AA15" s="112">
        <f t="shared" si="1"/>
        <v>1.6168250000001501E-2</v>
      </c>
      <c r="AB15" s="112">
        <f t="shared" si="1"/>
        <v>7.8059749999997898E-3</v>
      </c>
      <c r="AC15" s="112">
        <f t="shared" si="1"/>
        <v>6.0049979478243998</v>
      </c>
      <c r="AD15" s="112">
        <f t="shared" si="1"/>
        <v>14.689303261516899</v>
      </c>
      <c r="AE15" s="112">
        <f t="shared" si="1"/>
        <v>12.1657926934464</v>
      </c>
      <c r="AF15" s="252">
        <f t="shared" si="1"/>
        <v>9.58739376184778</v>
      </c>
      <c r="AG15" s="112"/>
      <c r="AI15" t="s">
        <v>340</v>
      </c>
      <c r="AJ15">
        <v>0</v>
      </c>
      <c r="AK15">
        <v>423.01600000000002</v>
      </c>
      <c r="AL15">
        <v>3522.192</v>
      </c>
      <c r="AM15">
        <v>2187.6579999999999</v>
      </c>
      <c r="AN15">
        <v>13367.901</v>
      </c>
      <c r="AO15">
        <v>7708.2759999999998</v>
      </c>
      <c r="AP15">
        <v>13.72</v>
      </c>
      <c r="AQ15">
        <v>567.76700000000005</v>
      </c>
      <c r="AR15">
        <v>10.558</v>
      </c>
      <c r="AS15">
        <v>27801.09</v>
      </c>
      <c r="AT15">
        <f t="shared" si="2"/>
        <v>11822.515000000001</v>
      </c>
      <c r="AX15" s="25" t="str">
        <f t="shared" si="3"/>
        <v>Shock tms("v_f","China","USA") = 18.5;</v>
      </c>
      <c r="AY15" t="str">
        <f t="shared" si="4"/>
        <v>Shock tms("v_f","ROW","USA") = 4.3;</v>
      </c>
      <c r="AZ15" t="str">
        <f t="shared" si="5"/>
        <v>Shock tms("v_f","Canada","USA") = 0.0;</v>
      </c>
      <c r="BA15" t="str">
        <f t="shared" si="6"/>
        <v>Shock tms("v_f","Mexico","USA") = 0.0;</v>
      </c>
      <c r="BB15" t="str">
        <f t="shared" si="7"/>
        <v>Shock tms("v_f","FTROW","USA") = 6.0;</v>
      </c>
      <c r="BC15" t="str">
        <f t="shared" si="8"/>
        <v>Shock tms("v_f","Japan","USA") = 14.7;</v>
      </c>
      <c r="BD15" t="str">
        <f t="shared" si="9"/>
        <v>Shock tms("v_f","EU","USA") = 12.2;</v>
      </c>
      <c r="BE15" t="str">
        <f t="shared" si="10"/>
        <v>Shock tms("v_f","UK","USA") = 9.6;</v>
      </c>
    </row>
    <row r="16" spans="1:57" ht="15" thickBot="1">
      <c r="A16" s="243" t="s">
        <v>2183</v>
      </c>
      <c r="B16" s="244">
        <f>SUM('USMCA Imports'!L4:L33)/SUM('Full Imports'!K5:K36)</f>
        <v>7.4642191189087465E-2</v>
      </c>
      <c r="H16" s="320" t="s">
        <v>2184</v>
      </c>
      <c r="K16" s="306">
        <v>1</v>
      </c>
      <c r="L16" s="28" t="s">
        <v>345</v>
      </c>
      <c r="M16">
        <f t="shared" si="13"/>
        <v>0.12498483615482472</v>
      </c>
      <c r="N16" s="232">
        <f t="shared" si="14"/>
        <v>0.16337034408855411</v>
      </c>
      <c r="O16" t="str">
        <f t="shared" si="11"/>
        <v>osd</v>
      </c>
      <c r="P16" s="306" t="s">
        <v>344</v>
      </c>
      <c r="Q16" t="s">
        <v>343</v>
      </c>
      <c r="R16">
        <f>ricco_price_effects_and_etr!Y49</f>
        <v>226</v>
      </c>
      <c r="S16">
        <f>ricco_price_effects_and_etr!Z49</f>
        <v>3.91</v>
      </c>
      <c r="T16" s="232">
        <f>ricco_price_effects_and_etr!AA49</f>
        <v>230</v>
      </c>
      <c r="V16" s="231">
        <f>'Full Imports'!$T$5</f>
        <v>0.99953804975574523</v>
      </c>
      <c r="W16" s="232" cm="1">
        <f t="array" aca="1" ref="W16" ca="1">OFFSET(INDIRECT(REPLACE(_xlfn.FORMULATEXT(V16),1,1,"")),32,0)</f>
        <v>0.99968776053195185</v>
      </c>
      <c r="Y16" s="296">
        <f t="shared" si="12"/>
        <v>20</v>
      </c>
      <c r="Z16" s="112">
        <f t="shared" si="1"/>
        <v>13.4798588398377</v>
      </c>
      <c r="AA16" s="112">
        <f t="shared" si="1"/>
        <v>1.6168250000001501E-2</v>
      </c>
      <c r="AB16" s="112">
        <f t="shared" si="1"/>
        <v>7.8059749999997898E-3</v>
      </c>
      <c r="AC16" s="112">
        <f t="shared" si="1"/>
        <v>10.3564616714404</v>
      </c>
      <c r="AD16" s="112">
        <f t="shared" si="1"/>
        <v>15</v>
      </c>
      <c r="AE16" s="112">
        <f t="shared" si="1"/>
        <v>13.004492405654601</v>
      </c>
      <c r="AF16" s="252">
        <f t="shared" si="1"/>
        <v>5.6822390602561001E-2</v>
      </c>
      <c r="AG16" s="112"/>
      <c r="AI16" t="s">
        <v>343</v>
      </c>
      <c r="AJ16">
        <v>0</v>
      </c>
      <c r="AK16">
        <v>18.544</v>
      </c>
      <c r="AL16">
        <v>503.548</v>
      </c>
      <c r="AM16">
        <v>506.27699999999999</v>
      </c>
      <c r="AN16">
        <v>21.617000000000001</v>
      </c>
      <c r="AO16">
        <v>87.408000000000001</v>
      </c>
      <c r="AP16">
        <v>0.64600000000000002</v>
      </c>
      <c r="AQ16">
        <v>52.228999999999999</v>
      </c>
      <c r="AR16">
        <v>1.4</v>
      </c>
      <c r="AS16">
        <v>1191.6690000000001</v>
      </c>
      <c r="AT16">
        <f t="shared" si="2"/>
        <v>645.23100000000011</v>
      </c>
      <c r="AX16" s="25" t="str">
        <f t="shared" si="3"/>
        <v>Shock tms("osd","China","USA") = 20.0;</v>
      </c>
      <c r="AY16" t="str">
        <f t="shared" si="4"/>
        <v>Shock tms("osd","ROW","USA") = 13.5;</v>
      </c>
      <c r="AZ16" t="str">
        <f t="shared" si="5"/>
        <v>Shock tms("osd","Canada","USA") = 0.0;</v>
      </c>
      <c r="BA16" t="str">
        <f t="shared" si="6"/>
        <v>Shock tms("osd","Mexico","USA") = 0.0;</v>
      </c>
      <c r="BB16" t="str">
        <f t="shared" si="7"/>
        <v>Shock tms("osd","FTROW","USA") = 10.4;</v>
      </c>
      <c r="BC16" t="str">
        <f t="shared" si="8"/>
        <v>Shock tms("osd","Japan","USA") = 15.0;</v>
      </c>
      <c r="BD16" t="str">
        <f t="shared" si="9"/>
        <v>Shock tms("osd","EU","USA") = 13.0;</v>
      </c>
      <c r="BE16" t="str">
        <f t="shared" si="10"/>
        <v>Shock tms("osd","UK","USA") = 0.1;</v>
      </c>
    </row>
    <row r="17" spans="1:57" ht="15" thickBot="1">
      <c r="A17" s="233" t="s">
        <v>2185</v>
      </c>
      <c r="B17" s="245">
        <f>SUM('USMCA Imports'!L34:L64)/SUM('Full Imports'!K37:K67)</f>
        <v>0.15450018080913858</v>
      </c>
      <c r="K17" s="306">
        <v>1</v>
      </c>
      <c r="L17" s="28" t="s">
        <v>348</v>
      </c>
      <c r="M17">
        <f>(S17/T17)*SUMPRODUCT(Y17:AF17,AK17:AR17)/AS17</f>
        <v>4.2157057155707165E-3</v>
      </c>
      <c r="N17" s="232">
        <f t="shared" si="14"/>
        <v>5.5104388221601536E-3</v>
      </c>
      <c r="O17" t="str">
        <f t="shared" si="11"/>
        <v>c_b</v>
      </c>
      <c r="P17" s="306" t="s">
        <v>347</v>
      </c>
      <c r="Q17" t="s">
        <v>346</v>
      </c>
      <c r="R17">
        <f>ricco_price_effects_and_etr!Y50</f>
        <v>389</v>
      </c>
      <c r="S17">
        <f>ricco_price_effects_and_etr!Z50</f>
        <v>0.123</v>
      </c>
      <c r="T17" s="232">
        <f>ricco_price_effects_and_etr!AA50</f>
        <v>389</v>
      </c>
      <c r="V17" s="231">
        <f>'Full Imports'!$T$5</f>
        <v>0.99953804975574523</v>
      </c>
      <c r="W17" s="232" cm="1">
        <f t="array" aca="1" ref="W17" ca="1">OFFSET(INDIRECT(REPLACE(_xlfn.FORMULATEXT(V17),1,1,"")),32,0)</f>
        <v>0.99968776053195185</v>
      </c>
      <c r="Y17" s="296">
        <f t="shared" si="12"/>
        <v>20</v>
      </c>
      <c r="Z17" s="112">
        <f t="shared" si="1"/>
        <v>15.3622363639249</v>
      </c>
      <c r="AA17" s="112">
        <f t="shared" si="1"/>
        <v>1.6168250000001501E-2</v>
      </c>
      <c r="AB17" s="112">
        <f t="shared" si="1"/>
        <v>7.8059749999997898E-3</v>
      </c>
      <c r="AC17" s="112">
        <f t="shared" si="1"/>
        <v>21.900015764858299</v>
      </c>
      <c r="AD17" s="112">
        <f t="shared" si="1"/>
        <v>0</v>
      </c>
      <c r="AE17" s="112">
        <f t="shared" si="1"/>
        <v>15</v>
      </c>
      <c r="AF17" s="252">
        <f t="shared" si="1"/>
        <v>0</v>
      </c>
      <c r="AG17" s="112"/>
      <c r="AI17" t="s">
        <v>346</v>
      </c>
      <c r="AJ17">
        <v>0</v>
      </c>
      <c r="AK17">
        <v>4.1000000000000002E-2</v>
      </c>
      <c r="AL17">
        <v>1.613</v>
      </c>
      <c r="AM17">
        <v>1E-3</v>
      </c>
      <c r="AN17">
        <v>0.313</v>
      </c>
      <c r="AO17">
        <v>0.14899999999999999</v>
      </c>
      <c r="AP17">
        <v>0</v>
      </c>
      <c r="AQ17">
        <v>0.27200000000000002</v>
      </c>
      <c r="AR17">
        <v>8.2000000000000003E-2</v>
      </c>
      <c r="AS17">
        <v>2.4710000000000001</v>
      </c>
      <c r="AT17">
        <f t="shared" si="2"/>
        <v>2.1160000000000001</v>
      </c>
      <c r="AX17" s="25" t="str">
        <f t="shared" si="3"/>
        <v>Shock tms("c_b","China","USA") = 20.0;</v>
      </c>
      <c r="AY17" t="str">
        <f t="shared" si="4"/>
        <v>Shock tms("c_b","ROW","USA") = 15.4;</v>
      </c>
      <c r="AZ17" t="str">
        <f t="shared" si="5"/>
        <v>Shock tms("c_b","Canada","USA") = 0.0;</v>
      </c>
      <c r="BA17" t="str">
        <f t="shared" si="6"/>
        <v>Shock tms("c_b","Mexico","USA") = 0.0;</v>
      </c>
      <c r="BB17" t="str">
        <f t="shared" si="7"/>
        <v>Shock tms("c_b","FTROW","USA") = 21.9;</v>
      </c>
      <c r="BC17" t="str">
        <f t="shared" si="8"/>
        <v>Shock tms("c_b","Japan","USA") = 0.0;</v>
      </c>
      <c r="BD17" t="str">
        <f t="shared" si="9"/>
        <v>Shock tms("c_b","EU","USA") = 15.0;</v>
      </c>
      <c r="BE17" t="str">
        <f t="shared" si="10"/>
        <v>Shock tms("c_b","UK","USA") = 0.0;</v>
      </c>
    </row>
    <row r="18" spans="1:57" ht="15" thickBot="1">
      <c r="K18" s="306">
        <v>1</v>
      </c>
      <c r="L18" s="28" t="s">
        <v>351</v>
      </c>
      <c r="M18">
        <f>(S18/T18)*SUMPRODUCT(Y18:AF18,AK18:AR18)/AS18</f>
        <v>5.5863578979190573E-2</v>
      </c>
      <c r="N18" s="232">
        <f>$B$10*M18/$M$10</f>
        <v>7.3020475128223614E-2</v>
      </c>
      <c r="O18" t="str">
        <f t="shared" si="11"/>
        <v>pfb</v>
      </c>
      <c r="P18" s="306" t="s">
        <v>350</v>
      </c>
      <c r="Q18" t="s">
        <v>349</v>
      </c>
      <c r="R18">
        <f>ricco_price_effects_and_etr!Y51</f>
        <v>7155</v>
      </c>
      <c r="S18">
        <f>ricco_price_effects_and_etr!Z51</f>
        <v>17.8</v>
      </c>
      <c r="T18" s="232">
        <f>ricco_price_effects_and_etr!AA51</f>
        <v>7173</v>
      </c>
      <c r="V18" s="231">
        <f>'Full Imports'!$T$5</f>
        <v>0.99953804975574523</v>
      </c>
      <c r="W18" s="232" cm="1">
        <f t="array" aca="1" ref="W18" ca="1">OFFSET(INDIRECT(REPLACE(_xlfn.FORMULATEXT(V18),1,1,"")),32,0)</f>
        <v>0.99968776053195185</v>
      </c>
      <c r="Y18" s="296">
        <f t="shared" si="12"/>
        <v>20</v>
      </c>
      <c r="Z18" s="112">
        <f t="shared" si="1"/>
        <v>23.5136339667296</v>
      </c>
      <c r="AA18" s="112">
        <f t="shared" si="1"/>
        <v>1.6168250000001501E-2</v>
      </c>
      <c r="AB18" s="112">
        <f t="shared" si="1"/>
        <v>7.8059749999997898E-3</v>
      </c>
      <c r="AC18" s="112">
        <f t="shared" si="1"/>
        <v>21.607476747710699</v>
      </c>
      <c r="AD18" s="112">
        <f t="shared" si="1"/>
        <v>15</v>
      </c>
      <c r="AE18" s="112">
        <f t="shared" si="1"/>
        <v>15</v>
      </c>
      <c r="AF18" s="252">
        <f t="shared" si="1"/>
        <v>10</v>
      </c>
      <c r="AG18" s="112"/>
      <c r="AI18" t="s">
        <v>349</v>
      </c>
      <c r="AJ18">
        <v>0</v>
      </c>
      <c r="AK18">
        <v>3.7999999999999999E-2</v>
      </c>
      <c r="AL18">
        <v>75.16</v>
      </c>
      <c r="AM18">
        <v>6.4000000000000001E-2</v>
      </c>
      <c r="AN18">
        <v>1.4179999999999999</v>
      </c>
      <c r="AO18">
        <v>0.93100000000000005</v>
      </c>
      <c r="AP18">
        <v>3.5000000000000003E-2</v>
      </c>
      <c r="AQ18">
        <v>5.0890000000000004</v>
      </c>
      <c r="AR18">
        <v>0.19800000000000001</v>
      </c>
      <c r="AS18">
        <v>82.935000000000002</v>
      </c>
      <c r="AT18">
        <f t="shared" si="2"/>
        <v>81.415000000000006</v>
      </c>
      <c r="AX18" s="25" t="str">
        <f t="shared" si="3"/>
        <v>Shock tms("pfb","China","USA") = 20.0;</v>
      </c>
      <c r="AY18" t="str">
        <f t="shared" si="4"/>
        <v>Shock tms("pfb","ROW","USA") = 23.5;</v>
      </c>
      <c r="AZ18" t="str">
        <f t="shared" si="5"/>
        <v>Shock tms("pfb","Canada","USA") = 0.0;</v>
      </c>
      <c r="BA18" t="str">
        <f t="shared" si="6"/>
        <v>Shock tms("pfb","Mexico","USA") = 0.0;</v>
      </c>
      <c r="BB18" t="str">
        <f t="shared" si="7"/>
        <v>Shock tms("pfb","FTROW","USA") = 21.6;</v>
      </c>
      <c r="BC18" t="str">
        <f t="shared" si="8"/>
        <v>Shock tms("pfb","Japan","USA") = 15.0;</v>
      </c>
      <c r="BD18" t="str">
        <f t="shared" si="9"/>
        <v>Shock tms("pfb","EU","USA") = 15.0;</v>
      </c>
      <c r="BE18" t="str">
        <f t="shared" si="10"/>
        <v>Shock tms("pfb","UK","USA") = 10.0;</v>
      </c>
    </row>
    <row r="19" spans="1:57" ht="14.45">
      <c r="A19" s="229" t="s">
        <v>2186</v>
      </c>
      <c r="B19" s="238" t="s">
        <v>2187</v>
      </c>
      <c r="C19" s="239" t="s">
        <v>2188</v>
      </c>
      <c r="K19" s="306">
        <v>1</v>
      </c>
      <c r="L19" s="28" t="s">
        <v>354</v>
      </c>
      <c r="M19">
        <f t="shared" si="13"/>
        <v>3.4115908835576447</v>
      </c>
      <c r="N19" s="232">
        <f t="shared" si="14"/>
        <v>4.4593631810323542</v>
      </c>
      <c r="O19" t="str">
        <f t="shared" si="11"/>
        <v>ocr</v>
      </c>
      <c r="P19" s="306" t="s">
        <v>353</v>
      </c>
      <c r="Q19" t="s">
        <v>352</v>
      </c>
      <c r="R19">
        <f>ricco_price_effects_and_etr!Y52</f>
        <v>237</v>
      </c>
      <c r="S19">
        <f>ricco_price_effects_and_etr!Z52</f>
        <v>6574</v>
      </c>
      <c r="T19" s="232">
        <f>ricco_price_effects_and_etr!AA52</f>
        <v>6811</v>
      </c>
      <c r="V19" s="231">
        <f>'Full Imports'!$T$5</f>
        <v>0.99953804975574523</v>
      </c>
      <c r="W19" s="232" cm="1">
        <f t="array" aca="1" ref="W19" ca="1">OFFSET(INDIRECT(REPLACE(_xlfn.FORMULATEXT(V19),1,1,"")),32,0)</f>
        <v>0.99968776053195185</v>
      </c>
      <c r="Y19" s="296">
        <f t="shared" si="12"/>
        <v>14.067594507717599</v>
      </c>
      <c r="Z19" s="112">
        <f t="shared" si="1"/>
        <v>2.7300333969426198</v>
      </c>
      <c r="AA19" s="112">
        <f t="shared" si="1"/>
        <v>1.6168250000001501E-2</v>
      </c>
      <c r="AB19" s="112">
        <f t="shared" si="1"/>
        <v>7.8059749999997898E-3</v>
      </c>
      <c r="AC19" s="112">
        <f t="shared" si="1"/>
        <v>3.5877334075984599</v>
      </c>
      <c r="AD19" s="112">
        <f t="shared" si="1"/>
        <v>2.0142271023999099</v>
      </c>
      <c r="AE19" s="112">
        <f t="shared" si="1"/>
        <v>12.4390202408498</v>
      </c>
      <c r="AF19" s="252">
        <f t="shared" si="1"/>
        <v>8.4186401114040308</v>
      </c>
      <c r="AG19" s="112"/>
      <c r="AI19" t="s">
        <v>352</v>
      </c>
      <c r="AJ19">
        <v>0</v>
      </c>
      <c r="AK19">
        <v>280.22399999999999</v>
      </c>
      <c r="AL19">
        <v>5789.0640000000003</v>
      </c>
      <c r="AM19">
        <v>608.17200000000003</v>
      </c>
      <c r="AN19">
        <v>337.17</v>
      </c>
      <c r="AO19">
        <v>4148.3909999999996</v>
      </c>
      <c r="AP19">
        <v>38.756999999999998</v>
      </c>
      <c r="AQ19">
        <v>533.24</v>
      </c>
      <c r="AR19">
        <v>25.622</v>
      </c>
      <c r="AS19">
        <v>11760.64</v>
      </c>
      <c r="AT19">
        <f t="shared" si="2"/>
        <v>10535.073999999999</v>
      </c>
      <c r="AX19" s="25" t="str">
        <f t="shared" si="3"/>
        <v>Shock tms("ocr","China","USA") = 14.1;</v>
      </c>
      <c r="AY19" t="str">
        <f t="shared" si="4"/>
        <v>Shock tms("ocr","ROW","USA") = 2.7;</v>
      </c>
      <c r="AZ19" t="str">
        <f t="shared" si="5"/>
        <v>Shock tms("ocr","Canada","USA") = 0.0;</v>
      </c>
      <c r="BA19" t="str">
        <f t="shared" si="6"/>
        <v>Shock tms("ocr","Mexico","USA") = 0.0;</v>
      </c>
      <c r="BB19" t="str">
        <f t="shared" si="7"/>
        <v>Shock tms("ocr","FTROW","USA") = 3.6;</v>
      </c>
      <c r="BC19" t="str">
        <f t="shared" si="8"/>
        <v>Shock tms("ocr","Japan","USA") = 2.0;</v>
      </c>
      <c r="BD19" t="str">
        <f t="shared" si="9"/>
        <v>Shock tms("ocr","EU","USA") = 12.4;</v>
      </c>
      <c r="BE19" t="str">
        <f t="shared" si="10"/>
        <v>Shock tms("ocr","UK","USA") = 8.4;</v>
      </c>
    </row>
    <row r="20" spans="1:57" ht="14.45">
      <c r="A20" s="231" t="s">
        <v>37</v>
      </c>
      <c r="B20" s="25">
        <v>15</v>
      </c>
      <c r="C20" s="232"/>
      <c r="K20" s="306">
        <v>1</v>
      </c>
      <c r="L20" s="28" t="s">
        <v>357</v>
      </c>
      <c r="M20">
        <f t="shared" si="13"/>
        <v>2.1217936816421323E-2</v>
      </c>
      <c r="N20" s="232">
        <f t="shared" si="14"/>
        <v>2.7734417591698708E-2</v>
      </c>
      <c r="O20" t="str">
        <f t="shared" si="11"/>
        <v>ctl</v>
      </c>
      <c r="P20" s="306" t="s">
        <v>356</v>
      </c>
      <c r="Q20" t="s">
        <v>355</v>
      </c>
      <c r="R20">
        <f>ricco_price_effects_and_etr!Y53</f>
        <v>3488</v>
      </c>
      <c r="S20">
        <f>ricco_price_effects_and_etr!Z53</f>
        <v>22.3</v>
      </c>
      <c r="T20" s="232">
        <f>ricco_price_effects_and_etr!AA53</f>
        <v>3511</v>
      </c>
      <c r="V20" s="231">
        <f>'Full Imports'!$T$6</f>
        <v>0.99953378810863414</v>
      </c>
      <c r="W20" s="232" cm="1">
        <f t="array" aca="1" ref="W20" ca="1">OFFSET(INDIRECT(REPLACE(_xlfn.FORMULATEXT(V20),1,1,"")),32,0)</f>
        <v>0.99971084334008609</v>
      </c>
      <c r="Y20" s="296">
        <f t="shared" si="12"/>
        <v>0</v>
      </c>
      <c r="Z20" s="112">
        <f t="shared" si="1"/>
        <v>12.183118144958399</v>
      </c>
      <c r="AA20" s="112">
        <f t="shared" si="1"/>
        <v>1.6317419999998799E-2</v>
      </c>
      <c r="AB20" s="112">
        <f t="shared" si="1"/>
        <v>7.2289249999995999E-3</v>
      </c>
      <c r="AC20" s="112">
        <f t="shared" si="1"/>
        <v>10.1155126801637</v>
      </c>
      <c r="AD20" s="112">
        <f t="shared" si="1"/>
        <v>15</v>
      </c>
      <c r="AE20" s="112">
        <f t="shared" si="1"/>
        <v>14.999999999999901</v>
      </c>
      <c r="AF20" s="252">
        <f t="shared" si="1"/>
        <v>10</v>
      </c>
      <c r="AG20" s="112"/>
      <c r="AI20" t="s">
        <v>355</v>
      </c>
      <c r="AJ20">
        <v>0</v>
      </c>
      <c r="AK20">
        <v>0.23300000000000001</v>
      </c>
      <c r="AL20">
        <v>42.892000000000003</v>
      </c>
      <c r="AM20">
        <v>964.96</v>
      </c>
      <c r="AN20">
        <v>727.74199999999996</v>
      </c>
      <c r="AO20">
        <v>12.648</v>
      </c>
      <c r="AP20">
        <v>0.59899999999999998</v>
      </c>
      <c r="AQ20">
        <v>431.52199999999999</v>
      </c>
      <c r="AR20">
        <v>19.709</v>
      </c>
      <c r="AS20">
        <v>2200.3029999999999</v>
      </c>
      <c r="AT20">
        <f t="shared" si="2"/>
        <v>507.36799999999988</v>
      </c>
      <c r="AX20" s="25" t="str">
        <f t="shared" si="3"/>
        <v>Shock tms("ctl","China","USA") = 0.0;</v>
      </c>
      <c r="AY20" t="str">
        <f t="shared" si="4"/>
        <v>Shock tms("ctl","ROW","USA") = 12.2;</v>
      </c>
      <c r="AZ20" t="str">
        <f t="shared" si="5"/>
        <v>Shock tms("ctl","Canada","USA") = 0.0;</v>
      </c>
      <c r="BA20" t="str">
        <f t="shared" si="6"/>
        <v>Shock tms("ctl","Mexico","USA") = 0.0;</v>
      </c>
      <c r="BB20" t="str">
        <f t="shared" si="7"/>
        <v>Shock tms("ctl","FTROW","USA") = 10.1;</v>
      </c>
      <c r="BC20" t="str">
        <f t="shared" si="8"/>
        <v>Shock tms("ctl","Japan","USA") = 15.0;</v>
      </c>
      <c r="BD20" t="str">
        <f t="shared" si="9"/>
        <v>Shock tms("ctl","EU","USA") = 15.0;</v>
      </c>
      <c r="BE20" t="str">
        <f t="shared" si="10"/>
        <v>Shock tms("ctl","UK","USA") = 10.0;</v>
      </c>
    </row>
    <row r="21" spans="1:57" ht="14.45">
      <c r="A21" s="231" t="s">
        <v>2189</v>
      </c>
      <c r="B21">
        <f>SUMPRODUCT('APRIL 2 WORKSHEET'!$N$17:$N$249,'APRIL 2 WORKSHEET'!$M$17:$M$249,'APRIL 2 WORKSHEET'!$B$17:$B$249)/SUMPRODUCT('APRIL 2 WORKSHEET'!$B$17:$B$249,'APRIL 2 WORKSHEET'!$M$17:$M$249)</f>
        <v>15.080227537665506</v>
      </c>
      <c r="C21" s="240">
        <f>SUMPRODUCT('APRIL 2 WORKSHEET'!$B$17:$B$249,'APRIL 2 WORKSHEET'!$M$17:$M$249)/SUMPRODUCT('APRIL 2 WORKSHEET'!$K$17:$K$249,'APRIL 2 WORKSHEET'!$B$17:$B$249)</f>
        <v>0.57181871253154204</v>
      </c>
      <c r="K21" s="306">
        <v>1</v>
      </c>
      <c r="L21" s="28" t="s">
        <v>360</v>
      </c>
      <c r="M21">
        <f t="shared" si="13"/>
        <v>0.50452668557409841</v>
      </c>
      <c r="N21" s="232">
        <f t="shared" si="14"/>
        <v>0.65947758752105545</v>
      </c>
      <c r="O21" t="str">
        <f t="shared" si="11"/>
        <v>oap</v>
      </c>
      <c r="P21" s="306" t="s">
        <v>359</v>
      </c>
      <c r="Q21" t="s">
        <v>358</v>
      </c>
      <c r="R21">
        <f>ricco_price_effects_and_etr!Y54</f>
        <v>10813</v>
      </c>
      <c r="S21">
        <f>ricco_price_effects_and_etr!Z54</f>
        <v>609</v>
      </c>
      <c r="T21" s="232">
        <f>ricco_price_effects_and_etr!AA54</f>
        <v>11423</v>
      </c>
      <c r="V21" s="231">
        <f>'Full Imports'!$T$6</f>
        <v>0.99953378810863414</v>
      </c>
      <c r="W21" s="232" cm="1">
        <f t="array" aca="1" ref="W21" ca="1">OFFSET(INDIRECT(REPLACE(_xlfn.FORMULATEXT(V21),1,1,"")),32,0)</f>
        <v>0.99971084334008609</v>
      </c>
      <c r="Y21" s="296">
        <f t="shared" si="12"/>
        <v>19.983430914435601</v>
      </c>
      <c r="Z21" s="112">
        <f t="shared" si="1"/>
        <v>14.9387073665223</v>
      </c>
      <c r="AA21" s="112">
        <f t="shared" si="1"/>
        <v>1.6317419999998799E-2</v>
      </c>
      <c r="AB21" s="112">
        <f t="shared" si="1"/>
        <v>7.2289249999995999E-3</v>
      </c>
      <c r="AC21" s="112">
        <f t="shared" si="1"/>
        <v>10.443276517251601</v>
      </c>
      <c r="AD21" s="112">
        <f t="shared" si="1"/>
        <v>15</v>
      </c>
      <c r="AE21" s="112">
        <f t="shared" si="1"/>
        <v>14.998871464544999</v>
      </c>
      <c r="AF21" s="252">
        <f t="shared" si="1"/>
        <v>10</v>
      </c>
      <c r="AG21" s="112"/>
      <c r="AI21" t="s">
        <v>358</v>
      </c>
      <c r="AJ21">
        <v>0</v>
      </c>
      <c r="AK21">
        <v>224.84800000000001</v>
      </c>
      <c r="AL21">
        <v>727.53300000000002</v>
      </c>
      <c r="AM21">
        <v>674.03499999999997</v>
      </c>
      <c r="AN21">
        <v>102.997</v>
      </c>
      <c r="AO21">
        <v>96.278999999999996</v>
      </c>
      <c r="AP21">
        <v>0.185</v>
      </c>
      <c r="AQ21">
        <v>160.31299999999999</v>
      </c>
      <c r="AR21">
        <v>18.553999999999998</v>
      </c>
      <c r="AS21">
        <v>2004.7429999999999</v>
      </c>
      <c r="AT21">
        <f t="shared" si="2"/>
        <v>1002.8629999999998</v>
      </c>
      <c r="AX21" s="25" t="str">
        <f t="shared" si="3"/>
        <v>Shock tms("oap","China","USA") = 20.0;</v>
      </c>
      <c r="AY21" t="str">
        <f t="shared" si="4"/>
        <v>Shock tms("oap","ROW","USA") = 14.9;</v>
      </c>
      <c r="AZ21" t="str">
        <f t="shared" si="5"/>
        <v>Shock tms("oap","Canada","USA") = 0.0;</v>
      </c>
      <c r="BA21" t="str">
        <f t="shared" si="6"/>
        <v>Shock tms("oap","Mexico","USA") = 0.0;</v>
      </c>
      <c r="BB21" t="str">
        <f t="shared" si="7"/>
        <v>Shock tms("oap","FTROW","USA") = 10.4;</v>
      </c>
      <c r="BC21" t="str">
        <f t="shared" si="8"/>
        <v>Shock tms("oap","Japan","USA") = 15.0;</v>
      </c>
      <c r="BD21" t="str">
        <f t="shared" si="9"/>
        <v>Shock tms("oap","EU","USA") = 15.0;</v>
      </c>
      <c r="BE21" t="str">
        <f t="shared" si="10"/>
        <v>Shock tms("oap","UK","USA") = 10.0;</v>
      </c>
    </row>
    <row r="22" spans="1:57" ht="14.45">
      <c r="A22" s="231" t="s">
        <v>2190</v>
      </c>
      <c r="B22">
        <f>SUMPRODUCT('APRIL 2 WORKSHEET'!$P$17:$P$249,'APRIL 2 WORKSHEET'!$O$17:$O$249,'APRIL 2 WORKSHEET'!$B$17:$B$249)/SUMPRODUCT('APRIL 2 WORKSHEET'!$B$17:$B$249,'APRIL 2 WORKSHEET'!$O$17:$O$249)</f>
        <v>27.346641156938158</v>
      </c>
      <c r="C22" s="241">
        <f>SUMPRODUCT('APRIL 2 WORKSHEET'!$B$17:$B$249,'APRIL 2 WORKSHEET'!$O$17:$O$249)/SUMPRODUCT('APRIL 2 WORKSHEET'!$L$17:$L$249,'APRIL 2 WORKSHEET'!$B$17:$B$249)</f>
        <v>0.94015863521758458</v>
      </c>
      <c r="K22" s="306">
        <v>1</v>
      </c>
      <c r="L22" s="28" t="s">
        <v>363</v>
      </c>
      <c r="M22">
        <f t="shared" si="13"/>
        <v>0</v>
      </c>
      <c r="N22" s="232">
        <f t="shared" si="14"/>
        <v>0</v>
      </c>
      <c r="O22" t="e">
        <f t="shared" si="11"/>
        <v>#N/A</v>
      </c>
      <c r="P22" s="306" t="s">
        <v>362</v>
      </c>
      <c r="Q22" t="s">
        <v>361</v>
      </c>
      <c r="R22">
        <f>ricco_price_effects_and_etr!Y55</f>
        <v>2575</v>
      </c>
      <c r="S22">
        <f>ricco_price_effects_and_etr!Z55</f>
        <v>3.3</v>
      </c>
      <c r="T22" s="232">
        <f>ricco_price_effects_and_etr!AA55</f>
        <v>2578</v>
      </c>
      <c r="V22" s="231">
        <f>'Full Imports'!$T$6</f>
        <v>0.99953378810863414</v>
      </c>
      <c r="W22" s="232" cm="1">
        <f t="array" aca="1" ref="W22" ca="1">OFFSET(INDIRECT(REPLACE(_xlfn.FORMULATEXT(V22),1,1,"")),32,0)</f>
        <v>0.99971084334008609</v>
      </c>
      <c r="Y22" s="296"/>
      <c r="Z22" s="112"/>
      <c r="AA22" s="112"/>
      <c r="AB22" s="112"/>
      <c r="AC22" s="112"/>
      <c r="AD22" s="112"/>
      <c r="AE22" s="112"/>
      <c r="AF22" s="252"/>
      <c r="AG22" s="112"/>
      <c r="AI22" t="s">
        <v>361</v>
      </c>
      <c r="AJ22">
        <v>0</v>
      </c>
      <c r="AK22">
        <v>0.14699999999999999</v>
      </c>
      <c r="AL22">
        <v>4.9169999999999998</v>
      </c>
      <c r="AM22">
        <v>6.3E-2</v>
      </c>
      <c r="AN22">
        <v>3.6999999999999998E-2</v>
      </c>
      <c r="AO22">
        <v>0.20899999999999999</v>
      </c>
      <c r="AP22">
        <v>0.01</v>
      </c>
      <c r="AQ22">
        <v>1.1499999999999999</v>
      </c>
      <c r="AR22">
        <v>0.04</v>
      </c>
      <c r="AS22">
        <v>6.5709999999999997</v>
      </c>
      <c r="AT22">
        <f t="shared" si="2"/>
        <v>6.3239999999999998</v>
      </c>
      <c r="AX22" s="25" t="str">
        <f t="shared" si="3"/>
        <v>Shock tms("rmk","China","USA") = 0.0;</v>
      </c>
      <c r="AY22" t="str">
        <f t="shared" si="4"/>
        <v>Shock tms("rmk","ROW","USA") = 0.0;</v>
      </c>
      <c r="AZ22" t="str">
        <f t="shared" si="5"/>
        <v>Shock tms("rmk","Canada","USA") = 0.0;</v>
      </c>
      <c r="BA22" t="str">
        <f t="shared" si="6"/>
        <v>Shock tms("rmk","Mexico","USA") = 0.0;</v>
      </c>
      <c r="BB22" t="str">
        <f t="shared" si="7"/>
        <v>Shock tms("rmk","FTROW","USA") = 0.0;</v>
      </c>
      <c r="BC22" t="str">
        <f t="shared" si="8"/>
        <v>Shock tms("rmk","Japan","USA") = 0.0;</v>
      </c>
      <c r="BD22" t="str">
        <f t="shared" si="9"/>
        <v>Shock tms("rmk","EU","USA") = 0.0;</v>
      </c>
      <c r="BE22" t="str">
        <f t="shared" si="10"/>
        <v>Shock tms("rmk","UK","USA") = 0.0;</v>
      </c>
    </row>
    <row r="23" spans="1:57" ht="15" thickBot="1">
      <c r="A23" s="242" t="s">
        <v>2191</v>
      </c>
      <c r="B23" s="269">
        <v>0.16500000000000001</v>
      </c>
      <c r="C23" s="234"/>
      <c r="K23" s="306">
        <v>0</v>
      </c>
      <c r="L23" s="28" t="s">
        <v>366</v>
      </c>
      <c r="M23">
        <f t="shared" si="13"/>
        <v>0.12443198854331131</v>
      </c>
      <c r="N23" s="232">
        <f t="shared" si="14"/>
        <v>0.16264770518850705</v>
      </c>
      <c r="O23" t="str">
        <f t="shared" si="11"/>
        <v>wol</v>
      </c>
      <c r="P23" s="306" t="s">
        <v>365</v>
      </c>
      <c r="Q23" t="s">
        <v>364</v>
      </c>
      <c r="R23">
        <f>ricco_price_effects_and_etr!Y56</f>
        <v>494</v>
      </c>
      <c r="S23">
        <f>ricco_price_effects_and_etr!Z56</f>
        <v>5.49</v>
      </c>
      <c r="T23" s="232">
        <f>ricco_price_effects_and_etr!AA56</f>
        <v>499</v>
      </c>
      <c r="V23" s="231">
        <f>'Full Imports'!$T$7</f>
        <v>0.99625591898219679</v>
      </c>
      <c r="W23" s="232" cm="1">
        <f t="array" aca="1" ref="W23" ca="1">OFFSET(INDIRECT(REPLACE(_xlfn.FORMULATEXT(V23),1,1,"")),32,0)</f>
        <v>0.9688430813809743</v>
      </c>
      <c r="Y23" s="296">
        <f t="shared" si="12"/>
        <v>20</v>
      </c>
      <c r="Z23" s="112">
        <f t="shared" si="1"/>
        <v>10.3070965309669</v>
      </c>
      <c r="AA23" s="112">
        <f t="shared" si="1"/>
        <v>0.131042835</v>
      </c>
      <c r="AB23" s="112">
        <f t="shared" si="1"/>
        <v>0.77892297499999796</v>
      </c>
      <c r="AC23" s="112">
        <f t="shared" si="1"/>
        <v>10</v>
      </c>
      <c r="AD23" s="112">
        <f t="shared" si="1"/>
        <v>0</v>
      </c>
      <c r="AE23" s="112">
        <f t="shared" si="1"/>
        <v>15</v>
      </c>
      <c r="AF23" s="252">
        <f t="shared" si="1"/>
        <v>10</v>
      </c>
      <c r="AG23" s="112"/>
      <c r="AI23" t="s">
        <v>364</v>
      </c>
      <c r="AJ23">
        <v>0</v>
      </c>
      <c r="AK23">
        <v>0.26700000000000002</v>
      </c>
      <c r="AL23">
        <v>1.9359999999999999</v>
      </c>
      <c r="AM23">
        <v>0.91300000000000003</v>
      </c>
      <c r="AN23">
        <v>8.5000000000000006E-2</v>
      </c>
      <c r="AO23">
        <v>2.2650000000000001</v>
      </c>
      <c r="AP23">
        <v>8.0000000000000002E-3</v>
      </c>
      <c r="AQ23">
        <v>4.05</v>
      </c>
      <c r="AR23">
        <v>0.88900000000000001</v>
      </c>
      <c r="AS23">
        <v>10.413</v>
      </c>
      <c r="AT23">
        <f t="shared" si="2"/>
        <v>9.1479999999999997</v>
      </c>
      <c r="AX23" s="25" t="str">
        <f t="shared" si="3"/>
        <v>Shock tms("wol","China","USA") = 20.0;</v>
      </c>
      <c r="AY23" t="str">
        <f t="shared" si="4"/>
        <v>Shock tms("wol","ROW","USA") = 10.3;</v>
      </c>
      <c r="AZ23" t="str">
        <f t="shared" si="5"/>
        <v>Shock tms("wol","Canada","USA") = 0.1;</v>
      </c>
      <c r="BA23" t="str">
        <f t="shared" si="6"/>
        <v>Shock tms("wol","Mexico","USA") = 0.8;</v>
      </c>
      <c r="BB23" t="str">
        <f t="shared" si="7"/>
        <v>Shock tms("wol","FTROW","USA") = 10.0;</v>
      </c>
      <c r="BC23" t="str">
        <f t="shared" si="8"/>
        <v>Shock tms("wol","Japan","USA") = 0.0;</v>
      </c>
      <c r="BD23" t="str">
        <f t="shared" si="9"/>
        <v>Shock tms("wol","EU","USA") = 15.0;</v>
      </c>
      <c r="BE23" t="str">
        <f t="shared" si="10"/>
        <v>Shock tms("wol","UK","USA") = 10.0;</v>
      </c>
    </row>
    <row r="24" spans="1:57" ht="15" thickBot="1">
      <c r="K24" s="306">
        <v>0</v>
      </c>
      <c r="L24" s="322" t="s">
        <v>369</v>
      </c>
      <c r="M24" s="185">
        <f t="shared" si="13"/>
        <v>0.74595884390012934</v>
      </c>
      <c r="N24" s="282">
        <f t="shared" si="14"/>
        <v>0.97505870914533144</v>
      </c>
      <c r="O24" t="str">
        <f t="shared" si="11"/>
        <v>frs</v>
      </c>
      <c r="P24" s="307" t="s">
        <v>368</v>
      </c>
      <c r="Q24" s="185" t="s">
        <v>367</v>
      </c>
      <c r="R24" s="185">
        <f>ricco_price_effects_and_etr!Y57</f>
        <v>545</v>
      </c>
      <c r="S24" s="185">
        <f>ricco_price_effects_and_etr!Z57</f>
        <v>47.7</v>
      </c>
      <c r="T24" s="282">
        <f>ricco_price_effects_and_etr!AA57</f>
        <v>593</v>
      </c>
      <c r="U24" s="185"/>
      <c r="V24" s="281">
        <f>'Full Imports'!$T$7</f>
        <v>0.99625591898219679</v>
      </c>
      <c r="W24" s="282" cm="1">
        <f t="array" aca="1" ref="W24" ca="1">OFFSET(INDIRECT(REPLACE(_xlfn.FORMULATEXT(V24),1,1,"")),32,0)</f>
        <v>0.9688430813809743</v>
      </c>
      <c r="X24" s="185"/>
      <c r="Y24" s="296">
        <f t="shared" si="12"/>
        <v>17.429952274658199</v>
      </c>
      <c r="Z24" s="112">
        <f t="shared" si="1"/>
        <v>12.329861123004401</v>
      </c>
      <c r="AA24" s="112">
        <f t="shared" si="1"/>
        <v>5.0682783203596102</v>
      </c>
      <c r="AB24" s="112">
        <f t="shared" si="1"/>
        <v>0.78630595756472099</v>
      </c>
      <c r="AC24" s="112">
        <f t="shared" si="1"/>
        <v>9.3178614324360396</v>
      </c>
      <c r="AD24" s="112">
        <f t="shared" si="1"/>
        <v>5.91348009071727</v>
      </c>
      <c r="AE24" s="112">
        <f t="shared" si="1"/>
        <v>12.855964966473501</v>
      </c>
      <c r="AF24" s="252">
        <f t="shared" si="1"/>
        <v>9.5188795959988699</v>
      </c>
      <c r="AG24" s="297"/>
      <c r="AI24" t="s">
        <v>367</v>
      </c>
      <c r="AJ24">
        <v>0</v>
      </c>
      <c r="AK24">
        <v>27.158999999999999</v>
      </c>
      <c r="AL24">
        <v>114.84</v>
      </c>
      <c r="AM24">
        <v>79.951999999999998</v>
      </c>
      <c r="AN24">
        <v>55.35</v>
      </c>
      <c r="AO24">
        <v>46.579000000000001</v>
      </c>
      <c r="AP24">
        <v>1.2949999999999999</v>
      </c>
      <c r="AQ24">
        <v>65.641000000000005</v>
      </c>
      <c r="AR24">
        <v>2.7269999999999999</v>
      </c>
      <c r="AS24">
        <v>393.54399999999998</v>
      </c>
      <c r="AT24">
        <f t="shared" si="2"/>
        <v>231.08299999999997</v>
      </c>
      <c r="AX24" s="25" t="str">
        <f t="shared" si="3"/>
        <v>Shock tms("frs","China","USA") = 17.4;</v>
      </c>
      <c r="AY24" t="str">
        <f t="shared" si="4"/>
        <v>Shock tms("frs","ROW","USA") = 12.3;</v>
      </c>
      <c r="AZ24" t="str">
        <f t="shared" si="5"/>
        <v>Shock tms("frs","Canada","USA") = 5.1;</v>
      </c>
      <c r="BA24" t="str">
        <f t="shared" si="6"/>
        <v>Shock tms("frs","Mexico","USA") = 0.8;</v>
      </c>
      <c r="BB24" t="str">
        <f t="shared" si="7"/>
        <v>Shock tms("frs","FTROW","USA") = 9.3;</v>
      </c>
      <c r="BC24" t="str">
        <f t="shared" si="8"/>
        <v>Shock tms("frs","Japan","USA") = 5.9;</v>
      </c>
      <c r="BD24" t="str">
        <f t="shared" si="9"/>
        <v>Shock tms("frs","EU","USA") = 12.9;</v>
      </c>
      <c r="BE24" t="str">
        <f t="shared" si="10"/>
        <v>Shock tms("frs","UK","USA") = 9.5;</v>
      </c>
    </row>
    <row r="25" spans="1:57" ht="14.45">
      <c r="A25" s="229" t="s">
        <v>2192</v>
      </c>
      <c r="B25" s="230"/>
      <c r="K25" s="306">
        <v>1</v>
      </c>
      <c r="L25" s="28" t="s">
        <v>372</v>
      </c>
      <c r="M25">
        <f t="shared" si="13"/>
        <v>1.5544359375286816</v>
      </c>
      <c r="N25" s="232">
        <f t="shared" si="14"/>
        <v>2.031836355436722</v>
      </c>
      <c r="O25" t="str">
        <f t="shared" si="11"/>
        <v>fsh</v>
      </c>
      <c r="P25" s="306" t="s">
        <v>371</v>
      </c>
      <c r="Q25" t="s">
        <v>370</v>
      </c>
      <c r="R25">
        <f>ricco_price_effects_and_etr!Y58</f>
        <v>3418</v>
      </c>
      <c r="S25">
        <f>ricco_price_effects_and_etr!Z58</f>
        <v>1021</v>
      </c>
      <c r="T25" s="232">
        <f>ricco_price_effects_and_etr!AA58</f>
        <v>4439</v>
      </c>
      <c r="V25" s="231">
        <f>'Full Imports'!$T$8</f>
        <v>0.99948879420052761</v>
      </c>
      <c r="W25" s="232" cm="1">
        <f t="array" aca="1" ref="W25" ca="1">OFFSET(INDIRECT(REPLACE(_xlfn.FORMULATEXT(V25),1,1,"")),32,0)</f>
        <v>1</v>
      </c>
      <c r="Y25" s="296">
        <f t="shared" si="12"/>
        <v>19.169954529828999</v>
      </c>
      <c r="Z25" s="112">
        <f t="shared" si="1"/>
        <v>13.364109133052599</v>
      </c>
      <c r="AA25" s="112">
        <f t="shared" si="1"/>
        <v>1.7892209999999499E-2</v>
      </c>
      <c r="AB25" s="112">
        <f t="shared" si="1"/>
        <v>0</v>
      </c>
      <c r="AC25" s="112">
        <f t="shared" si="1"/>
        <v>11.612171314966799</v>
      </c>
      <c r="AD25" s="112">
        <f t="shared" si="1"/>
        <v>14.9979727339473</v>
      </c>
      <c r="AE25" s="112">
        <f t="shared" si="1"/>
        <v>14.9698277012938</v>
      </c>
      <c r="AF25" s="252">
        <f t="shared" si="1"/>
        <v>9.9998566759986307</v>
      </c>
      <c r="AG25" s="112"/>
      <c r="AI25" t="s">
        <v>370</v>
      </c>
      <c r="AJ25">
        <v>0</v>
      </c>
      <c r="AK25">
        <v>7.7789999999999999</v>
      </c>
      <c r="AL25">
        <v>943.38499999999999</v>
      </c>
      <c r="AM25">
        <v>1322.002</v>
      </c>
      <c r="AN25">
        <v>120.91500000000001</v>
      </c>
      <c r="AO25">
        <v>258.27600000000001</v>
      </c>
      <c r="AP25">
        <v>41.576000000000001</v>
      </c>
      <c r="AQ25">
        <v>97.346999999999994</v>
      </c>
      <c r="AR25">
        <v>309.66899999999998</v>
      </c>
      <c r="AS25">
        <v>3100.9490000000001</v>
      </c>
      <c r="AT25">
        <f t="shared" si="2"/>
        <v>1650.2530000000002</v>
      </c>
      <c r="AX25" s="25" t="str">
        <f t="shared" si="3"/>
        <v>Shock tms("fsh","China","USA") = 19.2;</v>
      </c>
      <c r="AY25" t="str">
        <f t="shared" si="4"/>
        <v>Shock tms("fsh","ROW","USA") = 13.4;</v>
      </c>
      <c r="AZ25" t="str">
        <f t="shared" si="5"/>
        <v>Shock tms("fsh","Canada","USA") = 0.0;</v>
      </c>
      <c r="BA25" t="str">
        <f t="shared" si="6"/>
        <v>Shock tms("fsh","Mexico","USA") = 0.0;</v>
      </c>
      <c r="BB25" t="str">
        <f t="shared" si="7"/>
        <v>Shock tms("fsh","FTROW","USA") = 11.6;</v>
      </c>
      <c r="BC25" t="str">
        <f t="shared" si="8"/>
        <v>Shock tms("fsh","Japan","USA") = 15.0;</v>
      </c>
      <c r="BD25" t="str">
        <f t="shared" si="9"/>
        <v>Shock tms("fsh","EU","USA") = 15.0;</v>
      </c>
      <c r="BE25" t="str">
        <f t="shared" si="10"/>
        <v>Shock tms("fsh","UK","USA") = 10.0;</v>
      </c>
    </row>
    <row r="26" spans="1:57" ht="14.45">
      <c r="A26" s="231" t="s">
        <v>2193</v>
      </c>
      <c r="B26" s="270">
        <v>35</v>
      </c>
      <c r="K26" s="306">
        <v>0</v>
      </c>
      <c r="L26" s="322" t="s">
        <v>375</v>
      </c>
      <c r="M26" s="185">
        <f t="shared" si="13"/>
        <v>1.5261628284509677E-4</v>
      </c>
      <c r="N26" s="282">
        <f t="shared" si="14"/>
        <v>1.9948799717618449E-4</v>
      </c>
      <c r="O26" t="str">
        <f t="shared" si="11"/>
        <v>coa</v>
      </c>
      <c r="P26" s="307" t="s">
        <v>374</v>
      </c>
      <c r="Q26" s="185" t="s">
        <v>373</v>
      </c>
      <c r="R26" s="185">
        <f>ricco_price_effects_and_etr!Y59</f>
        <v>16</v>
      </c>
      <c r="S26" s="185">
        <f>ricco_price_effects_and_etr!Z59</f>
        <v>0.14199999999999999</v>
      </c>
      <c r="T26" s="282">
        <f>ricco_price_effects_and_etr!AA59</f>
        <v>16.2</v>
      </c>
      <c r="U26" s="185"/>
      <c r="V26" s="281">
        <f>'Full Imports'!$T$10</f>
        <v>0.99297167644091278</v>
      </c>
      <c r="W26" s="282" cm="1">
        <f t="array" aca="1" ref="W26" ca="1">OFFSET(INDIRECT(REPLACE(_xlfn.FORMULATEXT(V26),1,1,"")),31,0)</f>
        <v>0.6282754329213911</v>
      </c>
      <c r="X26" s="185"/>
      <c r="Y26" s="296">
        <f t="shared" si="12"/>
        <v>10</v>
      </c>
      <c r="Z26" s="112">
        <f t="shared" si="1"/>
        <v>0</v>
      </c>
      <c r="AA26" s="112">
        <f t="shared" si="1"/>
        <v>7.7975495544812895E-2</v>
      </c>
      <c r="AB26" s="112">
        <f t="shared" si="1"/>
        <v>9.2931141749999995</v>
      </c>
      <c r="AC26" s="112">
        <f t="shared" si="1"/>
        <v>0</v>
      </c>
      <c r="AD26" s="112">
        <f t="shared" si="1"/>
        <v>0</v>
      </c>
      <c r="AE26" s="112">
        <f t="shared" si="1"/>
        <v>0</v>
      </c>
      <c r="AF26" s="252">
        <f t="shared" si="1"/>
        <v>0</v>
      </c>
      <c r="AG26" s="297"/>
      <c r="AI26" t="s">
        <v>373</v>
      </c>
      <c r="AJ26">
        <v>0</v>
      </c>
      <c r="AK26">
        <v>7.2999999999999995E-2</v>
      </c>
      <c r="AL26">
        <v>44.762999999999998</v>
      </c>
      <c r="AM26">
        <v>74.775999999999996</v>
      </c>
      <c r="AN26">
        <v>8.5999999999999993E-2</v>
      </c>
      <c r="AO26">
        <v>302.51499999999999</v>
      </c>
      <c r="AP26">
        <v>0</v>
      </c>
      <c r="AQ26">
        <v>0.48499999999999999</v>
      </c>
      <c r="AR26">
        <v>1.4E-2</v>
      </c>
      <c r="AS26">
        <v>422.71199999999999</v>
      </c>
      <c r="AT26">
        <f t="shared" si="2"/>
        <v>347.77699999999999</v>
      </c>
      <c r="AX26" s="25" t="str">
        <f t="shared" si="3"/>
        <v>Shock tms("coa","China","USA") = 10.0;</v>
      </c>
      <c r="AY26" t="str">
        <f t="shared" si="4"/>
        <v>Shock tms("coa","ROW","USA") = 0.0;</v>
      </c>
      <c r="AZ26" t="str">
        <f t="shared" si="5"/>
        <v>Shock tms("coa","Canada","USA") = 0.1;</v>
      </c>
      <c r="BA26" t="str">
        <f t="shared" si="6"/>
        <v>Shock tms("coa","Mexico","USA") = 9.3;</v>
      </c>
      <c r="BB26" t="str">
        <f t="shared" si="7"/>
        <v>Shock tms("coa","FTROW","USA") = 0.0;</v>
      </c>
      <c r="BC26" t="str">
        <f t="shared" si="8"/>
        <v>Shock tms("coa","Japan","USA") = 0.0;</v>
      </c>
      <c r="BD26" t="str">
        <f t="shared" si="9"/>
        <v>Shock tms("coa","EU","USA") = 0.0;</v>
      </c>
      <c r="BE26" t="str">
        <f t="shared" si="10"/>
        <v>Shock tms("coa","UK","USA") = 0.0;</v>
      </c>
    </row>
    <row r="27" spans="1:57" ht="14.45">
      <c r="A27" s="231" t="s">
        <v>2194</v>
      </c>
      <c r="B27" s="270">
        <v>10</v>
      </c>
      <c r="K27" s="306">
        <v>0</v>
      </c>
      <c r="L27" s="322" t="s">
        <v>378</v>
      </c>
      <c r="M27" s="185">
        <f t="shared" si="13"/>
        <v>0.46497386621321396</v>
      </c>
      <c r="N27" s="282">
        <f t="shared" si="14"/>
        <v>0.60777725404495586</v>
      </c>
      <c r="O27" t="str">
        <f t="shared" si="11"/>
        <v>oil</v>
      </c>
      <c r="P27" s="307" t="s">
        <v>377</v>
      </c>
      <c r="Q27" s="185" t="s">
        <v>376</v>
      </c>
      <c r="R27" s="185">
        <f>ricco_price_effects_and_etr!Y60</f>
        <v>4.3999999999999997E-2</v>
      </c>
      <c r="S27" s="185">
        <f>ricco_price_effects_and_etr!Z60</f>
        <v>0.06</v>
      </c>
      <c r="T27" s="282">
        <f>ricco_price_effects_and_etr!AA60</f>
        <v>0.104</v>
      </c>
      <c r="U27" s="185"/>
      <c r="V27" s="281">
        <f>'Full Imports'!$T$10</f>
        <v>0.99297167644091278</v>
      </c>
      <c r="W27" s="282" cm="1">
        <f t="array" aca="1" ref="W27" ca="1">OFFSET(INDIRECT(REPLACE(_xlfn.FORMULATEXT(V27),1,1,"")),31,0)</f>
        <v>0.6282754329213911</v>
      </c>
      <c r="X27" s="185"/>
      <c r="Y27" s="296">
        <f t="shared" si="12"/>
        <v>0</v>
      </c>
      <c r="Z27" s="112">
        <f t="shared" si="1"/>
        <v>0</v>
      </c>
      <c r="AA27" s="112">
        <f t="shared" si="1"/>
        <v>7.0283239999999705E-2</v>
      </c>
      <c r="AB27" s="112">
        <f t="shared" si="1"/>
        <v>9.2931141749999995</v>
      </c>
      <c r="AC27" s="112">
        <f t="shared" si="1"/>
        <v>0</v>
      </c>
      <c r="AD27" s="112">
        <f t="shared" si="1"/>
        <v>0</v>
      </c>
      <c r="AE27" s="112">
        <f t="shared" si="1"/>
        <v>0</v>
      </c>
      <c r="AF27" s="252">
        <f t="shared" si="1"/>
        <v>0</v>
      </c>
      <c r="AG27" s="297"/>
      <c r="AI27" t="s">
        <v>376</v>
      </c>
      <c r="AJ27">
        <v>0</v>
      </c>
      <c r="AK27">
        <v>35.723999999999997</v>
      </c>
      <c r="AL27">
        <v>72082.241999999998</v>
      </c>
      <c r="AM27">
        <v>46120.042999999998</v>
      </c>
      <c r="AN27">
        <v>11477.056</v>
      </c>
      <c r="AO27">
        <v>6351.848</v>
      </c>
      <c r="AP27">
        <v>3.7999999999999999E-2</v>
      </c>
      <c r="AQ27">
        <v>76.908000000000001</v>
      </c>
      <c r="AR27">
        <v>214.994</v>
      </c>
      <c r="AS27">
        <v>136358.85200000001</v>
      </c>
      <c r="AT27">
        <f t="shared" si="2"/>
        <v>78726.029000000024</v>
      </c>
      <c r="AX27" s="25" t="str">
        <f t="shared" si="3"/>
        <v>Shock tms("oil","China","USA") = 0.0;</v>
      </c>
      <c r="AY27" t="str">
        <f t="shared" si="4"/>
        <v>Shock tms("oil","ROW","USA") = 0.0;</v>
      </c>
      <c r="AZ27" t="str">
        <f t="shared" si="5"/>
        <v>Shock tms("oil","Canada","USA") = 0.1;</v>
      </c>
      <c r="BA27" t="str">
        <f t="shared" si="6"/>
        <v>Shock tms("oil","Mexico","USA") = 9.3;</v>
      </c>
      <c r="BB27" t="str">
        <f t="shared" si="7"/>
        <v>Shock tms("oil","FTROW","USA") = 0.0;</v>
      </c>
      <c r="BC27" t="str">
        <f t="shared" si="8"/>
        <v>Shock tms("oil","Japan","USA") = 0.0;</v>
      </c>
      <c r="BD27" t="str">
        <f t="shared" si="9"/>
        <v>Shock tms("oil","EU","USA") = 0.0;</v>
      </c>
      <c r="BE27" t="str">
        <f t="shared" si="10"/>
        <v>Shock tms("oil","UK","USA") = 0.0;</v>
      </c>
    </row>
    <row r="28" spans="1:57" ht="14.45">
      <c r="A28" s="231" t="s">
        <v>2195</v>
      </c>
      <c r="B28" s="270">
        <v>25</v>
      </c>
      <c r="K28" s="306">
        <v>0</v>
      </c>
      <c r="L28" s="322" t="s">
        <v>381</v>
      </c>
      <c r="M28" s="185">
        <f t="shared" si="13"/>
        <v>5.5740901021022228E-2</v>
      </c>
      <c r="N28" s="282">
        <f t="shared" si="14"/>
        <v>7.2860120153535199E-2</v>
      </c>
      <c r="O28" t="str">
        <f t="shared" si="11"/>
        <v>gas</v>
      </c>
      <c r="P28" s="307" t="s">
        <v>380</v>
      </c>
      <c r="Q28" s="185" t="s">
        <v>379</v>
      </c>
      <c r="R28" s="185">
        <f>ricco_price_effects_and_etr!Y61</f>
        <v>9.92</v>
      </c>
      <c r="S28" s="185">
        <f>ricco_price_effects_and_etr!Z61</f>
        <v>51.3</v>
      </c>
      <c r="T28" s="282">
        <f>ricco_price_effects_and_etr!AA61</f>
        <v>61.2</v>
      </c>
      <c r="U28" s="185"/>
      <c r="V28" s="281">
        <f>'Full Imports'!$T$10</f>
        <v>0.99297167644091278</v>
      </c>
      <c r="W28" s="282" cm="1">
        <f t="array" aca="1" ref="W28" ca="1">OFFSET(INDIRECT(REPLACE(_xlfn.FORMULATEXT(V28),1,1,"")),31,0)</f>
        <v>0.6282754329213911</v>
      </c>
      <c r="X28" s="185"/>
      <c r="Y28" s="296">
        <f t="shared" si="12"/>
        <v>10</v>
      </c>
      <c r="Z28" s="112">
        <f t="shared" si="12"/>
        <v>0</v>
      </c>
      <c r="AA28" s="112">
        <f t="shared" si="12"/>
        <v>7.0283239999999705E-2</v>
      </c>
      <c r="AB28" s="112">
        <f t="shared" si="12"/>
        <v>9.2931141749999995</v>
      </c>
      <c r="AC28" s="112">
        <f t="shared" si="12"/>
        <v>0</v>
      </c>
      <c r="AD28" s="112">
        <f t="shared" si="12"/>
        <v>0</v>
      </c>
      <c r="AE28" s="112">
        <f t="shared" si="12"/>
        <v>0</v>
      </c>
      <c r="AF28" s="252">
        <f t="shared" si="12"/>
        <v>0</v>
      </c>
      <c r="AG28" s="297"/>
      <c r="AI28" t="s">
        <v>379</v>
      </c>
      <c r="AJ28">
        <v>0</v>
      </c>
      <c r="AK28">
        <v>1E-3</v>
      </c>
      <c r="AL28">
        <v>1003.5119999999999</v>
      </c>
      <c r="AM28">
        <v>17178.143</v>
      </c>
      <c r="AN28">
        <v>0.33600000000000002</v>
      </c>
      <c r="AO28">
        <v>15.638999999999999</v>
      </c>
      <c r="AP28">
        <v>0</v>
      </c>
      <c r="AQ28">
        <v>5.4139999999999997</v>
      </c>
      <c r="AR28">
        <v>5.1999999999999998E-2</v>
      </c>
      <c r="AS28">
        <v>18203.097000000002</v>
      </c>
      <c r="AT28">
        <f t="shared" si="2"/>
        <v>1024.6170000000022</v>
      </c>
      <c r="AX28" s="25" t="str">
        <f t="shared" si="3"/>
        <v>Shock tms("gas","China","USA") = 10.0;</v>
      </c>
      <c r="AY28" t="str">
        <f t="shared" si="4"/>
        <v>Shock tms("gas","ROW","USA") = 0.0;</v>
      </c>
      <c r="AZ28" t="str">
        <f t="shared" si="5"/>
        <v>Shock tms("gas","Canada","USA") = 0.1;</v>
      </c>
      <c r="BA28" t="str">
        <f t="shared" si="6"/>
        <v>Shock tms("gas","Mexico","USA") = 9.3;</v>
      </c>
      <c r="BB28" t="str">
        <f t="shared" si="7"/>
        <v>Shock tms("gas","FTROW","USA") = 0.0;</v>
      </c>
      <c r="BC28" t="str">
        <f t="shared" si="8"/>
        <v>Shock tms("gas","Japan","USA") = 0.0;</v>
      </c>
      <c r="BD28" t="str">
        <f t="shared" si="9"/>
        <v>Shock tms("gas","EU","USA") = 0.0;</v>
      </c>
      <c r="BE28" t="str">
        <f t="shared" si="10"/>
        <v>Shock tms("gas","UK","USA") = 0.0;</v>
      </c>
    </row>
    <row r="29" spans="1:57" ht="14.45">
      <c r="A29" s="231"/>
      <c r="B29" s="232"/>
      <c r="K29" s="306">
        <v>0</v>
      </c>
      <c r="L29" s="322" t="s">
        <v>384</v>
      </c>
      <c r="M29" s="185">
        <f t="shared" si="13"/>
        <v>0.79059495903746768</v>
      </c>
      <c r="N29" s="282">
        <f t="shared" si="14"/>
        <v>1.0334035269097046</v>
      </c>
      <c r="O29" t="str">
        <f t="shared" si="11"/>
        <v>oxt</v>
      </c>
      <c r="P29" s="307" t="s">
        <v>383</v>
      </c>
      <c r="Q29" s="185" t="s">
        <v>382</v>
      </c>
      <c r="R29" s="185">
        <f>ricco_price_effects_and_etr!Y62</f>
        <v>228</v>
      </c>
      <c r="S29" s="185">
        <f>ricco_price_effects_and_etr!Z62</f>
        <v>32.1</v>
      </c>
      <c r="T29" s="282">
        <f>ricco_price_effects_and_etr!AA62</f>
        <v>260</v>
      </c>
      <c r="U29" s="185"/>
      <c r="V29" s="281">
        <f>'Full Imports'!$T$11</f>
        <v>0.96263134344631962</v>
      </c>
      <c r="W29" s="282" cm="1">
        <f t="array" aca="1" ref="W29" ca="1">OFFSET(INDIRECT(REPLACE(_xlfn.FORMULATEXT(V29),1,1,"")),31,0)</f>
        <v>0.99861875517328869</v>
      </c>
      <c r="X29" s="185"/>
      <c r="Y29" s="296">
        <f t="shared" ref="Y29:AF57" si="15">INDEX($Z$83:$AG$127,MATCH($L29,$Y$83:$Y$127,0),MATCH(Y$11,$Z$82:$AG$82,0))</f>
        <v>11.8252485449632</v>
      </c>
      <c r="Z29" s="112">
        <f t="shared" si="15"/>
        <v>10.1829395019389</v>
      </c>
      <c r="AA29" s="112">
        <f t="shared" si="15"/>
        <v>1.2814146617683999</v>
      </c>
      <c r="AB29" s="112">
        <f t="shared" si="15"/>
        <v>3.4531125000000697E-2</v>
      </c>
      <c r="AC29" s="112">
        <f t="shared" si="15"/>
        <v>1.7404579983358599</v>
      </c>
      <c r="AD29" s="112">
        <f t="shared" si="15"/>
        <v>6.7070694866455796</v>
      </c>
      <c r="AE29" s="112">
        <f t="shared" si="15"/>
        <v>11.8735204033207</v>
      </c>
      <c r="AF29" s="252">
        <f t="shared" si="15"/>
        <v>9.19907587590661</v>
      </c>
      <c r="AG29" s="297"/>
      <c r="AI29" t="s">
        <v>382</v>
      </c>
      <c r="AJ29">
        <v>0</v>
      </c>
      <c r="AK29">
        <v>314.57900000000001</v>
      </c>
      <c r="AL29">
        <v>2645.9560000000001</v>
      </c>
      <c r="AM29">
        <v>1262.231</v>
      </c>
      <c r="AN29">
        <v>346.31900000000002</v>
      </c>
      <c r="AO29">
        <v>1297.5350000000001</v>
      </c>
      <c r="AP29">
        <v>52.326999999999998</v>
      </c>
      <c r="AQ29">
        <v>525.38099999999997</v>
      </c>
      <c r="AR29">
        <v>45.198</v>
      </c>
      <c r="AS29">
        <v>6489.5259999999998</v>
      </c>
      <c r="AT29">
        <f t="shared" si="2"/>
        <v>4566.3969999999999</v>
      </c>
      <c r="AX29" s="25" t="str">
        <f t="shared" si="3"/>
        <v>Shock tms("oxt","China","USA") = 11.8;</v>
      </c>
      <c r="AY29" t="str">
        <f t="shared" si="4"/>
        <v>Shock tms("oxt","ROW","USA") = 10.2;</v>
      </c>
      <c r="AZ29" t="str">
        <f t="shared" si="5"/>
        <v>Shock tms("oxt","Canada","USA") = 1.3;</v>
      </c>
      <c r="BA29" t="str">
        <f t="shared" si="6"/>
        <v>Shock tms("oxt","Mexico","USA") = 0.0;</v>
      </c>
      <c r="BB29" t="str">
        <f t="shared" si="7"/>
        <v>Shock tms("oxt","FTROW","USA") = 1.7;</v>
      </c>
      <c r="BC29" t="str">
        <f t="shared" si="8"/>
        <v>Shock tms("oxt","Japan","USA") = 6.7;</v>
      </c>
      <c r="BD29" t="str">
        <f t="shared" si="9"/>
        <v>Shock tms("oxt","EU","USA") = 11.9;</v>
      </c>
      <c r="BE29" t="str">
        <f t="shared" si="10"/>
        <v>Shock tms("oxt","UK","USA") = 9.2;</v>
      </c>
    </row>
    <row r="30" spans="1:57" ht="14.45">
      <c r="A30" s="231" t="s">
        <v>2196</v>
      </c>
      <c r="B30" s="270">
        <v>20</v>
      </c>
      <c r="K30" s="306">
        <v>1</v>
      </c>
      <c r="L30" s="28" t="s">
        <v>387</v>
      </c>
      <c r="M30">
        <f t="shared" si="13"/>
        <v>9.2051234346228389E-2</v>
      </c>
      <c r="N30" s="232">
        <f t="shared" si="14"/>
        <v>0.12032213100068091</v>
      </c>
      <c r="O30" t="str">
        <f t="shared" si="11"/>
        <v>cmt</v>
      </c>
      <c r="P30" s="306" t="s">
        <v>386</v>
      </c>
      <c r="Q30" t="s">
        <v>385</v>
      </c>
      <c r="R30">
        <f>ricco_price_effects_and_etr!Y63</f>
        <v>69343</v>
      </c>
      <c r="S30">
        <f>ricco_price_effects_and_etr!Z63</f>
        <v>3652</v>
      </c>
      <c r="T30" s="232">
        <f>ricco_price_effects_and_etr!AA63</f>
        <v>72995</v>
      </c>
      <c r="V30" s="231">
        <f>'Full Imports'!$T$12</f>
        <v>0.97345677236115047</v>
      </c>
      <c r="W30" s="232" cm="1">
        <f t="array" aca="1" ref="W30" ca="1">OFFSET(INDIRECT(REPLACE(_xlfn.FORMULATEXT(V30),1,1,"")),31,0)</f>
        <v>0.99453078893767699</v>
      </c>
      <c r="Y30" s="296">
        <f t="shared" si="15"/>
        <v>20</v>
      </c>
      <c r="Z30" s="112">
        <f t="shared" si="15"/>
        <v>1.2113250841522101</v>
      </c>
      <c r="AA30" s="112">
        <f t="shared" si="15"/>
        <v>0.92901297999999899</v>
      </c>
      <c r="AB30" s="112">
        <f t="shared" si="15"/>
        <v>0.13673027499999901</v>
      </c>
      <c r="AC30" s="112">
        <f t="shared" si="15"/>
        <v>2.5435838205669299</v>
      </c>
      <c r="AD30" s="112">
        <f t="shared" si="15"/>
        <v>0</v>
      </c>
      <c r="AE30" s="112">
        <f t="shared" si="15"/>
        <v>6.4443814936246397</v>
      </c>
      <c r="AF30" s="252">
        <f t="shared" si="15"/>
        <v>1.6810051002872799</v>
      </c>
      <c r="AG30" s="112"/>
      <c r="AI30" t="s">
        <v>385</v>
      </c>
      <c r="AJ30">
        <v>0</v>
      </c>
      <c r="AK30">
        <v>119.26300000000001</v>
      </c>
      <c r="AL30">
        <v>1467.9960000000001</v>
      </c>
      <c r="AM30">
        <v>1370.193</v>
      </c>
      <c r="AN30">
        <v>1090.614</v>
      </c>
      <c r="AO30">
        <v>2433.8310000000001</v>
      </c>
      <c r="AP30">
        <v>23.106999999999999</v>
      </c>
      <c r="AQ30">
        <v>41.984000000000002</v>
      </c>
      <c r="AR30">
        <v>6.2880000000000003</v>
      </c>
      <c r="AS30">
        <v>6553.277</v>
      </c>
      <c r="AT30">
        <f t="shared" si="2"/>
        <v>3973.2070000000003</v>
      </c>
      <c r="AX30" s="25" t="str">
        <f t="shared" si="3"/>
        <v>Shock tms("cmt","China","USA") = 20.0;</v>
      </c>
      <c r="AY30" t="str">
        <f t="shared" si="4"/>
        <v>Shock tms("cmt","ROW","USA") = 1.2;</v>
      </c>
      <c r="AZ30" t="str">
        <f t="shared" si="5"/>
        <v>Shock tms("cmt","Canada","USA") = 0.9;</v>
      </c>
      <c r="BA30" t="str">
        <f t="shared" si="6"/>
        <v>Shock tms("cmt","Mexico","USA") = 0.1;</v>
      </c>
      <c r="BB30" t="str">
        <f t="shared" si="7"/>
        <v>Shock tms("cmt","FTROW","USA") = 2.5;</v>
      </c>
      <c r="BC30" t="str">
        <f t="shared" si="8"/>
        <v>Shock tms("cmt","Japan","USA") = 0.0;</v>
      </c>
      <c r="BD30" t="str">
        <f t="shared" si="9"/>
        <v>Shock tms("cmt","EU","USA") = 6.4;</v>
      </c>
      <c r="BE30" t="str">
        <f t="shared" si="10"/>
        <v>Shock tms("cmt","UK","USA") = 1.7;</v>
      </c>
    </row>
    <row r="31" spans="1:57" ht="14.45">
      <c r="A31" s="231" t="s">
        <v>2197</v>
      </c>
      <c r="B31" s="270">
        <v>20</v>
      </c>
      <c r="K31" s="306">
        <v>1</v>
      </c>
      <c r="L31" s="28" t="s">
        <v>390</v>
      </c>
      <c r="M31">
        <f t="shared" si="13"/>
        <v>0.15136068454634222</v>
      </c>
      <c r="N31" s="232">
        <f t="shared" si="14"/>
        <v>0.19784677786978452</v>
      </c>
      <c r="O31" t="str">
        <f t="shared" si="11"/>
        <v>omt</v>
      </c>
      <c r="P31" s="306" t="s">
        <v>389</v>
      </c>
      <c r="Q31" t="s">
        <v>388</v>
      </c>
      <c r="R31">
        <f>ricco_price_effects_and_etr!Y64</f>
        <v>56714</v>
      </c>
      <c r="S31">
        <f>ricco_price_effects_and_etr!Z64</f>
        <v>1574</v>
      </c>
      <c r="T31" s="232">
        <f>ricco_price_effects_and_etr!AA64</f>
        <v>58288</v>
      </c>
      <c r="V31" s="231">
        <f>'Full Imports'!$T$12</f>
        <v>0.97345677236115047</v>
      </c>
      <c r="W31" s="232" cm="1">
        <f t="array" aca="1" ref="W31" ca="1">OFFSET(INDIRECT(REPLACE(_xlfn.FORMULATEXT(V31),1,1,"")),31,0)</f>
        <v>0.99453078893767699</v>
      </c>
      <c r="Y31" s="296">
        <f t="shared" si="15"/>
        <v>19.9964645691812</v>
      </c>
      <c r="Z31" s="112">
        <f t="shared" si="15"/>
        <v>2.8214865205670798</v>
      </c>
      <c r="AA31" s="112">
        <f t="shared" si="15"/>
        <v>0.92901297999999899</v>
      </c>
      <c r="AB31" s="112">
        <f t="shared" si="15"/>
        <v>0.13673027499999901</v>
      </c>
      <c r="AC31" s="112">
        <f t="shared" si="15"/>
        <v>9.7809603450133</v>
      </c>
      <c r="AD31" s="112">
        <f t="shared" si="15"/>
        <v>15</v>
      </c>
      <c r="AE31" s="112">
        <f t="shared" si="15"/>
        <v>14.995697924799</v>
      </c>
      <c r="AF31" s="252">
        <f t="shared" si="15"/>
        <v>10</v>
      </c>
      <c r="AG31" s="112"/>
      <c r="AI31" t="s">
        <v>388</v>
      </c>
      <c r="AJ31">
        <v>0</v>
      </c>
      <c r="AK31">
        <v>20.119</v>
      </c>
      <c r="AL31">
        <v>418.04300000000001</v>
      </c>
      <c r="AM31">
        <v>1463.4570000000001</v>
      </c>
      <c r="AN31">
        <v>76.489000000000004</v>
      </c>
      <c r="AO31">
        <v>231.83199999999999</v>
      </c>
      <c r="AP31">
        <v>0.36299999999999999</v>
      </c>
      <c r="AQ31">
        <v>746.55899999999997</v>
      </c>
      <c r="AR31">
        <v>34.963999999999999</v>
      </c>
      <c r="AS31">
        <v>2991.8249999999998</v>
      </c>
      <c r="AT31">
        <f t="shared" si="2"/>
        <v>1431.7599999999998</v>
      </c>
      <c r="AX31" s="25" t="str">
        <f t="shared" si="3"/>
        <v>Shock tms("omt","China","USA") = 20.0;</v>
      </c>
      <c r="AY31" t="str">
        <f t="shared" si="4"/>
        <v>Shock tms("omt","ROW","USA") = 2.8;</v>
      </c>
      <c r="AZ31" t="str">
        <f t="shared" si="5"/>
        <v>Shock tms("omt","Canada","USA") = 0.9;</v>
      </c>
      <c r="BA31" t="str">
        <f t="shared" si="6"/>
        <v>Shock tms("omt","Mexico","USA") = 0.1;</v>
      </c>
      <c r="BB31" t="str">
        <f t="shared" si="7"/>
        <v>Shock tms("omt","FTROW","USA") = 9.8;</v>
      </c>
      <c r="BC31" t="str">
        <f t="shared" si="8"/>
        <v>Shock tms("omt","Japan","USA") = 15.0;</v>
      </c>
      <c r="BD31" t="str">
        <f t="shared" si="9"/>
        <v>Shock tms("omt","EU","USA") = 15.0;</v>
      </c>
      <c r="BE31" t="str">
        <f t="shared" si="10"/>
        <v>Shock tms("omt","UK","USA") = 10.0;</v>
      </c>
    </row>
    <row r="32" spans="1:57" ht="14.45">
      <c r="A32" s="231" t="s">
        <v>2198</v>
      </c>
      <c r="B32" s="270">
        <v>10</v>
      </c>
      <c r="K32" s="306">
        <v>1</v>
      </c>
      <c r="L32" s="28" t="s">
        <v>393</v>
      </c>
      <c r="M32">
        <f t="shared" si="13"/>
        <v>1.4260674396141451</v>
      </c>
      <c r="N32" s="232">
        <f t="shared" si="14"/>
        <v>1.8640431549203798</v>
      </c>
      <c r="O32" t="str">
        <f t="shared" si="11"/>
        <v>vol</v>
      </c>
      <c r="P32" s="306" t="s">
        <v>392</v>
      </c>
      <c r="Q32" t="s">
        <v>391</v>
      </c>
      <c r="R32">
        <f>ricco_price_effects_and_etr!Y65</f>
        <v>8265</v>
      </c>
      <c r="S32">
        <f>ricco_price_effects_and_etr!Z65</f>
        <v>1530</v>
      </c>
      <c r="T32" s="232">
        <f>ricco_price_effects_and_etr!AA65</f>
        <v>9794</v>
      </c>
      <c r="V32" s="231">
        <f>'Full Imports'!$T$12</f>
        <v>0.97345677236115047</v>
      </c>
      <c r="W32" s="232" cm="1">
        <f t="array" aca="1" ref="W32" ca="1">OFFSET(INDIRECT(REPLACE(_xlfn.FORMULATEXT(V32),1,1,"")),31,0)</f>
        <v>0.99453078893767699</v>
      </c>
      <c r="Y32" s="296">
        <f t="shared" si="15"/>
        <v>19.7244877935963</v>
      </c>
      <c r="Z32" s="112">
        <f t="shared" si="15"/>
        <v>14.5257710150133</v>
      </c>
      <c r="AA32" s="112">
        <f t="shared" si="15"/>
        <v>0.92901297999999899</v>
      </c>
      <c r="AB32" s="112">
        <f t="shared" si="15"/>
        <v>0.13673027499999901</v>
      </c>
      <c r="AC32" s="112">
        <f t="shared" si="15"/>
        <v>10.878639090809299</v>
      </c>
      <c r="AD32" s="112">
        <f t="shared" si="15"/>
        <v>14.689530789699999</v>
      </c>
      <c r="AE32" s="112">
        <f t="shared" si="15"/>
        <v>14.9882013275201</v>
      </c>
      <c r="AF32" s="252">
        <f t="shared" si="15"/>
        <v>9.7973113286470106</v>
      </c>
      <c r="AG32" s="112"/>
      <c r="AI32" t="s">
        <v>391</v>
      </c>
      <c r="AJ32">
        <v>0</v>
      </c>
      <c r="AK32">
        <v>112.864</v>
      </c>
      <c r="AL32">
        <v>3027.7460000000001</v>
      </c>
      <c r="AM32">
        <v>3129.0430000000001</v>
      </c>
      <c r="AN32">
        <v>154.02199999999999</v>
      </c>
      <c r="AO32">
        <v>232.386</v>
      </c>
      <c r="AP32">
        <v>52.234999999999999</v>
      </c>
      <c r="AQ32">
        <v>1501.558</v>
      </c>
      <c r="AR32">
        <v>14.587</v>
      </c>
      <c r="AS32">
        <v>8224.4419999999991</v>
      </c>
      <c r="AT32">
        <f t="shared" si="2"/>
        <v>4828.512999999999</v>
      </c>
      <c r="AX32" s="25" t="str">
        <f t="shared" si="3"/>
        <v>Shock tms("vol","China","USA") = 19.7;</v>
      </c>
      <c r="AY32" t="str">
        <f t="shared" si="4"/>
        <v>Shock tms("vol","ROW","USA") = 14.5;</v>
      </c>
      <c r="AZ32" t="str">
        <f t="shared" si="5"/>
        <v>Shock tms("vol","Canada","USA") = 0.9;</v>
      </c>
      <c r="BA32" t="str">
        <f t="shared" si="6"/>
        <v>Shock tms("vol","Mexico","USA") = 0.1;</v>
      </c>
      <c r="BB32" t="str">
        <f t="shared" si="7"/>
        <v>Shock tms("vol","FTROW","USA") = 10.9;</v>
      </c>
      <c r="BC32" t="str">
        <f t="shared" si="8"/>
        <v>Shock tms("vol","Japan","USA") = 14.7;</v>
      </c>
      <c r="BD32" t="str">
        <f t="shared" si="9"/>
        <v>Shock tms("vol","EU","USA") = 15.0;</v>
      </c>
      <c r="BE32" t="str">
        <f t="shared" si="10"/>
        <v>Shock tms("vol","UK","USA") = 9.8;</v>
      </c>
    </row>
    <row r="33" spans="1:57" ht="14.45">
      <c r="A33" s="231" t="s">
        <v>2199</v>
      </c>
      <c r="B33" s="270">
        <v>15</v>
      </c>
      <c r="K33" s="306">
        <v>1</v>
      </c>
      <c r="L33" s="28" t="s">
        <v>396</v>
      </c>
      <c r="M33">
        <f t="shared" si="13"/>
        <v>0.27710503342751625</v>
      </c>
      <c r="N33" s="232">
        <f t="shared" si="14"/>
        <v>0.36220989723621005</v>
      </c>
      <c r="O33" t="str">
        <f t="shared" si="11"/>
        <v>mil</v>
      </c>
      <c r="P33" s="306" t="s">
        <v>395</v>
      </c>
      <c r="Q33" t="s">
        <v>394</v>
      </c>
      <c r="R33">
        <f>ricco_price_effects_and_etr!Y66</f>
        <v>68036</v>
      </c>
      <c r="S33">
        <f>ricco_price_effects_and_etr!Z66</f>
        <v>1532</v>
      </c>
      <c r="T33" s="232">
        <f>ricco_price_effects_and_etr!AA66</f>
        <v>69568</v>
      </c>
      <c r="V33" s="231">
        <f>'Full Imports'!$T$12</f>
        <v>0.97345677236115047</v>
      </c>
      <c r="W33" s="232" cm="1">
        <f t="array" aca="1" ref="W33" ca="1">OFFSET(INDIRECT(REPLACE(_xlfn.FORMULATEXT(V33),1,1,"")),31,0)</f>
        <v>0.99453078893767699</v>
      </c>
      <c r="Y33" s="296">
        <f t="shared" si="15"/>
        <v>20</v>
      </c>
      <c r="Z33" s="112">
        <f t="shared" si="15"/>
        <v>12.163988453274801</v>
      </c>
      <c r="AA33" s="112">
        <f t="shared" si="15"/>
        <v>0.92901297999999899</v>
      </c>
      <c r="AB33" s="112">
        <f t="shared" si="15"/>
        <v>0.13673027499999901</v>
      </c>
      <c r="AC33" s="112">
        <f t="shared" si="15"/>
        <v>13.5250921310364</v>
      </c>
      <c r="AD33" s="112">
        <f t="shared" si="15"/>
        <v>15</v>
      </c>
      <c r="AE33" s="112">
        <f t="shared" si="15"/>
        <v>15</v>
      </c>
      <c r="AF33" s="252">
        <f t="shared" si="15"/>
        <v>10</v>
      </c>
      <c r="AG33" s="112"/>
      <c r="AI33" t="s">
        <v>394</v>
      </c>
      <c r="AJ33">
        <v>0</v>
      </c>
      <c r="AK33">
        <v>1.4219999999999999</v>
      </c>
      <c r="AL33">
        <v>726.97500000000002</v>
      </c>
      <c r="AM33">
        <v>129.017</v>
      </c>
      <c r="AN33">
        <v>100.935</v>
      </c>
      <c r="AO33">
        <v>134.119</v>
      </c>
      <c r="AP33">
        <v>2.0760000000000001</v>
      </c>
      <c r="AQ33">
        <v>1285.0419999999999</v>
      </c>
      <c r="AR33">
        <v>70.721000000000004</v>
      </c>
      <c r="AS33">
        <v>2450.3049999999998</v>
      </c>
      <c r="AT33">
        <f t="shared" si="2"/>
        <v>2218.931</v>
      </c>
      <c r="AX33" s="25" t="str">
        <f t="shared" si="3"/>
        <v>Shock tms("mil","China","USA") = 20.0;</v>
      </c>
      <c r="AY33" t="str">
        <f t="shared" si="4"/>
        <v>Shock tms("mil","ROW","USA") = 12.2;</v>
      </c>
      <c r="AZ33" t="str">
        <f t="shared" si="5"/>
        <v>Shock tms("mil","Canada","USA") = 0.9;</v>
      </c>
      <c r="BA33" t="str">
        <f t="shared" si="6"/>
        <v>Shock tms("mil","Mexico","USA") = 0.1;</v>
      </c>
      <c r="BB33" t="str">
        <f t="shared" si="7"/>
        <v>Shock tms("mil","FTROW","USA") = 13.5;</v>
      </c>
      <c r="BC33" t="str">
        <f t="shared" si="8"/>
        <v>Shock tms("mil","Japan","USA") = 15.0;</v>
      </c>
      <c r="BD33" t="str">
        <f t="shared" si="9"/>
        <v>Shock tms("mil","EU","USA") = 15.0;</v>
      </c>
      <c r="BE33" t="str">
        <f t="shared" si="10"/>
        <v>Shock tms("mil","UK","USA") = 10.0;</v>
      </c>
    </row>
    <row r="34" spans="1:57" ht="15" thickBot="1">
      <c r="A34" s="233" t="s">
        <v>2200</v>
      </c>
      <c r="B34" s="268">
        <v>10</v>
      </c>
      <c r="K34" s="306">
        <v>1</v>
      </c>
      <c r="L34" s="28" t="s">
        <v>399</v>
      </c>
      <c r="M34">
        <f t="shared" si="13"/>
        <v>2.9727818259094159</v>
      </c>
      <c r="N34" s="232">
        <f t="shared" si="14"/>
        <v>3.8857865061118742</v>
      </c>
      <c r="O34" t="str">
        <f t="shared" si="11"/>
        <v>pcr</v>
      </c>
      <c r="P34" s="306" t="s">
        <v>398</v>
      </c>
      <c r="Q34" t="s">
        <v>397</v>
      </c>
      <c r="R34">
        <f>ricco_price_effects_and_etr!Y67</f>
        <v>1255</v>
      </c>
      <c r="S34">
        <f>ricco_price_effects_and_etr!Z67</f>
        <v>220</v>
      </c>
      <c r="T34" s="232">
        <f>ricco_price_effects_and_etr!AA67</f>
        <v>1474</v>
      </c>
      <c r="V34" s="231">
        <f>'Full Imports'!$T$12</f>
        <v>0.97345677236115047</v>
      </c>
      <c r="W34" s="232" cm="1">
        <f t="array" aca="1" ref="W34" ca="1">OFFSET(INDIRECT(REPLACE(_xlfn.FORMULATEXT(V34),1,1,"")),31,0)</f>
        <v>0.99453078893767699</v>
      </c>
      <c r="Y34" s="296">
        <f t="shared" si="15"/>
        <v>20</v>
      </c>
      <c r="Z34" s="112">
        <f t="shared" si="15"/>
        <v>20.429832721699999</v>
      </c>
      <c r="AA34" s="112">
        <f t="shared" si="15"/>
        <v>0.92901297999999899</v>
      </c>
      <c r="AB34" s="112">
        <f t="shared" si="15"/>
        <v>0.13673027499999901</v>
      </c>
      <c r="AC34" s="112">
        <f t="shared" si="15"/>
        <v>13.934996293997999</v>
      </c>
      <c r="AD34" s="112">
        <f t="shared" si="15"/>
        <v>15</v>
      </c>
      <c r="AE34" s="112">
        <f t="shared" si="15"/>
        <v>15</v>
      </c>
      <c r="AF34" s="252">
        <f t="shared" si="15"/>
        <v>10</v>
      </c>
      <c r="AG34" s="112"/>
      <c r="AI34" t="s">
        <v>397</v>
      </c>
      <c r="AJ34">
        <v>0</v>
      </c>
      <c r="AK34">
        <v>3.419</v>
      </c>
      <c r="AL34">
        <v>724.59699999999998</v>
      </c>
      <c r="AM34">
        <v>8.1389999999999993</v>
      </c>
      <c r="AN34">
        <v>1.873</v>
      </c>
      <c r="AO34">
        <v>2.62</v>
      </c>
      <c r="AP34">
        <v>3.1909999999999998</v>
      </c>
      <c r="AQ34">
        <v>24.581</v>
      </c>
      <c r="AR34">
        <v>2.782</v>
      </c>
      <c r="AS34">
        <v>771.20100000000002</v>
      </c>
      <c r="AT34">
        <f t="shared" si="2"/>
        <v>757.77</v>
      </c>
      <c r="AX34" s="25" t="str">
        <f t="shared" si="3"/>
        <v>Shock tms("pcr","China","USA") = 20.0;</v>
      </c>
      <c r="AY34" t="str">
        <f t="shared" si="4"/>
        <v>Shock tms("pcr","ROW","USA") = 20.4;</v>
      </c>
      <c r="AZ34" t="str">
        <f t="shared" si="5"/>
        <v>Shock tms("pcr","Canada","USA") = 0.9;</v>
      </c>
      <c r="BA34" t="str">
        <f t="shared" si="6"/>
        <v>Shock tms("pcr","Mexico","USA") = 0.1;</v>
      </c>
      <c r="BB34" t="str">
        <f t="shared" si="7"/>
        <v>Shock tms("pcr","FTROW","USA") = 13.9;</v>
      </c>
      <c r="BC34" t="str">
        <f t="shared" si="8"/>
        <v>Shock tms("pcr","Japan","USA") = 15.0;</v>
      </c>
      <c r="BD34" t="str">
        <f t="shared" si="9"/>
        <v>Shock tms("pcr","EU","USA") = 15.0;</v>
      </c>
      <c r="BE34" t="str">
        <f t="shared" si="10"/>
        <v>Shock tms("pcr","UK","USA") = 10.0;</v>
      </c>
    </row>
    <row r="35" spans="1:57" ht="15" thickBot="1">
      <c r="K35" s="306">
        <v>1</v>
      </c>
      <c r="L35" s="28" t="s">
        <v>402</v>
      </c>
      <c r="M35">
        <f t="shared" si="13"/>
        <v>0.41716383962543313</v>
      </c>
      <c r="N35" s="232">
        <f t="shared" si="14"/>
        <v>0.54528374895404119</v>
      </c>
      <c r="O35" t="str">
        <f t="shared" si="11"/>
        <v>sgr</v>
      </c>
      <c r="P35" s="306" t="s">
        <v>401</v>
      </c>
      <c r="Q35" t="s">
        <v>400</v>
      </c>
      <c r="R35">
        <f>ricco_price_effects_and_etr!Y68</f>
        <v>22508</v>
      </c>
      <c r="S35">
        <f>ricco_price_effects_and_etr!Z68</f>
        <v>1280</v>
      </c>
      <c r="T35" s="232">
        <f>ricco_price_effects_and_etr!AA68</f>
        <v>23788</v>
      </c>
      <c r="V35" s="231">
        <f>'Full Imports'!$T$12</f>
        <v>0.97345677236115047</v>
      </c>
      <c r="W35" s="232" cm="1">
        <f t="array" aca="1" ref="W35" ca="1">OFFSET(INDIRECT(REPLACE(_xlfn.FORMULATEXT(V35),1,1,"")),31,0)</f>
        <v>0.99453078893767699</v>
      </c>
      <c r="Y35" s="296">
        <f t="shared" si="15"/>
        <v>20</v>
      </c>
      <c r="Z35" s="112">
        <f t="shared" si="15"/>
        <v>11.327808514975301</v>
      </c>
      <c r="AA35" s="112">
        <f t="shared" si="15"/>
        <v>0.92901297999999899</v>
      </c>
      <c r="AB35" s="112">
        <f t="shared" si="15"/>
        <v>0.13673027499999901</v>
      </c>
      <c r="AC35" s="112">
        <f t="shared" si="15"/>
        <v>13.0491586484594</v>
      </c>
      <c r="AD35" s="112">
        <f t="shared" si="15"/>
        <v>15</v>
      </c>
      <c r="AE35" s="112">
        <f t="shared" si="15"/>
        <v>15</v>
      </c>
      <c r="AF35" s="252">
        <f t="shared" si="15"/>
        <v>10</v>
      </c>
      <c r="AG35" s="112"/>
      <c r="AI35" t="s">
        <v>400</v>
      </c>
      <c r="AJ35">
        <v>0</v>
      </c>
      <c r="AK35">
        <v>6.0389999999999997</v>
      </c>
      <c r="AL35">
        <v>606.44100000000003</v>
      </c>
      <c r="AM35">
        <v>199.613</v>
      </c>
      <c r="AN35">
        <v>608.06700000000001</v>
      </c>
      <c r="AO35">
        <v>682.70699999999999</v>
      </c>
      <c r="AP35">
        <v>0.21099999999999999</v>
      </c>
      <c r="AQ35">
        <v>18.428999999999998</v>
      </c>
      <c r="AR35">
        <v>4.7E-2</v>
      </c>
      <c r="AS35">
        <v>2121.5540000000001</v>
      </c>
      <c r="AT35">
        <f t="shared" si="2"/>
        <v>1307.835</v>
      </c>
      <c r="AX35" s="25" t="str">
        <f t="shared" si="3"/>
        <v>Shock tms("sgr","China","USA") = 20.0;</v>
      </c>
      <c r="AY35" t="str">
        <f t="shared" si="4"/>
        <v>Shock tms("sgr","ROW","USA") = 11.3;</v>
      </c>
      <c r="AZ35" t="str">
        <f t="shared" si="5"/>
        <v>Shock tms("sgr","Canada","USA") = 0.9;</v>
      </c>
      <c r="BA35" t="str">
        <f t="shared" si="6"/>
        <v>Shock tms("sgr","Mexico","USA") = 0.1;</v>
      </c>
      <c r="BB35" t="str">
        <f t="shared" si="7"/>
        <v>Shock tms("sgr","FTROW","USA") = 13.0;</v>
      </c>
      <c r="BC35" t="str">
        <f t="shared" si="8"/>
        <v>Shock tms("sgr","Japan","USA") = 15.0;</v>
      </c>
      <c r="BD35" t="str">
        <f t="shared" si="9"/>
        <v>Shock tms("sgr","EU","USA") = 15.0;</v>
      </c>
      <c r="BE35" t="str">
        <f t="shared" si="10"/>
        <v>Shock tms("sgr","UK","USA") = 10.0;</v>
      </c>
    </row>
    <row r="36" spans="1:57" ht="14.45">
      <c r="A36" s="229" t="s">
        <v>2201</v>
      </c>
      <c r="B36" s="235"/>
      <c r="C36" s="235"/>
      <c r="D36" s="235"/>
      <c r="E36" s="235"/>
      <c r="F36" s="235"/>
      <c r="G36" s="235"/>
      <c r="H36" s="235"/>
      <c r="I36" s="230"/>
      <c r="K36" s="306">
        <v>1</v>
      </c>
      <c r="L36" s="28" t="s">
        <v>405</v>
      </c>
      <c r="M36">
        <f>(S36/T36)*SUMPRODUCT(Y36:AF36,AK36:AR36)/AS36</f>
        <v>1.1631352921562703</v>
      </c>
      <c r="N36" s="232">
        <f t="shared" si="14"/>
        <v>1.5203589391093943</v>
      </c>
      <c r="O36" t="str">
        <f t="shared" si="11"/>
        <v>ofd</v>
      </c>
      <c r="P36" s="306" t="s">
        <v>404</v>
      </c>
      <c r="Q36" t="s">
        <v>403</v>
      </c>
      <c r="R36">
        <f>ricco_price_effects_and_etr!Y69</f>
        <v>241883</v>
      </c>
      <c r="S36">
        <f>ricco_price_effects_and_etr!Z69</f>
        <v>36747</v>
      </c>
      <c r="T36" s="232">
        <f>ricco_price_effects_and_etr!AA69</f>
        <v>278630</v>
      </c>
      <c r="V36" s="231">
        <f>'Full Imports'!$T$12</f>
        <v>0.97345677236115047</v>
      </c>
      <c r="W36" s="232" cm="1">
        <f t="array" aca="1" ref="W36" ca="1">OFFSET(INDIRECT(REPLACE(_xlfn.FORMULATEXT(V36),1,1,"")),31,0)</f>
        <v>0.99453078893767699</v>
      </c>
      <c r="Y36" s="296">
        <f t="shared" si="15"/>
        <v>18.1825618914655</v>
      </c>
      <c r="Z36" s="112">
        <f t="shared" si="15"/>
        <v>12.746690912262199</v>
      </c>
      <c r="AA36" s="112">
        <f t="shared" si="15"/>
        <v>0.92901297999999899</v>
      </c>
      <c r="AB36" s="112">
        <f t="shared" si="15"/>
        <v>0.13673027499999901</v>
      </c>
      <c r="AC36" s="112">
        <f t="shared" si="15"/>
        <v>6.6080950700585701</v>
      </c>
      <c r="AD36" s="112">
        <f t="shared" si="15"/>
        <v>11.4483573108617</v>
      </c>
      <c r="AE36" s="112">
        <f t="shared" si="15"/>
        <v>11.832614173571599</v>
      </c>
      <c r="AF36" s="252">
        <f t="shared" si="15"/>
        <v>6.6648384032596901</v>
      </c>
      <c r="AG36" s="112"/>
      <c r="AI36" t="s">
        <v>403</v>
      </c>
      <c r="AJ36">
        <v>0</v>
      </c>
      <c r="AK36">
        <v>7145.4889999999996</v>
      </c>
      <c r="AL36">
        <v>19112.164000000001</v>
      </c>
      <c r="AM36">
        <v>12174.016</v>
      </c>
      <c r="AN36">
        <v>6185.1840000000002</v>
      </c>
      <c r="AO36">
        <v>6304.308</v>
      </c>
      <c r="AP36">
        <v>684.72400000000005</v>
      </c>
      <c r="AQ36">
        <v>6904.0510000000004</v>
      </c>
      <c r="AR36">
        <v>402.834</v>
      </c>
      <c r="AS36">
        <v>58912.767999999996</v>
      </c>
      <c r="AT36">
        <f t="shared" si="2"/>
        <v>33408.078999999998</v>
      </c>
      <c r="AX36" s="25" t="str">
        <f t="shared" si="3"/>
        <v>Shock tms("ofd","China","USA") = 18.2;</v>
      </c>
      <c r="AY36" t="str">
        <f t="shared" si="4"/>
        <v>Shock tms("ofd","ROW","USA") = 12.7;</v>
      </c>
      <c r="AZ36" t="str">
        <f t="shared" si="5"/>
        <v>Shock tms("ofd","Canada","USA") = 0.9;</v>
      </c>
      <c r="BA36" t="str">
        <f t="shared" si="6"/>
        <v>Shock tms("ofd","Mexico","USA") = 0.1;</v>
      </c>
      <c r="BB36" t="str">
        <f t="shared" si="7"/>
        <v>Shock tms("ofd","FTROW","USA") = 6.6;</v>
      </c>
      <c r="BC36" t="str">
        <f t="shared" si="8"/>
        <v>Shock tms("ofd","Japan","USA") = 11.4;</v>
      </c>
      <c r="BD36" t="str">
        <f t="shared" si="9"/>
        <v>Shock tms("ofd","EU","USA") = 11.8;</v>
      </c>
      <c r="BE36" t="str">
        <f t="shared" si="10"/>
        <v>Shock tms("ofd","UK","USA") = 6.7;</v>
      </c>
    </row>
    <row r="37" spans="1:57" ht="14.45">
      <c r="A37" s="231" t="s">
        <v>2202</v>
      </c>
      <c r="B37" s="25">
        <v>25</v>
      </c>
      <c r="I37" s="232"/>
      <c r="K37" s="306">
        <v>1</v>
      </c>
      <c r="L37" s="28" t="s">
        <v>408</v>
      </c>
      <c r="M37">
        <f t="shared" si="13"/>
        <v>1.2327731411887877</v>
      </c>
      <c r="N37" s="232">
        <f t="shared" si="14"/>
        <v>1.6113840562999007</v>
      </c>
      <c r="O37" t="str">
        <f t="shared" si="11"/>
        <v>b_t</v>
      </c>
      <c r="P37" s="306" t="s">
        <v>407</v>
      </c>
      <c r="Q37" t="s">
        <v>406</v>
      </c>
      <c r="R37">
        <f>ricco_price_effects_and_etr!Y70</f>
        <v>168342</v>
      </c>
      <c r="S37">
        <f>ricco_price_effects_and_etr!Z70</f>
        <v>20373</v>
      </c>
      <c r="T37" s="232">
        <f>ricco_price_effects_and_etr!AA70</f>
        <v>188714</v>
      </c>
      <c r="V37" s="231">
        <f>'Full Imports'!T13</f>
        <v>0.96257927499179485</v>
      </c>
      <c r="W37" s="232" cm="1">
        <f t="array" aca="1" ref="W37" ca="1">OFFSET(INDIRECT(REPLACE(_xlfn.FORMULATEXT(V37),1,1,"")),31,0)</f>
        <v>0.94376342772684829</v>
      </c>
      <c r="Y37" s="296">
        <f t="shared" si="15"/>
        <v>20</v>
      </c>
      <c r="Z37" s="112">
        <f t="shared" si="15"/>
        <v>14.0971419187042</v>
      </c>
      <c r="AA37" s="112">
        <f t="shared" si="15"/>
        <v>1.309725375</v>
      </c>
      <c r="AB37" s="112">
        <f t="shared" si="15"/>
        <v>1.4059142999999901</v>
      </c>
      <c r="AC37" s="112">
        <f t="shared" si="15"/>
        <v>18.2998883950081</v>
      </c>
      <c r="AD37" s="112">
        <f t="shared" si="15"/>
        <v>14.999793838995799</v>
      </c>
      <c r="AE37" s="112">
        <f t="shared" si="15"/>
        <v>14.999896996800899</v>
      </c>
      <c r="AF37" s="252">
        <f t="shared" si="15"/>
        <v>9.9999489390731302</v>
      </c>
      <c r="AG37" s="112"/>
      <c r="AI37" t="s">
        <v>406</v>
      </c>
      <c r="AJ37">
        <v>0</v>
      </c>
      <c r="AK37">
        <v>97.168999999999997</v>
      </c>
      <c r="AL37">
        <v>3610.51</v>
      </c>
      <c r="AM37">
        <v>1189.616</v>
      </c>
      <c r="AN37">
        <v>5267.7969999999996</v>
      </c>
      <c r="AO37">
        <v>2221.3130000000001</v>
      </c>
      <c r="AP37">
        <v>154.58699999999999</v>
      </c>
      <c r="AQ37">
        <v>11591.647999999999</v>
      </c>
      <c r="AR37">
        <v>2166.1819999999998</v>
      </c>
      <c r="AS37">
        <v>26298.823</v>
      </c>
      <c r="AT37">
        <f t="shared" si="2"/>
        <v>19744.241000000002</v>
      </c>
      <c r="AX37" s="25" t="str">
        <f t="shared" si="3"/>
        <v>Shock tms("b_t","China","USA") = 20.0;</v>
      </c>
      <c r="AY37" t="str">
        <f t="shared" si="4"/>
        <v>Shock tms("b_t","ROW","USA") = 14.1;</v>
      </c>
      <c r="AZ37" t="str">
        <f t="shared" si="5"/>
        <v>Shock tms("b_t","Canada","USA") = 1.3;</v>
      </c>
      <c r="BA37" t="str">
        <f t="shared" si="6"/>
        <v>Shock tms("b_t","Mexico","USA") = 1.4;</v>
      </c>
      <c r="BB37" t="str">
        <f t="shared" si="7"/>
        <v>Shock tms("b_t","FTROW","USA") = 18.3;</v>
      </c>
      <c r="BC37" t="str">
        <f t="shared" si="8"/>
        <v>Shock tms("b_t","Japan","USA") = 15.0;</v>
      </c>
      <c r="BD37" t="str">
        <f t="shared" si="9"/>
        <v>Shock tms("b_t","EU","USA") = 15.0;</v>
      </c>
      <c r="BE37" t="str">
        <f t="shared" si="10"/>
        <v>Shock tms("b_t","UK","USA") = 10.0;</v>
      </c>
    </row>
    <row r="38" spans="1:57" ht="14.45">
      <c r="A38" s="231" t="s">
        <v>2203</v>
      </c>
      <c r="B38" s="25">
        <v>15</v>
      </c>
      <c r="I38" s="232"/>
      <c r="K38" s="306">
        <v>0</v>
      </c>
      <c r="L38" s="28" t="s">
        <v>411</v>
      </c>
      <c r="M38">
        <f t="shared" si="13"/>
        <v>10.46207973720167</v>
      </c>
      <c r="N38" s="232">
        <f t="shared" si="14"/>
        <v>13.675207482220213</v>
      </c>
      <c r="O38" t="str">
        <f t="shared" si="11"/>
        <v>tex</v>
      </c>
      <c r="P38" s="306" t="s">
        <v>410</v>
      </c>
      <c r="Q38" t="s">
        <v>409</v>
      </c>
      <c r="R38">
        <f>ricco_price_effects_and_etr!Y71</f>
        <v>12828</v>
      </c>
      <c r="S38">
        <f>ricco_price_effects_and_etr!Z71</f>
        <v>13978</v>
      </c>
      <c r="T38" s="232">
        <f>ricco_price_effects_and_etr!AA71</f>
        <v>26806</v>
      </c>
      <c r="V38" s="231">
        <f>SUM('Full Imports'!$S$14:$S$15)/SUM('Full Imports'!$H$14:$H$15)</f>
        <v>7.3221699511785629E-2</v>
      </c>
      <c r="W38" s="232">
        <f>SUM('Full Imports'!$S$45:$S$46)/SUM('Full Imports'!$J$45:$J$46)</f>
        <v>0.10938058984223729</v>
      </c>
      <c r="Y38" s="296">
        <f t="shared" si="15"/>
        <v>20</v>
      </c>
      <c r="Z38" s="112">
        <f t="shared" si="15"/>
        <v>20.9630208154393</v>
      </c>
      <c r="AA38" s="112">
        <f t="shared" si="15"/>
        <v>32.437240499999902</v>
      </c>
      <c r="AB38" s="112">
        <f t="shared" si="15"/>
        <v>22.265485250000001</v>
      </c>
      <c r="AC38" s="112">
        <f t="shared" si="15"/>
        <v>14.5747153121205</v>
      </c>
      <c r="AD38" s="112">
        <f t="shared" si="15"/>
        <v>15</v>
      </c>
      <c r="AE38" s="112">
        <f t="shared" si="15"/>
        <v>15</v>
      </c>
      <c r="AF38" s="252">
        <f t="shared" si="15"/>
        <v>10</v>
      </c>
      <c r="AG38" s="112"/>
      <c r="AI38" t="s">
        <v>409</v>
      </c>
      <c r="AJ38">
        <v>0</v>
      </c>
      <c r="AK38">
        <v>16251.556</v>
      </c>
      <c r="AL38">
        <v>10195.428</v>
      </c>
      <c r="AM38">
        <v>1435.732</v>
      </c>
      <c r="AN38">
        <v>2038.376</v>
      </c>
      <c r="AO38">
        <v>1764.058</v>
      </c>
      <c r="AP38">
        <v>625.798</v>
      </c>
      <c r="AQ38">
        <v>2888.1410000000001</v>
      </c>
      <c r="AR38">
        <v>290.18599999999998</v>
      </c>
      <c r="AS38">
        <v>35489.275000000001</v>
      </c>
      <c r="AT38">
        <f t="shared" si="2"/>
        <v>15763.611000000004</v>
      </c>
      <c r="AX38" s="25" t="str">
        <f t="shared" si="3"/>
        <v>Shock tms("tex","China","USA") = 20.0;</v>
      </c>
      <c r="AY38" t="str">
        <f t="shared" si="4"/>
        <v>Shock tms("tex","ROW","USA") = 21.0;</v>
      </c>
      <c r="AZ38" t="str">
        <f t="shared" si="5"/>
        <v>Shock tms("tex","Canada","USA") = 32.4;</v>
      </c>
      <c r="BA38" t="str">
        <f t="shared" si="6"/>
        <v>Shock tms("tex","Mexico","USA") = 22.3;</v>
      </c>
      <c r="BB38" t="str">
        <f t="shared" si="7"/>
        <v>Shock tms("tex","FTROW","USA") = 14.6;</v>
      </c>
      <c r="BC38" t="str">
        <f t="shared" si="8"/>
        <v>Shock tms("tex","Japan","USA") = 15.0;</v>
      </c>
      <c r="BD38" t="str">
        <f t="shared" si="9"/>
        <v>Shock tms("tex","EU","USA") = 15.0;</v>
      </c>
      <c r="BE38" t="str">
        <f t="shared" si="10"/>
        <v>Shock tms("tex","UK","USA") = 10.0;</v>
      </c>
    </row>
    <row r="39" spans="1:57" ht="14.45">
      <c r="A39" s="231" t="s">
        <v>2204</v>
      </c>
      <c r="B39" s="25">
        <v>10</v>
      </c>
      <c r="I39" s="232"/>
      <c r="K39" s="306">
        <v>0</v>
      </c>
      <c r="L39" s="28" t="s">
        <v>414</v>
      </c>
      <c r="M39">
        <f>(S39/T39)*SUMPRODUCT(Y39:AF39,AK39:AR39)/AS39</f>
        <v>16.053836326521257</v>
      </c>
      <c r="N39" s="232">
        <f>$B$10*M39/$M$10</f>
        <v>20.984311739675501</v>
      </c>
      <c r="O39" t="str">
        <f t="shared" si="11"/>
        <v>wap</v>
      </c>
      <c r="P39" s="306" t="s">
        <v>413</v>
      </c>
      <c r="Q39" t="s">
        <v>412</v>
      </c>
      <c r="R39">
        <f>ricco_price_effects_and_etr!Y72</f>
        <v>12085</v>
      </c>
      <c r="S39">
        <f>ricco_price_effects_and_etr!Z72</f>
        <v>103717</v>
      </c>
      <c r="T39" s="232">
        <f>ricco_price_effects_and_etr!AA72</f>
        <v>115802</v>
      </c>
      <c r="V39" s="231">
        <f>'Full Imports'!T16</f>
        <v>0.72158772787861913</v>
      </c>
      <c r="W39" s="232" cm="1">
        <f t="array" aca="1" ref="W39" ca="1">OFFSET(INDIRECT(REPLACE(_xlfn.FORMULATEXT(V39),1,1,"")),31,0)</f>
        <v>0.96684833585868835</v>
      </c>
      <c r="Y39" s="296">
        <f t="shared" si="15"/>
        <v>20</v>
      </c>
      <c r="Z39" s="112">
        <f t="shared" si="15"/>
        <v>19.651757609886399</v>
      </c>
      <c r="AA39" s="112">
        <f t="shared" si="15"/>
        <v>9.74442951999999</v>
      </c>
      <c r="AB39" s="112">
        <f t="shared" si="15"/>
        <v>0.82879159999999996</v>
      </c>
      <c r="AC39" s="112">
        <f t="shared" si="15"/>
        <v>13.110490475229801</v>
      </c>
      <c r="AD39" s="112">
        <f t="shared" si="15"/>
        <v>15</v>
      </c>
      <c r="AE39" s="112">
        <f t="shared" si="15"/>
        <v>15</v>
      </c>
      <c r="AF39" s="252">
        <f t="shared" si="15"/>
        <v>10</v>
      </c>
      <c r="AG39" s="112"/>
      <c r="AI39" t="s">
        <v>412</v>
      </c>
      <c r="AJ39">
        <v>0</v>
      </c>
      <c r="AK39">
        <v>37960.241999999998</v>
      </c>
      <c r="AL39">
        <v>42811.792999999998</v>
      </c>
      <c r="AM39">
        <v>931.98400000000004</v>
      </c>
      <c r="AN39">
        <v>4432.1729999999998</v>
      </c>
      <c r="AO39">
        <v>11763.55</v>
      </c>
      <c r="AP39">
        <v>86.528999999999996</v>
      </c>
      <c r="AQ39">
        <v>3023.16</v>
      </c>
      <c r="AR39">
        <v>457.23200000000003</v>
      </c>
      <c r="AS39">
        <v>101466.663</v>
      </c>
      <c r="AT39">
        <f t="shared" si="2"/>
        <v>58142.26400000001</v>
      </c>
      <c r="AX39" s="25" t="str">
        <f t="shared" si="3"/>
        <v>Shock tms("wap","China","USA") = 20.0;</v>
      </c>
      <c r="AY39" t="str">
        <f t="shared" si="4"/>
        <v>Shock tms("wap","ROW","USA") = 19.7;</v>
      </c>
      <c r="AZ39" t="str">
        <f t="shared" si="5"/>
        <v>Shock tms("wap","Canada","USA") = 9.7;</v>
      </c>
      <c r="BA39" t="str">
        <f t="shared" si="6"/>
        <v>Shock tms("wap","Mexico","USA") = 0.8;</v>
      </c>
      <c r="BB39" t="str">
        <f t="shared" si="7"/>
        <v>Shock tms("wap","FTROW","USA") = 13.1;</v>
      </c>
      <c r="BC39" t="str">
        <f t="shared" si="8"/>
        <v>Shock tms("wap","Japan","USA") = 15.0;</v>
      </c>
      <c r="BD39" t="str">
        <f t="shared" si="9"/>
        <v>Shock tms("wap","EU","USA") = 15.0;</v>
      </c>
      <c r="BE39" t="str">
        <f t="shared" si="10"/>
        <v>Shock tms("wap","UK","USA") = 10.0;</v>
      </c>
    </row>
    <row r="40" spans="1:57" ht="14.45">
      <c r="A40" s="231" t="s">
        <v>2205</v>
      </c>
      <c r="B40" s="25">
        <v>50</v>
      </c>
      <c r="I40" s="232"/>
      <c r="K40" s="306">
        <v>0</v>
      </c>
      <c r="L40" s="28" t="s">
        <v>417</v>
      </c>
      <c r="M40">
        <f t="shared" si="13"/>
        <v>16.672681901662429</v>
      </c>
      <c r="N40" s="232">
        <f t="shared" si="14"/>
        <v>21.793217985095975</v>
      </c>
      <c r="O40" t="str">
        <f t="shared" si="11"/>
        <v>lea</v>
      </c>
      <c r="P40" s="306" t="s">
        <v>416</v>
      </c>
      <c r="Q40" t="s">
        <v>415</v>
      </c>
      <c r="R40">
        <f>ricco_price_effects_and_etr!Y73</f>
        <v>5422</v>
      </c>
      <c r="S40">
        <f>ricco_price_effects_and_etr!Z73</f>
        <v>40931</v>
      </c>
      <c r="T40" s="232">
        <f>ricco_price_effects_and_etr!AA73</f>
        <v>46353</v>
      </c>
      <c r="V40" s="231">
        <f>'Full Imports'!T17</f>
        <v>0.94475842084869355</v>
      </c>
      <c r="W40" s="232" cm="1">
        <f t="array" aca="1" ref="W40" ca="1">OFFSET(INDIRECT(REPLACE(_xlfn.FORMULATEXT(V40),1,1,"")),31,0)</f>
        <v>0.98453757122851959</v>
      </c>
      <c r="Y40" s="296">
        <f t="shared" si="15"/>
        <v>20</v>
      </c>
      <c r="Z40" s="112">
        <f t="shared" si="15"/>
        <v>19.897488580148</v>
      </c>
      <c r="AA40" s="112">
        <f t="shared" si="15"/>
        <v>1.9334552650000001</v>
      </c>
      <c r="AB40" s="112">
        <f t="shared" si="15"/>
        <v>0.38656072500000099</v>
      </c>
      <c r="AC40" s="112">
        <f t="shared" si="15"/>
        <v>17.6116977995393</v>
      </c>
      <c r="AD40" s="112">
        <f t="shared" si="15"/>
        <v>15</v>
      </c>
      <c r="AE40" s="112">
        <f t="shared" si="15"/>
        <v>15</v>
      </c>
      <c r="AF40" s="252">
        <f t="shared" si="15"/>
        <v>10</v>
      </c>
      <c r="AG40" s="112"/>
      <c r="AI40" t="s">
        <v>415</v>
      </c>
      <c r="AJ40">
        <v>0</v>
      </c>
      <c r="AK40">
        <v>21683.447</v>
      </c>
      <c r="AL40">
        <v>12453.671</v>
      </c>
      <c r="AM40">
        <v>148.214</v>
      </c>
      <c r="AN40">
        <v>797.303</v>
      </c>
      <c r="AO40">
        <v>678.58199999999999</v>
      </c>
      <c r="AP40">
        <v>14.358000000000001</v>
      </c>
      <c r="AQ40">
        <v>4372.0810000000001</v>
      </c>
      <c r="AR40">
        <v>199.268</v>
      </c>
      <c r="AS40">
        <v>40346.923999999999</v>
      </c>
      <c r="AT40">
        <f t="shared" si="2"/>
        <v>17717.96</v>
      </c>
      <c r="AX40" s="25" t="str">
        <f t="shared" si="3"/>
        <v>Shock tms("lea","China","USA") = 20.0;</v>
      </c>
      <c r="AY40" t="str">
        <f t="shared" si="4"/>
        <v>Shock tms("lea","ROW","USA") = 19.9;</v>
      </c>
      <c r="AZ40" t="str">
        <f t="shared" si="5"/>
        <v>Shock tms("lea","Canada","USA") = 1.9;</v>
      </c>
      <c r="BA40" t="str">
        <f t="shared" si="6"/>
        <v>Shock tms("lea","Mexico","USA") = 0.4;</v>
      </c>
      <c r="BB40" t="str">
        <f t="shared" si="7"/>
        <v>Shock tms("lea","FTROW","USA") = 17.6;</v>
      </c>
      <c r="BC40" t="str">
        <f t="shared" si="8"/>
        <v>Shock tms("lea","Japan","USA") = 15.0;</v>
      </c>
      <c r="BD40" t="str">
        <f t="shared" si="9"/>
        <v>Shock tms("lea","EU","USA") = 15.0;</v>
      </c>
      <c r="BE40" t="str">
        <f t="shared" si="10"/>
        <v>Shock tms("lea","UK","USA") = 10.0;</v>
      </c>
    </row>
    <row r="41" spans="1:57" ht="14.45">
      <c r="A41" s="231" t="s">
        <v>2206</v>
      </c>
      <c r="B41" s="25">
        <v>0</v>
      </c>
      <c r="I41" s="232"/>
      <c r="K41" s="306">
        <v>0</v>
      </c>
      <c r="L41" s="28" t="s">
        <v>420</v>
      </c>
      <c r="M41">
        <f t="shared" si="13"/>
        <v>2.1736868475304822</v>
      </c>
      <c r="N41" s="232">
        <f t="shared" si="14"/>
        <v>2.8412724226955031</v>
      </c>
      <c r="O41" t="str">
        <f t="shared" si="11"/>
        <v>lum</v>
      </c>
      <c r="P41" s="306" t="s">
        <v>419</v>
      </c>
      <c r="Q41" t="s">
        <v>418</v>
      </c>
      <c r="R41">
        <f>ricco_price_effects_and_etr!Y74</f>
        <v>4164</v>
      </c>
      <c r="S41">
        <f>ricco_price_effects_and_etr!Z74</f>
        <v>873</v>
      </c>
      <c r="T41" s="232">
        <f>ricco_price_effects_and_etr!AA74</f>
        <v>5036</v>
      </c>
      <c r="V41" s="231">
        <f>'Full Imports'!T18</f>
        <v>0.99864340182741396</v>
      </c>
      <c r="W41" s="232" cm="1">
        <f t="array" aca="1" ref="W41" ca="1">OFFSET(INDIRECT(REPLACE(_xlfn.FORMULATEXT(V41),1,1,"")),31,0)</f>
        <v>0.98641932501505725</v>
      </c>
      <c r="Y41" s="296">
        <f t="shared" si="15"/>
        <v>19.9563540410577</v>
      </c>
      <c r="Z41" s="112">
        <f t="shared" si="15"/>
        <v>15.5474235720969</v>
      </c>
      <c r="AA41" s="112">
        <f t="shared" si="15"/>
        <v>4.6629773070614604</v>
      </c>
      <c r="AB41" s="112">
        <f t="shared" si="15"/>
        <v>0.35734103753805702</v>
      </c>
      <c r="AC41" s="112">
        <f t="shared" si="15"/>
        <v>10.077994678138101</v>
      </c>
      <c r="AD41" s="112">
        <f t="shared" si="15"/>
        <v>12.3035799243761</v>
      </c>
      <c r="AE41" s="112">
        <f t="shared" si="15"/>
        <v>12.9260974060071</v>
      </c>
      <c r="AF41" s="252">
        <f t="shared" si="15"/>
        <v>8.1238829334598304</v>
      </c>
      <c r="AG41" s="112"/>
      <c r="AI41" t="s">
        <v>418</v>
      </c>
      <c r="AJ41">
        <v>0</v>
      </c>
      <c r="AK41">
        <v>4531.085</v>
      </c>
      <c r="AL41">
        <v>2933.9989999999998</v>
      </c>
      <c r="AM41">
        <v>4656.2</v>
      </c>
      <c r="AN41">
        <v>359.53500000000003</v>
      </c>
      <c r="AO41">
        <v>830.62699999999995</v>
      </c>
      <c r="AP41">
        <v>16.324000000000002</v>
      </c>
      <c r="AQ41">
        <v>1906.1489999999999</v>
      </c>
      <c r="AR41">
        <v>16.013999999999999</v>
      </c>
      <c r="AS41">
        <v>15249.933000000001</v>
      </c>
      <c r="AT41">
        <f t="shared" si="2"/>
        <v>5703.1130000000003</v>
      </c>
      <c r="AX41" s="25" t="str">
        <f t="shared" si="3"/>
        <v>Shock tms("lum","China","USA") = 20.0;</v>
      </c>
      <c r="AY41" t="str">
        <f t="shared" si="4"/>
        <v>Shock tms("lum","ROW","USA") = 15.5;</v>
      </c>
      <c r="AZ41" t="str">
        <f t="shared" si="5"/>
        <v>Shock tms("lum","Canada","USA") = 4.7;</v>
      </c>
      <c r="BA41" t="str">
        <f t="shared" si="6"/>
        <v>Shock tms("lum","Mexico","USA") = 0.4;</v>
      </c>
      <c r="BB41" t="str">
        <f t="shared" si="7"/>
        <v>Shock tms("lum","FTROW","USA") = 10.1;</v>
      </c>
      <c r="BC41" t="str">
        <f t="shared" si="8"/>
        <v>Shock tms("lum","Japan","USA") = 12.3;</v>
      </c>
      <c r="BD41" t="str">
        <f t="shared" si="9"/>
        <v>Shock tms("lum","EU","USA") = 12.9;</v>
      </c>
      <c r="BE41" t="str">
        <f t="shared" si="10"/>
        <v>Shock tms("lum","UK","USA") = 8.1;</v>
      </c>
    </row>
    <row r="42" spans="1:57" ht="14.45">
      <c r="A42" s="231" t="s">
        <v>2207</v>
      </c>
      <c r="B42" s="25">
        <v>50</v>
      </c>
      <c r="I42" s="232"/>
      <c r="K42" s="306">
        <v>0</v>
      </c>
      <c r="L42" s="28" t="s">
        <v>423</v>
      </c>
      <c r="M42">
        <f t="shared" si="13"/>
        <v>0.9669981795508249</v>
      </c>
      <c r="N42" s="232">
        <f t="shared" si="14"/>
        <v>1.2639839374636435</v>
      </c>
      <c r="O42" t="str">
        <f t="shared" si="11"/>
        <v>ppp</v>
      </c>
      <c r="P42" s="306" t="s">
        <v>422</v>
      </c>
      <c r="Q42" t="s">
        <v>421</v>
      </c>
      <c r="R42">
        <f>ricco_price_effects_and_etr!Y75</f>
        <v>29155</v>
      </c>
      <c r="S42">
        <f>ricco_price_effects_and_etr!Z75</f>
        <v>4087</v>
      </c>
      <c r="T42" s="232">
        <f>ricco_price_effects_and_etr!AA75</f>
        <v>33242</v>
      </c>
      <c r="V42" s="231">
        <f>'Full Imports'!T19</f>
        <v>0.98755452860722881</v>
      </c>
      <c r="W42" s="232" cm="1">
        <f t="array" aca="1" ref="W42" ca="1">OFFSET(INDIRECT(REPLACE(_xlfn.FORMULATEXT(V42),1,1,"")),31,0)</f>
        <v>0.8948237705654265</v>
      </c>
      <c r="Y42" s="296">
        <f t="shared" si="15"/>
        <v>17.076193590123101</v>
      </c>
      <c r="Z42" s="112">
        <f t="shared" si="15"/>
        <v>11.341702772361201</v>
      </c>
      <c r="AA42" s="112">
        <f t="shared" si="15"/>
        <v>0.435591485000001</v>
      </c>
      <c r="AB42" s="112">
        <f t="shared" si="15"/>
        <v>2.6294057249999998</v>
      </c>
      <c r="AC42" s="112">
        <f t="shared" si="15"/>
        <v>12.6105461957149</v>
      </c>
      <c r="AD42" s="112">
        <f t="shared" si="15"/>
        <v>12.0004242559668</v>
      </c>
      <c r="AE42" s="112">
        <f t="shared" si="15"/>
        <v>12.602242203442399</v>
      </c>
      <c r="AF42" s="252">
        <f t="shared" si="15"/>
        <v>4.1217664667771796</v>
      </c>
      <c r="AG42" s="112"/>
      <c r="AI42" t="s">
        <v>421</v>
      </c>
      <c r="AJ42">
        <v>0</v>
      </c>
      <c r="AK42">
        <v>5087.7759999999998</v>
      </c>
      <c r="AL42">
        <v>2924.1060000000002</v>
      </c>
      <c r="AM42">
        <v>9614.2790000000005</v>
      </c>
      <c r="AN42">
        <v>1748.3789999999999</v>
      </c>
      <c r="AO42">
        <v>1332.9469999999999</v>
      </c>
      <c r="AP42">
        <v>503.03399999999999</v>
      </c>
      <c r="AQ42">
        <v>3925.797</v>
      </c>
      <c r="AR42">
        <v>920.952</v>
      </c>
      <c r="AS42">
        <v>26057.271000000001</v>
      </c>
      <c r="AT42">
        <f t="shared" si="2"/>
        <v>9606.8369999999995</v>
      </c>
      <c r="AX42" s="25" t="str">
        <f t="shared" si="3"/>
        <v>Shock tms("ppp","China","USA") = 17.1;</v>
      </c>
      <c r="AY42" t="str">
        <f t="shared" si="4"/>
        <v>Shock tms("ppp","ROW","USA") = 11.3;</v>
      </c>
      <c r="AZ42" t="str">
        <f t="shared" si="5"/>
        <v>Shock tms("ppp","Canada","USA") = 0.4;</v>
      </c>
      <c r="BA42" t="str">
        <f t="shared" si="6"/>
        <v>Shock tms("ppp","Mexico","USA") = 2.6;</v>
      </c>
      <c r="BB42" t="str">
        <f t="shared" si="7"/>
        <v>Shock tms("ppp","FTROW","USA") = 12.6;</v>
      </c>
      <c r="BC42" t="str">
        <f t="shared" si="8"/>
        <v>Shock tms("ppp","Japan","USA") = 12.0;</v>
      </c>
      <c r="BD42" t="str">
        <f t="shared" si="9"/>
        <v>Shock tms("ppp","EU","USA") = 12.6;</v>
      </c>
      <c r="BE42" t="str">
        <f t="shared" si="10"/>
        <v>Shock tms("ppp","UK","USA") = 4.1;</v>
      </c>
    </row>
    <row r="43" spans="1:57" ht="14.45">
      <c r="A43" s="231" t="s">
        <v>2208</v>
      </c>
      <c r="I43" s="232"/>
      <c r="K43" s="306">
        <v>0</v>
      </c>
      <c r="L43" s="322" t="s">
        <v>426</v>
      </c>
      <c r="M43" s="185">
        <f t="shared" si="13"/>
        <v>0.16482798664171761</v>
      </c>
      <c r="N43" s="282">
        <f t="shared" si="14"/>
        <v>0.21545017556949062</v>
      </c>
      <c r="O43" t="str">
        <f t="shared" si="11"/>
        <v>p_c</v>
      </c>
      <c r="P43" s="307" t="s">
        <v>425</v>
      </c>
      <c r="Q43" s="185" t="s">
        <v>424</v>
      </c>
      <c r="R43" s="185">
        <f>ricco_price_effects_and_etr!Y76</f>
        <v>114518</v>
      </c>
      <c r="S43" s="185">
        <f>ricco_price_effects_and_etr!Z76</f>
        <v>22694</v>
      </c>
      <c r="T43" s="282">
        <f>ricco_price_effects_and_etr!AA76</f>
        <v>137212</v>
      </c>
      <c r="U43" s="185"/>
      <c r="V43" s="281">
        <f>'Full Imports'!T21</f>
        <v>0.97073410707960583</v>
      </c>
      <c r="W43" s="282" cm="1">
        <f t="array" aca="1" ref="W43" ca="1">OFFSET(INDIRECT(REPLACE(_xlfn.FORMULATEXT(V43),1,1,"")),31,0)</f>
        <v>0.72784416524200535</v>
      </c>
      <c r="X43" s="185"/>
      <c r="Y43" s="296">
        <f t="shared" si="15"/>
        <v>10.1640835957711</v>
      </c>
      <c r="Z43" s="112">
        <f t="shared" si="15"/>
        <v>2.5811663812213399E-2</v>
      </c>
      <c r="AA43" s="112">
        <f t="shared" si="15"/>
        <v>0.41238325951363097</v>
      </c>
      <c r="AB43" s="112">
        <f t="shared" si="15"/>
        <v>6.8038958749999896</v>
      </c>
      <c r="AC43" s="112">
        <f t="shared" si="15"/>
        <v>0.114939541253007</v>
      </c>
      <c r="AD43" s="112">
        <f t="shared" si="15"/>
        <v>0</v>
      </c>
      <c r="AE43" s="112">
        <f t="shared" si="15"/>
        <v>1.4003005607525201</v>
      </c>
      <c r="AF43" s="252">
        <f t="shared" si="15"/>
        <v>2.9829627050325999E-5</v>
      </c>
      <c r="AG43" s="297"/>
      <c r="AI43" t="s">
        <v>424</v>
      </c>
      <c r="AJ43">
        <v>0</v>
      </c>
      <c r="AK43">
        <v>2775.721</v>
      </c>
      <c r="AL43">
        <v>26509.17</v>
      </c>
      <c r="AM43">
        <v>8404.7129999999997</v>
      </c>
      <c r="AN43">
        <v>1639.7529999999999</v>
      </c>
      <c r="AO43">
        <v>5693.9620000000004</v>
      </c>
      <c r="AP43">
        <v>754.01300000000003</v>
      </c>
      <c r="AQ43">
        <v>8052.4880000000003</v>
      </c>
      <c r="AR43">
        <v>1810.4870000000001</v>
      </c>
      <c r="AS43">
        <v>55640.307999999997</v>
      </c>
      <c r="AT43">
        <f t="shared" si="2"/>
        <v>42820.121000000006</v>
      </c>
      <c r="AX43" s="25" t="str">
        <f t="shared" si="3"/>
        <v>Shock tms("p_c","China","USA") = 10.2;</v>
      </c>
      <c r="AY43" t="str">
        <f t="shared" si="4"/>
        <v>Shock tms("p_c","ROW","USA") = 0.0;</v>
      </c>
      <c r="AZ43" t="str">
        <f t="shared" si="5"/>
        <v>Shock tms("p_c","Canada","USA") = 0.4;</v>
      </c>
      <c r="BA43" t="str">
        <f t="shared" si="6"/>
        <v>Shock tms("p_c","Mexico","USA") = 6.8;</v>
      </c>
      <c r="BB43" t="str">
        <f t="shared" si="7"/>
        <v>Shock tms("p_c","FTROW","USA") = 0.1;</v>
      </c>
      <c r="BC43" t="str">
        <f t="shared" si="8"/>
        <v>Shock tms("p_c","Japan","USA") = 0.0;</v>
      </c>
      <c r="BD43" t="str">
        <f t="shared" si="9"/>
        <v>Shock tms("p_c","EU","USA") = 1.4;</v>
      </c>
      <c r="BE43" t="str">
        <f t="shared" si="10"/>
        <v>Shock tms("p_c","UK","USA") = 0.0;</v>
      </c>
    </row>
    <row r="44" spans="1:57" ht="14.45">
      <c r="A44" s="231"/>
      <c r="B44" s="5" t="s">
        <v>32</v>
      </c>
      <c r="C44" s="5" t="s">
        <v>33</v>
      </c>
      <c r="D44" s="5" t="s">
        <v>34</v>
      </c>
      <c r="E44" s="5" t="s">
        <v>35</v>
      </c>
      <c r="F44" s="5" t="s">
        <v>36</v>
      </c>
      <c r="G44" s="5" t="s">
        <v>37</v>
      </c>
      <c r="H44" s="5" t="s">
        <v>38</v>
      </c>
      <c r="I44" s="236" t="s">
        <v>39</v>
      </c>
      <c r="J44" s="5"/>
      <c r="K44" s="306">
        <v>0</v>
      </c>
      <c r="L44" s="28" t="s">
        <v>429</v>
      </c>
      <c r="M44">
        <f t="shared" ref="M44:M75" si="16">(S44/T44)*SUMPRODUCT(Y44:AF44,AK44:AR44)/AS44</f>
        <v>1.5713270650714222</v>
      </c>
      <c r="N44" s="232">
        <f t="shared" si="14"/>
        <v>2.0539151083766614</v>
      </c>
      <c r="O44" t="str">
        <f t="shared" si="11"/>
        <v>chm</v>
      </c>
      <c r="P44" s="306" t="s">
        <v>428</v>
      </c>
      <c r="Q44" t="s">
        <v>427</v>
      </c>
      <c r="R44">
        <f>ricco_price_effects_and_etr!Y77</f>
        <v>60879</v>
      </c>
      <c r="S44">
        <f>ricco_price_effects_and_etr!Z77</f>
        <v>12719</v>
      </c>
      <c r="T44" s="232">
        <f>ricco_price_effects_and_etr!AA77</f>
        <v>73598</v>
      </c>
      <c r="V44" s="231">
        <f>'Full Imports'!T22</f>
        <v>0.97323828215339669</v>
      </c>
      <c r="W44" s="232" cm="1">
        <f t="array" aca="1" ref="W44" ca="1">OFFSET(INDIRECT(REPLACE(_xlfn.FORMULATEXT(V44),1,1,"")),31,0)</f>
        <v>0.95297649129346684</v>
      </c>
      <c r="Y44" s="296">
        <f t="shared" si="15"/>
        <v>15.773166860224601</v>
      </c>
      <c r="Z44" s="112">
        <f t="shared" si="15"/>
        <v>11.4638193579832</v>
      </c>
      <c r="AA44" s="112">
        <f t="shared" si="15"/>
        <v>0.80749356015557305</v>
      </c>
      <c r="AB44" s="112">
        <f t="shared" si="15"/>
        <v>1.1736701222188699</v>
      </c>
      <c r="AC44" s="112">
        <f t="shared" si="15"/>
        <v>10.6847241864885</v>
      </c>
      <c r="AD44" s="112">
        <f t="shared" si="15"/>
        <v>11.1506355576812</v>
      </c>
      <c r="AE44" s="112">
        <f t="shared" si="15"/>
        <v>10.775624293839501</v>
      </c>
      <c r="AF44" s="252">
        <f t="shared" si="15"/>
        <v>6.11475425689855</v>
      </c>
      <c r="AG44" s="112"/>
      <c r="AI44" t="s">
        <v>427</v>
      </c>
      <c r="AJ44">
        <v>0</v>
      </c>
      <c r="AK44">
        <v>12674.877</v>
      </c>
      <c r="AL44">
        <v>19086.543000000001</v>
      </c>
      <c r="AM44">
        <v>18870.645</v>
      </c>
      <c r="AN44">
        <v>4983.0450000000001</v>
      </c>
      <c r="AO44">
        <v>7950.4809999999998</v>
      </c>
      <c r="AP44">
        <v>7082.125</v>
      </c>
      <c r="AQ44">
        <v>29625.453000000001</v>
      </c>
      <c r="AR44">
        <v>3774.6210000000001</v>
      </c>
      <c r="AS44">
        <v>104047.79</v>
      </c>
      <c r="AT44">
        <f t="shared" ref="AT44:AT75" si="17">AS44-AN44-AM44-AK44</f>
        <v>67519.222999999998</v>
      </c>
      <c r="AX44" s="25" t="str">
        <f t="shared" ref="AX44:AX60" si="18">"Shock tms("&amp;CHAR(34)&amp;$L44&amp;CHAR(34)&amp;","&amp;CHAR(34)&amp;Y$11&amp;CHAR(34)&amp;","&amp;CHAR(34)&amp;"USA"&amp;CHAR(34)&amp;") = "&amp;TEXT(Y44,"0.0")&amp;";"</f>
        <v>Shock tms("chm","China","USA") = 15.8;</v>
      </c>
      <c r="AY44" t="str">
        <f t="shared" ref="AY44:AY60" si="19">"Shock tms("&amp;CHAR(34)&amp;$L44&amp;CHAR(34)&amp;","&amp;CHAR(34)&amp;Z$11&amp;CHAR(34)&amp;","&amp;CHAR(34)&amp;"USA"&amp;CHAR(34)&amp;") = "&amp;TEXT(Z44,"0.0")&amp;";"</f>
        <v>Shock tms("chm","ROW","USA") = 11.5;</v>
      </c>
      <c r="AZ44" t="str">
        <f t="shared" ref="AZ44:AZ60" si="20">"Shock tms("&amp;CHAR(34)&amp;$L44&amp;CHAR(34)&amp;","&amp;CHAR(34)&amp;AA$11&amp;CHAR(34)&amp;","&amp;CHAR(34)&amp;"USA"&amp;CHAR(34)&amp;") = "&amp;TEXT(AA44,"0.0")&amp;";"</f>
        <v>Shock tms("chm","Canada","USA") = 0.8;</v>
      </c>
      <c r="BA44" t="str">
        <f t="shared" ref="BA44:BA60" si="21">"Shock tms("&amp;CHAR(34)&amp;$L44&amp;CHAR(34)&amp;","&amp;CHAR(34)&amp;AB$11&amp;CHAR(34)&amp;","&amp;CHAR(34)&amp;"USA"&amp;CHAR(34)&amp;") = "&amp;TEXT(AB44,"0.0")&amp;";"</f>
        <v>Shock tms("chm","Mexico","USA") = 1.2;</v>
      </c>
      <c r="BB44" t="str">
        <f t="shared" ref="BB44:BB60" si="22">"Shock tms("&amp;CHAR(34)&amp;$L44&amp;CHAR(34)&amp;","&amp;CHAR(34)&amp;AC$11&amp;CHAR(34)&amp;","&amp;CHAR(34)&amp;"USA"&amp;CHAR(34)&amp;") = "&amp;TEXT(AC44,"0.0")&amp;";"</f>
        <v>Shock tms("chm","FTROW","USA") = 10.7;</v>
      </c>
      <c r="BC44" t="str">
        <f t="shared" ref="BC44:BC60" si="23">"Shock tms("&amp;CHAR(34)&amp;$L44&amp;CHAR(34)&amp;","&amp;CHAR(34)&amp;AD$11&amp;CHAR(34)&amp;","&amp;CHAR(34)&amp;"USA"&amp;CHAR(34)&amp;") = "&amp;TEXT(AD44,"0.0")&amp;";"</f>
        <v>Shock tms("chm","Japan","USA") = 11.2;</v>
      </c>
      <c r="BD44" t="str">
        <f t="shared" ref="BD44:BD60" si="24">"Shock tms("&amp;CHAR(34)&amp;$L44&amp;CHAR(34)&amp;","&amp;CHAR(34)&amp;AE$11&amp;CHAR(34)&amp;","&amp;CHAR(34)&amp;"USA"&amp;CHAR(34)&amp;") = "&amp;TEXT(AE44,"0.0")&amp;";"</f>
        <v>Shock tms("chm","EU","USA") = 10.8;</v>
      </c>
      <c r="BE44" t="str">
        <f t="shared" ref="BE44:BE60" si="25">"Shock tms("&amp;CHAR(34)&amp;$L44&amp;CHAR(34)&amp;","&amp;CHAR(34)&amp;AF$11&amp;CHAR(34)&amp;","&amp;CHAR(34)&amp;"USA"&amp;CHAR(34)&amp;") = "&amp;TEXT(AF44,"0.0")&amp;";"</f>
        <v>Shock tms("chm","UK","USA") = 6.1;</v>
      </c>
    </row>
    <row r="45" spans="1:57" ht="15" thickBot="1">
      <c r="A45" s="233"/>
      <c r="B45" s="271">
        <v>43</v>
      </c>
      <c r="C45" s="271">
        <v>11.228999999999999</v>
      </c>
      <c r="D45" s="271">
        <v>22.425000000000001</v>
      </c>
      <c r="E45" s="271">
        <v>9.1080000000000005</v>
      </c>
      <c r="F45" s="271">
        <v>11.228999999999999</v>
      </c>
      <c r="G45" s="271">
        <v>7.71</v>
      </c>
      <c r="H45" s="271">
        <v>20.66</v>
      </c>
      <c r="I45" s="268">
        <v>11.974</v>
      </c>
      <c r="J45" s="25"/>
      <c r="K45" s="306">
        <v>0</v>
      </c>
      <c r="L45" s="322" t="s">
        <v>432</v>
      </c>
      <c r="M45" s="185">
        <f t="shared" si="16"/>
        <v>0.27150565888778622</v>
      </c>
      <c r="N45" s="282">
        <f t="shared" si="14"/>
        <v>0.35489083539335409</v>
      </c>
      <c r="O45" t="str">
        <f t="shared" si="11"/>
        <v>bph</v>
      </c>
      <c r="P45" s="307" t="s">
        <v>431</v>
      </c>
      <c r="Q45" s="185" t="s">
        <v>430</v>
      </c>
      <c r="R45" s="185">
        <f>ricco_price_effects_and_etr!Y78</f>
        <v>90583</v>
      </c>
      <c r="S45" s="185">
        <f>ricco_price_effects_and_etr!Z78</f>
        <v>87568</v>
      </c>
      <c r="T45" s="282">
        <f>ricco_price_effects_and_etr!AA78</f>
        <v>178151</v>
      </c>
      <c r="U45" s="185"/>
      <c r="V45" s="281">
        <f>'Full Imports'!T22</f>
        <v>0.97323828215339669</v>
      </c>
      <c r="W45" s="282" cm="1">
        <f t="array" aca="1" ref="W45" ca="1">OFFSET(INDIRECT(REPLACE(_xlfn.FORMULATEXT(V45),1,1,"")),31,0)</f>
        <v>0.95297649129346684</v>
      </c>
      <c r="X45" s="185"/>
      <c r="Y45" s="296">
        <f t="shared" si="15"/>
        <v>10.739784325353099</v>
      </c>
      <c r="Z45" s="112">
        <f t="shared" si="15"/>
        <v>0.28133860967646102</v>
      </c>
      <c r="AA45" s="112">
        <f t="shared" si="15"/>
        <v>0.93666013000000103</v>
      </c>
      <c r="AB45" s="112">
        <f t="shared" si="15"/>
        <v>1.17558772499999</v>
      </c>
      <c r="AC45" s="112">
        <f t="shared" si="15"/>
        <v>0.130402568039617</v>
      </c>
      <c r="AD45" s="112">
        <f t="shared" si="15"/>
        <v>0.24350127858473</v>
      </c>
      <c r="AE45" s="112">
        <f t="shared" si="15"/>
        <v>4.9807747905658603E-2</v>
      </c>
      <c r="AF45" s="252">
        <f t="shared" si="15"/>
        <v>0.243275143834007</v>
      </c>
      <c r="AG45" s="297"/>
      <c r="AI45" t="s">
        <v>430</v>
      </c>
      <c r="AJ45">
        <v>0</v>
      </c>
      <c r="AK45">
        <v>3517.9140000000002</v>
      </c>
      <c r="AL45">
        <v>25402.5</v>
      </c>
      <c r="AM45">
        <v>4131.7020000000002</v>
      </c>
      <c r="AN45">
        <v>497.23399999999998</v>
      </c>
      <c r="AO45">
        <v>6352.2889999999998</v>
      </c>
      <c r="AP45">
        <v>2198.9110000000001</v>
      </c>
      <c r="AQ45">
        <v>49603.012000000002</v>
      </c>
      <c r="AR45">
        <v>8295.3770000000004</v>
      </c>
      <c r="AS45">
        <v>99998.938999999998</v>
      </c>
      <c r="AT45">
        <f t="shared" si="17"/>
        <v>91852.088999999993</v>
      </c>
      <c r="AX45" s="25" t="str">
        <f t="shared" si="18"/>
        <v>Shock tms("bph","China","USA") = 10.7;</v>
      </c>
      <c r="AY45" t="str">
        <f t="shared" si="19"/>
        <v>Shock tms("bph","ROW","USA") = 0.3;</v>
      </c>
      <c r="AZ45" t="str">
        <f t="shared" si="20"/>
        <v>Shock tms("bph","Canada","USA") = 0.9;</v>
      </c>
      <c r="BA45" t="str">
        <f t="shared" si="21"/>
        <v>Shock tms("bph","Mexico","USA") = 1.2;</v>
      </c>
      <c r="BB45" t="str">
        <f t="shared" si="22"/>
        <v>Shock tms("bph","FTROW","USA") = 0.1;</v>
      </c>
      <c r="BC45" t="str">
        <f t="shared" si="23"/>
        <v>Shock tms("bph","Japan","USA") = 0.2;</v>
      </c>
      <c r="BD45" t="str">
        <f t="shared" si="24"/>
        <v>Shock tms("bph","EU","USA") = 0.0;</v>
      </c>
      <c r="BE45" t="str">
        <f t="shared" si="25"/>
        <v>Shock tms("bph","UK","USA") = 0.2;</v>
      </c>
    </row>
    <row r="46" spans="1:57" ht="15" thickBot="1">
      <c r="K46" s="306">
        <v>0</v>
      </c>
      <c r="L46" s="28" t="s">
        <v>435</v>
      </c>
      <c r="M46">
        <f t="shared" si="16"/>
        <v>5.8744019342305593</v>
      </c>
      <c r="N46" s="232">
        <f t="shared" si="14"/>
        <v>7.6785560139542373</v>
      </c>
      <c r="O46" t="str">
        <f t="shared" si="11"/>
        <v>rpp</v>
      </c>
      <c r="P46" s="306" t="s">
        <v>434</v>
      </c>
      <c r="Q46" t="s">
        <v>433</v>
      </c>
      <c r="R46">
        <f>ricco_price_effects_and_etr!Y79</f>
        <v>25589</v>
      </c>
      <c r="S46">
        <f>ricco_price_effects_and_etr!Z79</f>
        <v>16026</v>
      </c>
      <c r="T46" s="232">
        <f>ricco_price_effects_and_etr!AA79</f>
        <v>41615</v>
      </c>
      <c r="V46" s="231">
        <f>'Full Imports'!T23</f>
        <v>0.9790470232269064</v>
      </c>
      <c r="W46" s="232" cm="1">
        <f t="array" aca="1" ref="W46" ca="1">OFFSET(INDIRECT(REPLACE(_xlfn.FORMULATEXT(V46),1,1,"")),31,0)</f>
        <v>0.93649074448148906</v>
      </c>
      <c r="Y46" s="296">
        <f t="shared" si="15"/>
        <v>20.1786776097528</v>
      </c>
      <c r="Z46" s="112">
        <f t="shared" si="15"/>
        <v>19.685640818087499</v>
      </c>
      <c r="AA46" s="112">
        <f t="shared" si="15"/>
        <v>2.9360414924950802</v>
      </c>
      <c r="AB46" s="112">
        <f t="shared" si="15"/>
        <v>4.2152840786835597</v>
      </c>
      <c r="AC46" s="112">
        <f t="shared" si="15"/>
        <v>16.505687387404802</v>
      </c>
      <c r="AD46" s="112">
        <f t="shared" si="15"/>
        <v>18.4175187020405</v>
      </c>
      <c r="AE46" s="112">
        <f t="shared" si="15"/>
        <v>16.9975095983255</v>
      </c>
      <c r="AF46" s="252">
        <f t="shared" si="15"/>
        <v>10.617490888081299</v>
      </c>
      <c r="AG46" s="112"/>
      <c r="AI46" t="s">
        <v>433</v>
      </c>
      <c r="AJ46">
        <v>0</v>
      </c>
      <c r="AK46">
        <v>18861.945</v>
      </c>
      <c r="AL46">
        <v>14761.775</v>
      </c>
      <c r="AM46">
        <v>9123.4429999999993</v>
      </c>
      <c r="AN46">
        <v>6606.5770000000002</v>
      </c>
      <c r="AO46">
        <v>5643.62</v>
      </c>
      <c r="AP46">
        <v>3316.3890000000001</v>
      </c>
      <c r="AQ46">
        <v>8005.7449999999999</v>
      </c>
      <c r="AR46">
        <v>970.57500000000005</v>
      </c>
      <c r="AS46">
        <v>67290.070999999996</v>
      </c>
      <c r="AT46">
        <f t="shared" si="17"/>
        <v>32698.106</v>
      </c>
      <c r="AX46" s="25" t="str">
        <f t="shared" si="18"/>
        <v>Shock tms("rpp","China","USA") = 20.2;</v>
      </c>
      <c r="AY46" t="str">
        <f t="shared" si="19"/>
        <v>Shock tms("rpp","ROW","USA") = 19.7;</v>
      </c>
      <c r="AZ46" t="str">
        <f t="shared" si="20"/>
        <v>Shock tms("rpp","Canada","USA") = 2.9;</v>
      </c>
      <c r="BA46" t="str">
        <f t="shared" si="21"/>
        <v>Shock tms("rpp","Mexico","USA") = 4.2;</v>
      </c>
      <c r="BB46" t="str">
        <f t="shared" si="22"/>
        <v>Shock tms("rpp","FTROW","USA") = 16.5;</v>
      </c>
      <c r="BC46" t="str">
        <f t="shared" si="23"/>
        <v>Shock tms("rpp","Japan","USA") = 18.4;</v>
      </c>
      <c r="BD46" t="str">
        <f t="shared" si="24"/>
        <v>Shock tms("rpp","EU","USA") = 17.0;</v>
      </c>
      <c r="BE46" t="str">
        <f t="shared" si="25"/>
        <v>Shock tms("rpp","UK","USA") = 10.6;</v>
      </c>
    </row>
    <row r="47" spans="1:57" ht="14.45">
      <c r="A47" s="229" t="s">
        <v>2209</v>
      </c>
      <c r="B47" s="235"/>
      <c r="C47" s="235"/>
      <c r="D47" s="235"/>
      <c r="E47" s="235"/>
      <c r="F47" s="235"/>
      <c r="G47" s="235"/>
      <c r="H47" s="235"/>
      <c r="I47" s="230"/>
      <c r="K47" s="306">
        <v>0</v>
      </c>
      <c r="L47" s="28" t="s">
        <v>438</v>
      </c>
      <c r="M47">
        <f t="shared" si="16"/>
        <v>5.8605675160647657</v>
      </c>
      <c r="N47" s="232">
        <f t="shared" si="14"/>
        <v>7.6604727510117554</v>
      </c>
      <c r="O47" t="str">
        <f t="shared" si="11"/>
        <v>nmm</v>
      </c>
      <c r="P47" s="306" t="s">
        <v>437</v>
      </c>
      <c r="Q47" t="s">
        <v>436</v>
      </c>
      <c r="R47">
        <f>ricco_price_effects_and_etr!Y80</f>
        <v>6767</v>
      </c>
      <c r="S47">
        <f>ricco_price_effects_and_etr!Z80</f>
        <v>4652</v>
      </c>
      <c r="T47" s="232">
        <f>ricco_price_effects_and_etr!AA80</f>
        <v>11419</v>
      </c>
      <c r="V47" s="231">
        <f>'Full Imports'!T24</f>
        <v>0.97787842944780456</v>
      </c>
      <c r="W47" s="232" cm="1">
        <f t="array" aca="1" ref="W47" ca="1">OFFSET(INDIRECT(REPLACE(_xlfn.FORMULATEXT(V47),1,1,"")),31,0)</f>
        <v>0.96778649063979016</v>
      </c>
      <c r="Y47" s="296">
        <f t="shared" si="15"/>
        <v>20.070729242434702</v>
      </c>
      <c r="Z47" s="112">
        <f t="shared" si="15"/>
        <v>19.139229548495901</v>
      </c>
      <c r="AA47" s="112">
        <f t="shared" si="15"/>
        <v>0.80786243175577199</v>
      </c>
      <c r="AB47" s="112">
        <f t="shared" si="15"/>
        <v>1.5223658567573399</v>
      </c>
      <c r="AC47" s="112">
        <f t="shared" si="15"/>
        <v>13.9326656933602</v>
      </c>
      <c r="AD47" s="112">
        <f t="shared" si="15"/>
        <v>15.3237973722857</v>
      </c>
      <c r="AE47" s="112">
        <f t="shared" si="15"/>
        <v>14.8565561965254</v>
      </c>
      <c r="AF47" s="252">
        <f t="shared" si="15"/>
        <v>10.1447850228948</v>
      </c>
      <c r="AG47" s="112"/>
      <c r="AI47" t="s">
        <v>436</v>
      </c>
      <c r="AJ47">
        <v>0</v>
      </c>
      <c r="AK47">
        <v>8906.3439999999991</v>
      </c>
      <c r="AL47">
        <v>4193.1559999999999</v>
      </c>
      <c r="AM47">
        <v>2340.7600000000002</v>
      </c>
      <c r="AN47">
        <v>3161.6959999999999</v>
      </c>
      <c r="AO47">
        <v>854.67100000000005</v>
      </c>
      <c r="AP47">
        <v>1236.1579999999999</v>
      </c>
      <c r="AQ47">
        <v>5757.75</v>
      </c>
      <c r="AR47">
        <v>377.00900000000001</v>
      </c>
      <c r="AS47">
        <v>26827.543000000001</v>
      </c>
      <c r="AT47">
        <f t="shared" si="17"/>
        <v>12418.743</v>
      </c>
      <c r="AX47" s="25" t="str">
        <f t="shared" si="18"/>
        <v>Shock tms("nmm","China","USA") = 20.1;</v>
      </c>
      <c r="AY47" t="str">
        <f t="shared" si="19"/>
        <v>Shock tms("nmm","ROW","USA") = 19.1;</v>
      </c>
      <c r="AZ47" t="str">
        <f t="shared" si="20"/>
        <v>Shock tms("nmm","Canada","USA") = 0.8;</v>
      </c>
      <c r="BA47" t="str">
        <f t="shared" si="21"/>
        <v>Shock tms("nmm","Mexico","USA") = 1.5;</v>
      </c>
      <c r="BB47" t="str">
        <f t="shared" si="22"/>
        <v>Shock tms("nmm","FTROW","USA") = 13.9;</v>
      </c>
      <c r="BC47" t="str">
        <f t="shared" si="23"/>
        <v>Shock tms("nmm","Japan","USA") = 15.3;</v>
      </c>
      <c r="BD47" t="str">
        <f t="shared" si="24"/>
        <v>Shock tms("nmm","EU","USA") = 14.9;</v>
      </c>
      <c r="BE47" t="str">
        <f t="shared" si="25"/>
        <v>Shock tms("nmm","UK","USA") = 10.1;</v>
      </c>
    </row>
    <row r="48" spans="1:57" ht="14.45">
      <c r="A48" s="231"/>
      <c r="B48" s="5" t="s">
        <v>32</v>
      </c>
      <c r="C48" s="5" t="s">
        <v>33</v>
      </c>
      <c r="D48" s="5" t="s">
        <v>34</v>
      </c>
      <c r="E48" s="5" t="s">
        <v>35</v>
      </c>
      <c r="F48" s="5" t="s">
        <v>36</v>
      </c>
      <c r="G48" s="5" t="s">
        <v>37</v>
      </c>
      <c r="H48" s="5" t="s">
        <v>38</v>
      </c>
      <c r="I48" s="236" t="s">
        <v>39</v>
      </c>
      <c r="J48" s="5"/>
      <c r="K48" s="306">
        <v>0</v>
      </c>
      <c r="L48" s="323" t="s">
        <v>441</v>
      </c>
      <c r="M48" s="274">
        <f t="shared" si="16"/>
        <v>5.0452870497260953</v>
      </c>
      <c r="N48" s="284">
        <f t="shared" si="14"/>
        <v>6.5948022711990415</v>
      </c>
      <c r="O48" t="str">
        <f t="shared" si="11"/>
        <v>i_s</v>
      </c>
      <c r="P48" s="308" t="s">
        <v>440</v>
      </c>
      <c r="Q48" s="274" t="s">
        <v>439</v>
      </c>
      <c r="R48" s="274">
        <f>ricco_price_effects_and_etr!Y81</f>
        <v>475</v>
      </c>
      <c r="S48" s="274">
        <f>ricco_price_effects_and_etr!Z81</f>
        <v>211</v>
      </c>
      <c r="T48" s="284">
        <f>ricco_price_effects_and_etr!AA81</f>
        <v>686</v>
      </c>
      <c r="U48" s="274"/>
      <c r="V48" s="283">
        <f>'Full Imports'!$T$25</f>
        <v>0.48159542094102281</v>
      </c>
      <c r="W48" s="284" cm="1">
        <f t="array" aca="1" ref="W48" ca="1">OFFSET(INDIRECT(REPLACE(_xlfn.FORMULATEXT(V48),1,1,"")),31,0)</f>
        <v>0.83781909293135959</v>
      </c>
      <c r="X48" s="274"/>
      <c r="Y48" s="296">
        <f t="shared" si="15"/>
        <v>31.614563508293699</v>
      </c>
      <c r="Z48" s="112">
        <f t="shared" si="15"/>
        <v>15.4677649812834</v>
      </c>
      <c r="AA48" s="112">
        <f t="shared" si="15"/>
        <v>16.955676047169302</v>
      </c>
      <c r="AB48" s="112">
        <f t="shared" si="15"/>
        <v>6.4461911350847299</v>
      </c>
      <c r="AC48" s="112">
        <f t="shared" si="15"/>
        <v>18.122499932292602</v>
      </c>
      <c r="AD48" s="112">
        <f t="shared" si="15"/>
        <v>15.715101324422999</v>
      </c>
      <c r="AE48" s="112">
        <f t="shared" si="15"/>
        <v>17.100163820844099</v>
      </c>
      <c r="AF48" s="252">
        <f t="shared" si="15"/>
        <v>11.039911204391</v>
      </c>
      <c r="AG48" s="298"/>
      <c r="AI48" t="s">
        <v>439</v>
      </c>
      <c r="AJ48">
        <v>0</v>
      </c>
      <c r="AK48">
        <v>2254.0839999999998</v>
      </c>
      <c r="AL48">
        <v>15791.179</v>
      </c>
      <c r="AM48">
        <v>7176.6940000000004</v>
      </c>
      <c r="AN48">
        <v>3075.1030000000001</v>
      </c>
      <c r="AO48">
        <v>4438.3609999999999</v>
      </c>
      <c r="AP48">
        <v>2018.742</v>
      </c>
      <c r="AQ48">
        <v>6990.3339999999998</v>
      </c>
      <c r="AR48">
        <v>741.64400000000001</v>
      </c>
      <c r="AS48">
        <v>42486.141000000003</v>
      </c>
      <c r="AT48">
        <f t="shared" si="17"/>
        <v>29980.260000000002</v>
      </c>
      <c r="AX48" s="25" t="str">
        <f t="shared" si="18"/>
        <v>Shock tms("i_s","China","USA") = 31.6;</v>
      </c>
      <c r="AY48" t="str">
        <f t="shared" si="19"/>
        <v>Shock tms("i_s","ROW","USA") = 15.5;</v>
      </c>
      <c r="AZ48" t="str">
        <f t="shared" si="20"/>
        <v>Shock tms("i_s","Canada","USA") = 17.0;</v>
      </c>
      <c r="BA48" t="str">
        <f t="shared" si="21"/>
        <v>Shock tms("i_s","Mexico","USA") = 6.4;</v>
      </c>
      <c r="BB48" t="str">
        <f t="shared" si="22"/>
        <v>Shock tms("i_s","FTROW","USA") = 18.1;</v>
      </c>
      <c r="BC48" t="str">
        <f t="shared" si="23"/>
        <v>Shock tms("i_s","Japan","USA") = 15.7;</v>
      </c>
      <c r="BD48" t="str">
        <f t="shared" si="24"/>
        <v>Shock tms("i_s","EU","USA") = 17.1;</v>
      </c>
      <c r="BE48" t="str">
        <f t="shared" si="25"/>
        <v>Shock tms("i_s","UK","USA") = 11.0;</v>
      </c>
    </row>
    <row r="49" spans="1:57" ht="14.45">
      <c r="A49" s="231" t="s">
        <v>2210</v>
      </c>
      <c r="B49" s="25">
        <v>0</v>
      </c>
      <c r="C49" s="25">
        <v>0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70">
        <v>0</v>
      </c>
      <c r="J49" s="25"/>
      <c r="K49" s="306">
        <v>0</v>
      </c>
      <c r="L49" s="323" t="s">
        <v>444</v>
      </c>
      <c r="M49" s="274">
        <f t="shared" si="16"/>
        <v>12.718264359706087</v>
      </c>
      <c r="N49" s="284">
        <f t="shared" si="14"/>
        <v>16.624314505485472</v>
      </c>
      <c r="O49" t="str">
        <f t="shared" si="11"/>
        <v>nfm</v>
      </c>
      <c r="P49" s="308" t="s">
        <v>443</v>
      </c>
      <c r="Q49" s="274" t="s">
        <v>442</v>
      </c>
      <c r="R49" s="274">
        <f>ricco_price_effects_and_etr!Y82</f>
        <v>40</v>
      </c>
      <c r="S49" s="274">
        <f>ricco_price_effects_and_etr!Z82</f>
        <v>73</v>
      </c>
      <c r="T49" s="284">
        <f>ricco_price_effects_and_etr!AA82</f>
        <v>113</v>
      </c>
      <c r="U49" s="274"/>
      <c r="V49" s="283">
        <f>'Full Imports'!$T$25</f>
        <v>0.48159542094102281</v>
      </c>
      <c r="W49" s="284" cm="1">
        <f t="array" aca="1" ref="W49" ca="1">OFFSET(INDIRECT(REPLACE(_xlfn.FORMULATEXT(V49),1,1,"")),31,0)</f>
        <v>0.83781909293135959</v>
      </c>
      <c r="X49" s="274"/>
      <c r="Y49" s="296">
        <f t="shared" si="15"/>
        <v>39.227378980554299</v>
      </c>
      <c r="Z49" s="112">
        <f t="shared" si="15"/>
        <v>13.789665535126099</v>
      </c>
      <c r="AA49" s="112">
        <f t="shared" si="15"/>
        <v>32.593436848484501</v>
      </c>
      <c r="AB49" s="112">
        <f t="shared" si="15"/>
        <v>8.6554727801627198</v>
      </c>
      <c r="AC49" s="112">
        <f t="shared" si="15"/>
        <v>9.8036574321131695</v>
      </c>
      <c r="AD49" s="112">
        <f t="shared" si="15"/>
        <v>15.039620943756599</v>
      </c>
      <c r="AE49" s="112">
        <f t="shared" si="15"/>
        <v>22.055467642790099</v>
      </c>
      <c r="AF49" s="252">
        <f t="shared" si="15"/>
        <v>6.7264050824554404</v>
      </c>
      <c r="AG49" s="298"/>
      <c r="AI49" t="s">
        <v>442</v>
      </c>
      <c r="AJ49">
        <v>0</v>
      </c>
      <c r="AK49">
        <v>2980.1179999999999</v>
      </c>
      <c r="AL49">
        <v>14947.629000000001</v>
      </c>
      <c r="AM49">
        <v>17441.734</v>
      </c>
      <c r="AN49">
        <v>7103.4070000000002</v>
      </c>
      <c r="AO49">
        <v>10875.189</v>
      </c>
      <c r="AP49">
        <v>1167.3969999999999</v>
      </c>
      <c r="AQ49">
        <v>5669.3429999999998</v>
      </c>
      <c r="AR49">
        <v>1337.819</v>
      </c>
      <c r="AS49">
        <v>61522.635999999999</v>
      </c>
      <c r="AT49">
        <f t="shared" si="17"/>
        <v>33997.376999999993</v>
      </c>
      <c r="AX49" s="25" t="str">
        <f t="shared" si="18"/>
        <v>Shock tms("nfm","China","USA") = 39.2;</v>
      </c>
      <c r="AY49" t="str">
        <f t="shared" si="19"/>
        <v>Shock tms("nfm","ROW","USA") = 13.8;</v>
      </c>
      <c r="AZ49" t="str">
        <f t="shared" si="20"/>
        <v>Shock tms("nfm","Canada","USA") = 32.6;</v>
      </c>
      <c r="BA49" t="str">
        <f t="shared" si="21"/>
        <v>Shock tms("nfm","Mexico","USA") = 8.7;</v>
      </c>
      <c r="BB49" t="str">
        <f t="shared" si="22"/>
        <v>Shock tms("nfm","FTROW","USA") = 9.8;</v>
      </c>
      <c r="BC49" t="str">
        <f t="shared" si="23"/>
        <v>Shock tms("nfm","Japan","USA") = 15.0;</v>
      </c>
      <c r="BD49" t="str">
        <f t="shared" si="24"/>
        <v>Shock tms("nfm","EU","USA") = 22.1;</v>
      </c>
      <c r="BE49" t="str">
        <f t="shared" si="25"/>
        <v>Shock tms("nfm","UK","USA") = 6.7;</v>
      </c>
    </row>
    <row r="50" spans="1:57" ht="14.45">
      <c r="A50" s="231" t="s">
        <v>2211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252">
        <v>0</v>
      </c>
      <c r="J50" s="112"/>
      <c r="K50" s="306">
        <v>0</v>
      </c>
      <c r="L50" s="28" t="s">
        <v>447</v>
      </c>
      <c r="M50">
        <f t="shared" si="16"/>
        <v>13.811483498246094</v>
      </c>
      <c r="N50" s="232">
        <f t="shared" si="14"/>
        <v>18.053284549549328</v>
      </c>
      <c r="O50" t="str">
        <f t="shared" si="11"/>
        <v>fmp</v>
      </c>
      <c r="P50" s="306" t="s">
        <v>446</v>
      </c>
      <c r="Q50" t="s">
        <v>445</v>
      </c>
      <c r="R50">
        <f>ricco_price_effects_and_etr!Y83</f>
        <v>11783</v>
      </c>
      <c r="S50">
        <f>ricco_price_effects_and_etr!Z83</f>
        <v>6321</v>
      </c>
      <c r="T50" s="232">
        <f>ricco_price_effects_and_etr!AA83</f>
        <v>18103</v>
      </c>
      <c r="V50" s="231">
        <f>'Full Imports'!T26</f>
        <v>0.62633165520178213</v>
      </c>
      <c r="W50" s="232" cm="1">
        <f t="array" aca="1" ref="W50" ca="1">OFFSET(INDIRECT(REPLACE(_xlfn.FORMULATEXT(V50),1,1,"")),31,0)</f>
        <v>0.68028046979175061</v>
      </c>
      <c r="Y50" s="296">
        <f t="shared" si="15"/>
        <v>46.164871252000502</v>
      </c>
      <c r="Z50" s="112">
        <f t="shared" si="15"/>
        <v>38.514976870921501</v>
      </c>
      <c r="AA50" s="112">
        <f t="shared" si="15"/>
        <v>39.0032743466708</v>
      </c>
      <c r="AB50" s="112">
        <f t="shared" si="15"/>
        <v>37.947248008114997</v>
      </c>
      <c r="AC50" s="112">
        <f t="shared" si="15"/>
        <v>36.3148107669426</v>
      </c>
      <c r="AD50" s="112">
        <f t="shared" si="15"/>
        <v>33.977703006001001</v>
      </c>
      <c r="AE50" s="112">
        <f t="shared" si="15"/>
        <v>33.511394315509797</v>
      </c>
      <c r="AF50" s="252">
        <f t="shared" si="15"/>
        <v>16.9527633503175</v>
      </c>
      <c r="AG50" s="112"/>
      <c r="AI50" t="s">
        <v>445</v>
      </c>
      <c r="AJ50">
        <v>0</v>
      </c>
      <c r="AK50">
        <v>19251.881000000001</v>
      </c>
      <c r="AL50">
        <v>9749.9779999999992</v>
      </c>
      <c r="AM50">
        <v>7071.7</v>
      </c>
      <c r="AN50">
        <v>6571.65</v>
      </c>
      <c r="AO50">
        <v>3090.395</v>
      </c>
      <c r="AP50">
        <v>2934.6529999999998</v>
      </c>
      <c r="AQ50">
        <v>9348.1370000000006</v>
      </c>
      <c r="AR50">
        <v>873.71299999999997</v>
      </c>
      <c r="AS50">
        <v>58892.106</v>
      </c>
      <c r="AT50">
        <f t="shared" si="17"/>
        <v>25996.875</v>
      </c>
      <c r="AX50" s="25" t="str">
        <f t="shared" si="18"/>
        <v>Shock tms("fmp","China","USA") = 46.2;</v>
      </c>
      <c r="AY50" t="str">
        <f t="shared" si="19"/>
        <v>Shock tms("fmp","ROW","USA") = 38.5;</v>
      </c>
      <c r="AZ50" t="str">
        <f t="shared" si="20"/>
        <v>Shock tms("fmp","Canada","USA") = 39.0;</v>
      </c>
      <c r="BA50" t="str">
        <f t="shared" si="21"/>
        <v>Shock tms("fmp","Mexico","USA") = 37.9;</v>
      </c>
      <c r="BB50" t="str">
        <f t="shared" si="22"/>
        <v>Shock tms("fmp","FTROW","USA") = 36.3;</v>
      </c>
      <c r="BC50" t="str">
        <f t="shared" si="23"/>
        <v>Shock tms("fmp","Japan","USA") = 34.0;</v>
      </c>
      <c r="BD50" t="str">
        <f t="shared" si="24"/>
        <v>Shock tms("fmp","EU","USA") = 33.5;</v>
      </c>
      <c r="BE50" t="str">
        <f t="shared" si="25"/>
        <v>Shock tms("fmp","UK","USA") = 17.0;</v>
      </c>
    </row>
    <row r="51" spans="1:57" ht="14.45">
      <c r="A51" s="231" t="s">
        <v>2212</v>
      </c>
      <c r="B51" s="25">
        <v>25</v>
      </c>
      <c r="C51" s="25">
        <v>25</v>
      </c>
      <c r="D51" s="25">
        <v>25</v>
      </c>
      <c r="E51" s="25">
        <v>25</v>
      </c>
      <c r="F51" s="25">
        <v>25</v>
      </c>
      <c r="G51" s="25">
        <v>15</v>
      </c>
      <c r="H51" s="25">
        <v>15</v>
      </c>
      <c r="I51" s="270">
        <v>10</v>
      </c>
      <c r="J51" s="25"/>
      <c r="K51" s="306">
        <v>0</v>
      </c>
      <c r="L51" s="324" t="s">
        <v>450</v>
      </c>
      <c r="M51" s="121">
        <f t="shared" si="16"/>
        <v>12.969800583104863</v>
      </c>
      <c r="N51" s="286">
        <f t="shared" si="14"/>
        <v>16.953102865990971</v>
      </c>
      <c r="O51" t="str">
        <f t="shared" si="11"/>
        <v>ele</v>
      </c>
      <c r="P51" s="309" t="s">
        <v>449</v>
      </c>
      <c r="Q51" s="121" t="s">
        <v>448</v>
      </c>
      <c r="R51" s="121">
        <f>ricco_price_effects_and_etr!Y84</f>
        <v>13428</v>
      </c>
      <c r="S51" s="121">
        <f>ricco_price_effects_and_etr!Z84</f>
        <v>81802</v>
      </c>
      <c r="T51" s="286">
        <f>ricco_price_effects_and_etr!AA84</f>
        <v>95229</v>
      </c>
      <c r="U51" s="121"/>
      <c r="V51" s="285">
        <f>'Full Imports'!T28</f>
        <v>0.80307457054077569</v>
      </c>
      <c r="W51" s="286" cm="1">
        <f t="array" aca="1" ref="W51" ca="1">OFFSET(INDIRECT(REPLACE(_xlfn.FORMULATEXT(V51),1,1,"")),31,0)</f>
        <v>0.95737998075796116</v>
      </c>
      <c r="X51" s="121"/>
      <c r="Y51" s="296">
        <f t="shared" si="15"/>
        <v>20.251318223404802</v>
      </c>
      <c r="Z51" s="112">
        <f t="shared" si="15"/>
        <v>13.742598705625801</v>
      </c>
      <c r="AA51" s="112">
        <f t="shared" si="15"/>
        <v>9.4027954169206396</v>
      </c>
      <c r="AB51" s="112">
        <f t="shared" si="15"/>
        <v>9.5508613051271904</v>
      </c>
      <c r="AC51" s="112">
        <f t="shared" si="15"/>
        <v>8.0966653340067793</v>
      </c>
      <c r="AD51" s="112">
        <f t="shared" si="15"/>
        <v>12.683390547884001</v>
      </c>
      <c r="AE51" s="112">
        <f t="shared" si="15"/>
        <v>13.715932364155099</v>
      </c>
      <c r="AF51" s="252">
        <f t="shared" si="15"/>
        <v>10.855498399535399</v>
      </c>
      <c r="AG51" s="299"/>
      <c r="AI51" t="s">
        <v>448</v>
      </c>
      <c r="AJ51">
        <v>0</v>
      </c>
      <c r="AK51">
        <v>151785.40599999999</v>
      </c>
      <c r="AL51">
        <v>56996.620999999999</v>
      </c>
      <c r="AM51">
        <v>7742.5469999999996</v>
      </c>
      <c r="AN51">
        <v>67436.483999999997</v>
      </c>
      <c r="AO51">
        <v>26566.932000000001</v>
      </c>
      <c r="AP51">
        <v>14635.42</v>
      </c>
      <c r="AQ51">
        <v>30387.383000000002</v>
      </c>
      <c r="AR51">
        <v>5465.96</v>
      </c>
      <c r="AS51">
        <v>361016.75300000003</v>
      </c>
      <c r="AT51">
        <f t="shared" si="17"/>
        <v>134052.31600000002</v>
      </c>
      <c r="AX51" s="25" t="str">
        <f t="shared" si="18"/>
        <v>Shock tms("ele","China","USA") = 20.3;</v>
      </c>
      <c r="AY51" t="str">
        <f t="shared" si="19"/>
        <v>Shock tms("ele","ROW","USA") = 13.7;</v>
      </c>
      <c r="AZ51" t="str">
        <f t="shared" si="20"/>
        <v>Shock tms("ele","Canada","USA") = 9.4;</v>
      </c>
      <c r="BA51" t="str">
        <f t="shared" si="21"/>
        <v>Shock tms("ele","Mexico","USA") = 9.6;</v>
      </c>
      <c r="BB51" t="str">
        <f t="shared" si="22"/>
        <v>Shock tms("ele","FTROW","USA") = 8.1;</v>
      </c>
      <c r="BC51" t="str">
        <f t="shared" si="23"/>
        <v>Shock tms("ele","Japan","USA") = 12.7;</v>
      </c>
      <c r="BD51" t="str">
        <f t="shared" si="24"/>
        <v>Shock tms("ele","EU","USA") = 13.7;</v>
      </c>
      <c r="BE51" t="str">
        <f t="shared" si="25"/>
        <v>Shock tms("ele","UK","USA") = 10.9;</v>
      </c>
    </row>
    <row r="52" spans="1:57" ht="14.45">
      <c r="A52" s="231" t="s">
        <v>2213</v>
      </c>
      <c r="B52" s="112">
        <f>'232 Shares Ernie'!S17*100</f>
        <v>15.886528983252395</v>
      </c>
      <c r="C52" s="112">
        <f>'232 Shares Ernie'!T17*100</f>
        <v>21.365211768074921</v>
      </c>
      <c r="D52" s="112">
        <f>'232 Shares Ernie'!U17*100</f>
        <v>32.782128087375312</v>
      </c>
      <c r="E52" s="112">
        <f>'232 Shares Ernie'!V17*100</f>
        <v>13.74117176230131</v>
      </c>
      <c r="F52" s="112">
        <f>'232 Shares Ernie'!W17*100</f>
        <v>21.365211768074921</v>
      </c>
      <c r="G52" s="112">
        <f>'232 Shares Ernie'!X17*100</f>
        <v>0.6613040734866491</v>
      </c>
      <c r="H52" s="112">
        <f>'232 Shares Ernie'!Y17*100</f>
        <v>9.8651358977043042</v>
      </c>
      <c r="I52" s="252">
        <f>'232 Shares Ernie'!Z17*100</f>
        <v>8.3441866213104934</v>
      </c>
      <c r="J52" s="112"/>
      <c r="K52" s="306">
        <v>0</v>
      </c>
      <c r="L52" s="325" t="s">
        <v>453</v>
      </c>
      <c r="M52" s="275">
        <f t="shared" si="16"/>
        <v>13.958405135950699</v>
      </c>
      <c r="N52" s="288">
        <f t="shared" si="14"/>
        <v>18.245328954649175</v>
      </c>
      <c r="O52" t="str">
        <f t="shared" si="11"/>
        <v>eeq</v>
      </c>
      <c r="P52" s="310" t="s">
        <v>452</v>
      </c>
      <c r="Q52" s="275" t="s">
        <v>451</v>
      </c>
      <c r="R52" s="275">
        <f>ricco_price_effects_and_etr!Y85</f>
        <v>19913</v>
      </c>
      <c r="S52" s="275">
        <f>ricco_price_effects_and_etr!Z85</f>
        <v>42095</v>
      </c>
      <c r="T52" s="288">
        <f>ricco_price_effects_and_etr!AA85</f>
        <v>62008</v>
      </c>
      <c r="U52" s="275"/>
      <c r="V52" s="287">
        <f>'Full Imports'!T29</f>
        <v>0.88033839801684477</v>
      </c>
      <c r="W52" s="288" cm="1">
        <f t="array" aca="1" ref="W52" ca="1">OFFSET(INDIRECT(REPLACE(_xlfn.FORMULATEXT(V52),1,1,"")),31,0)</f>
        <v>0.89965837617278743</v>
      </c>
      <c r="X52" s="275"/>
      <c r="Y52" s="296">
        <f t="shared" si="15"/>
        <v>28.929156917525098</v>
      </c>
      <c r="Z52" s="112">
        <f t="shared" si="15"/>
        <v>22.8320491939714</v>
      </c>
      <c r="AA52" s="112">
        <f t="shared" si="15"/>
        <v>12.2341365508758</v>
      </c>
      <c r="AB52" s="112">
        <f t="shared" si="15"/>
        <v>10.8371433136747</v>
      </c>
      <c r="AC52" s="112">
        <f t="shared" si="15"/>
        <v>20.538416813829699</v>
      </c>
      <c r="AD52" s="112">
        <f t="shared" si="15"/>
        <v>20.2778834940172</v>
      </c>
      <c r="AE52" s="112">
        <f t="shared" si="15"/>
        <v>19.557311432041502</v>
      </c>
      <c r="AF52" s="252">
        <f t="shared" si="15"/>
        <v>16.022447437661601</v>
      </c>
      <c r="AG52" s="300"/>
      <c r="AI52" t="s">
        <v>451</v>
      </c>
      <c r="AJ52">
        <v>0</v>
      </c>
      <c r="AK52">
        <v>52369.48</v>
      </c>
      <c r="AL52">
        <v>16150.348</v>
      </c>
      <c r="AM52">
        <v>5523.8980000000001</v>
      </c>
      <c r="AN52">
        <v>41184.523000000001</v>
      </c>
      <c r="AO52">
        <v>8584.0290000000005</v>
      </c>
      <c r="AP52">
        <v>10128.419</v>
      </c>
      <c r="AQ52">
        <v>16629.465</v>
      </c>
      <c r="AR52">
        <v>1901.3910000000001</v>
      </c>
      <c r="AS52">
        <v>152471.554</v>
      </c>
      <c r="AT52">
        <f t="shared" si="17"/>
        <v>53393.652999999998</v>
      </c>
      <c r="AX52" s="25" t="str">
        <f t="shared" si="18"/>
        <v>Shock tms("eeq","China","USA") = 28.9;</v>
      </c>
      <c r="AY52" t="str">
        <f t="shared" si="19"/>
        <v>Shock tms("eeq","ROW","USA") = 22.8;</v>
      </c>
      <c r="AZ52" t="str">
        <f t="shared" si="20"/>
        <v>Shock tms("eeq","Canada","USA") = 12.2;</v>
      </c>
      <c r="BA52" t="str">
        <f t="shared" si="21"/>
        <v>Shock tms("eeq","Mexico","USA") = 10.8;</v>
      </c>
      <c r="BB52" t="str">
        <f t="shared" si="22"/>
        <v>Shock tms("eeq","FTROW","USA") = 20.5;</v>
      </c>
      <c r="BC52" t="str">
        <f t="shared" si="23"/>
        <v>Shock tms("eeq","Japan","USA") = 20.3;</v>
      </c>
      <c r="BD52" t="str">
        <f t="shared" si="24"/>
        <v>Shock tms("eeq","EU","USA") = 19.6;</v>
      </c>
      <c r="BE52" t="str">
        <f t="shared" si="25"/>
        <v>Shock tms("eeq","UK","USA") = 16.0;</v>
      </c>
    </row>
    <row r="53" spans="1:57" ht="14.45">
      <c r="A53" s="231" t="s">
        <v>2214</v>
      </c>
      <c r="B53" s="25">
        <v>30</v>
      </c>
      <c r="C53" s="25">
        <v>30</v>
      </c>
      <c r="D53" s="25">
        <v>30</v>
      </c>
      <c r="E53" s="25">
        <v>30</v>
      </c>
      <c r="F53" s="25">
        <v>30</v>
      </c>
      <c r="G53" s="25">
        <v>15</v>
      </c>
      <c r="H53" s="25">
        <v>15</v>
      </c>
      <c r="I53" s="270">
        <v>10</v>
      </c>
      <c r="J53" s="25"/>
      <c r="K53" s="306">
        <v>0</v>
      </c>
      <c r="L53" s="28" t="s">
        <v>456</v>
      </c>
      <c r="M53">
        <f t="shared" si="16"/>
        <v>8.3289432031056254</v>
      </c>
      <c r="N53" s="232">
        <f t="shared" si="14"/>
        <v>10.886939238771516</v>
      </c>
      <c r="O53" t="str">
        <f t="shared" si="11"/>
        <v>ome</v>
      </c>
      <c r="P53" s="306" t="s">
        <v>455</v>
      </c>
      <c r="Q53" t="s">
        <v>454</v>
      </c>
      <c r="R53">
        <f>ricco_price_effects_and_etr!Y86</f>
        <v>5864</v>
      </c>
      <c r="S53">
        <f>ricco_price_effects_and_etr!Z86</f>
        <v>4379</v>
      </c>
      <c r="T53" s="232">
        <f>ricco_price_effects_and_etr!AA86</f>
        <v>10243</v>
      </c>
      <c r="V53" s="231">
        <f>'Full Imports'!T27</f>
        <v>0.89491869843903227</v>
      </c>
      <c r="W53" s="232" cm="1">
        <f t="array" aca="1" ref="W53" ca="1">OFFSET(INDIRECT(REPLACE(_xlfn.FORMULATEXT(V53),1,1,"")),31,0)</f>
        <v>0.729204175781062</v>
      </c>
      <c r="Y53" s="296">
        <f t="shared" si="15"/>
        <v>26.444111758977801</v>
      </c>
      <c r="Z53" s="112">
        <f t="shared" si="15"/>
        <v>22.701646552261298</v>
      </c>
      <c r="AA53" s="112">
        <f t="shared" si="15"/>
        <v>10.0265463039384</v>
      </c>
      <c r="AB53" s="112">
        <f t="shared" si="15"/>
        <v>16.5004164254992</v>
      </c>
      <c r="AC53" s="112">
        <f t="shared" si="15"/>
        <v>20.6937979222728</v>
      </c>
      <c r="AD53" s="112">
        <f t="shared" si="15"/>
        <v>19.3868233763333</v>
      </c>
      <c r="AE53" s="112">
        <f t="shared" si="15"/>
        <v>18.721309665632901</v>
      </c>
      <c r="AF53" s="252">
        <f t="shared" si="15"/>
        <v>12.7816159891096</v>
      </c>
      <c r="AG53" s="112"/>
      <c r="AI53" t="s">
        <v>454</v>
      </c>
      <c r="AJ53">
        <v>0</v>
      </c>
      <c r="AK53">
        <v>32333.43</v>
      </c>
      <c r="AL53">
        <v>18883.061000000002</v>
      </c>
      <c r="AM53">
        <v>15934.606</v>
      </c>
      <c r="AN53">
        <v>23495.690999999999</v>
      </c>
      <c r="AO53">
        <v>10188.998</v>
      </c>
      <c r="AP53">
        <v>24283.813999999998</v>
      </c>
      <c r="AQ53">
        <v>47345.105000000003</v>
      </c>
      <c r="AR53">
        <v>5840.6369999999997</v>
      </c>
      <c r="AS53">
        <v>178305.34299999999</v>
      </c>
      <c r="AT53">
        <f t="shared" si="17"/>
        <v>106541.61600000001</v>
      </c>
      <c r="AX53" s="25" t="str">
        <f t="shared" si="18"/>
        <v>Shock tms("ome","China","USA") = 26.4;</v>
      </c>
      <c r="AY53" t="str">
        <f t="shared" si="19"/>
        <v>Shock tms("ome","ROW","USA") = 22.7;</v>
      </c>
      <c r="AZ53" t="str">
        <f t="shared" si="20"/>
        <v>Shock tms("ome","Canada","USA") = 10.0;</v>
      </c>
      <c r="BA53" t="str">
        <f t="shared" si="21"/>
        <v>Shock tms("ome","Mexico","USA") = 16.5;</v>
      </c>
      <c r="BB53" t="str">
        <f t="shared" si="22"/>
        <v>Shock tms("ome","FTROW","USA") = 20.7;</v>
      </c>
      <c r="BC53" t="str">
        <f t="shared" si="23"/>
        <v>Shock tms("ome","Japan","USA") = 19.4;</v>
      </c>
      <c r="BD53" t="str">
        <f t="shared" si="24"/>
        <v>Shock tms("ome","EU","USA") = 18.7;</v>
      </c>
      <c r="BE53" t="str">
        <f t="shared" si="25"/>
        <v>Shock tms("ome","UK","USA") = 12.8;</v>
      </c>
    </row>
    <row r="54" spans="1:57" ht="14.45">
      <c r="A54" s="231" t="s">
        <v>2215</v>
      </c>
      <c r="B54" s="112">
        <f>'232 Shares Ernie'!AB17*100</f>
        <v>2.8496659873363579</v>
      </c>
      <c r="C54" s="112">
        <f>'232 Shares Ernie'!AC17*100</f>
        <v>4.7999654685840172</v>
      </c>
      <c r="D54" s="112">
        <f>'232 Shares Ernie'!AD17*100</f>
        <v>1.7541589745302948</v>
      </c>
      <c r="E54" s="112">
        <f>'232 Shares Ernie'!AE17*100</f>
        <v>2.5164838627111288</v>
      </c>
      <c r="F54" s="112">
        <f>'232 Shares Ernie'!AF17*100</f>
        <v>4.7999654685840172</v>
      </c>
      <c r="G54" s="112">
        <f>'232 Shares Ernie'!AG17*100</f>
        <v>3.2329738674660359E-2</v>
      </c>
      <c r="H54" s="112">
        <f>'232 Shares Ernie'!AH17*100</f>
        <v>1.2430524441889994</v>
      </c>
      <c r="I54" s="252">
        <f>'232 Shares Ernie'!AI17*100</f>
        <v>0.47890605857775265</v>
      </c>
      <c r="J54" s="112"/>
      <c r="K54" s="306">
        <v>0</v>
      </c>
      <c r="L54" s="326" t="s">
        <v>459</v>
      </c>
      <c r="M54" s="186">
        <f>(S54/T54)*SUMPRODUCT(Y54:AF54,AK54:AR54)/AS54</f>
        <v>9.6541433144711579</v>
      </c>
      <c r="N54" s="290">
        <f>$B$10*M54/$M$10</f>
        <v>12.619136558387074</v>
      </c>
      <c r="O54" t="str">
        <f t="shared" si="11"/>
        <v>mvh</v>
      </c>
      <c r="P54" s="311" t="s">
        <v>458</v>
      </c>
      <c r="Q54" s="186" t="s">
        <v>457</v>
      </c>
      <c r="R54" s="186">
        <f>ricco_price_effects_and_etr!Y87</f>
        <v>133327</v>
      </c>
      <c r="S54" s="186">
        <f>ricco_price_effects_and_etr!Z87</f>
        <v>104130</v>
      </c>
      <c r="T54" s="290">
        <f>ricco_price_effects_and_etr!AA87</f>
        <v>237456</v>
      </c>
      <c r="U54" s="186"/>
      <c r="V54" s="289">
        <f>'Full Imports'!T30</f>
        <v>0.91364601028105119</v>
      </c>
      <c r="W54" s="290" cm="1">
        <f t="array" aca="1" ref="W54" ca="1">OFFSET(INDIRECT(REPLACE(_xlfn.FORMULATEXT(V54),1,1,"")),31,0)</f>
        <v>0.71449869134038746</v>
      </c>
      <c r="X54" s="186"/>
      <c r="Y54" s="296">
        <f t="shared" si="15"/>
        <v>34.390747081693902</v>
      </c>
      <c r="Z54" s="112">
        <f t="shared" si="15"/>
        <v>27.936524001579901</v>
      </c>
      <c r="AA54" s="112">
        <f t="shared" si="15"/>
        <v>17.9628780142491</v>
      </c>
      <c r="AB54" s="112">
        <f t="shared" si="15"/>
        <v>18.391115113114299</v>
      </c>
      <c r="AC54" s="112">
        <f t="shared" si="15"/>
        <v>25.012810895904501</v>
      </c>
      <c r="AD54" s="112">
        <f t="shared" si="15"/>
        <v>24.108957099543399</v>
      </c>
      <c r="AE54" s="112">
        <f t="shared" si="15"/>
        <v>23.972766535126102</v>
      </c>
      <c r="AF54" s="252">
        <f t="shared" si="15"/>
        <v>23.507096380563102</v>
      </c>
      <c r="AG54" s="301"/>
      <c r="AI54" t="s">
        <v>457</v>
      </c>
      <c r="AJ54">
        <v>0</v>
      </c>
      <c r="AK54">
        <v>18365.655999999999</v>
      </c>
      <c r="AL54">
        <v>9111.9580000000005</v>
      </c>
      <c r="AM54">
        <v>58783.440999999999</v>
      </c>
      <c r="AN54">
        <v>91874.741999999998</v>
      </c>
      <c r="AO54">
        <v>21930.312999999998</v>
      </c>
      <c r="AP54">
        <v>53378.101999999999</v>
      </c>
      <c r="AQ54">
        <v>49854.938000000002</v>
      </c>
      <c r="AR54">
        <v>9928.3590000000004</v>
      </c>
      <c r="AS54">
        <v>313227.50900000002</v>
      </c>
      <c r="AT54">
        <f t="shared" si="17"/>
        <v>144203.67000000004</v>
      </c>
      <c r="AX54" s="25" t="str">
        <f t="shared" si="18"/>
        <v>Shock tms("mvh","China","USA") = 34.4;</v>
      </c>
      <c r="AY54" t="str">
        <f t="shared" si="19"/>
        <v>Shock tms("mvh","ROW","USA") = 27.9;</v>
      </c>
      <c r="AZ54" t="str">
        <f t="shared" si="20"/>
        <v>Shock tms("mvh","Canada","USA") = 18.0;</v>
      </c>
      <c r="BA54" t="str">
        <f t="shared" si="21"/>
        <v>Shock tms("mvh","Mexico","USA") = 18.4;</v>
      </c>
      <c r="BB54" t="str">
        <f t="shared" si="22"/>
        <v>Shock tms("mvh","FTROW","USA") = 25.0;</v>
      </c>
      <c r="BC54" t="str">
        <f t="shared" si="23"/>
        <v>Shock tms("mvh","Japan","USA") = 24.1;</v>
      </c>
      <c r="BD54" t="str">
        <f t="shared" si="24"/>
        <v>Shock tms("mvh","EU","USA") = 24.0;</v>
      </c>
      <c r="BE54" t="str">
        <f t="shared" si="25"/>
        <v>Shock tms("mvh","UK","USA") = 23.5;</v>
      </c>
    </row>
    <row r="55" spans="1:57" ht="14.45">
      <c r="A55" s="362" t="s">
        <v>2216</v>
      </c>
      <c r="B55" s="321">
        <v>0</v>
      </c>
      <c r="C55" s="321">
        <v>0</v>
      </c>
      <c r="D55" s="321">
        <v>0</v>
      </c>
      <c r="E55" s="321">
        <v>0</v>
      </c>
      <c r="F55" s="321">
        <v>0</v>
      </c>
      <c r="G55" s="321">
        <v>0</v>
      </c>
      <c r="H55" s="321">
        <v>0</v>
      </c>
      <c r="I55" s="272">
        <v>0</v>
      </c>
      <c r="J55" s="321"/>
      <c r="K55" s="306">
        <v>0</v>
      </c>
      <c r="L55" s="28" t="s">
        <v>462</v>
      </c>
      <c r="M55">
        <f t="shared" si="16"/>
        <v>5.9641307775091983</v>
      </c>
      <c r="N55" s="232">
        <f t="shared" si="14"/>
        <v>7.7958424980757215</v>
      </c>
      <c r="O55" t="str">
        <f t="shared" si="11"/>
        <v>otn</v>
      </c>
      <c r="P55" s="306" t="s">
        <v>461</v>
      </c>
      <c r="Q55" t="s">
        <v>460</v>
      </c>
      <c r="R55">
        <f>ricco_price_effects_and_etr!Y88</f>
        <v>12737</v>
      </c>
      <c r="S55">
        <f>ricco_price_effects_and_etr!Z88</f>
        <v>8971</v>
      </c>
      <c r="T55" s="232">
        <f>ricco_price_effects_and_etr!AA88</f>
        <v>21708</v>
      </c>
      <c r="V55" s="231">
        <f>'Full Imports'!T30</f>
        <v>0.91364601028105119</v>
      </c>
      <c r="W55" s="232" cm="1">
        <f t="array" aca="1" ref="W55" ca="1">OFFSET(INDIRECT(REPLACE(_xlfn.FORMULATEXT(V55),1,1,"")),31,0)</f>
        <v>0.71449869134038746</v>
      </c>
      <c r="Y55" s="296">
        <f t="shared" si="15"/>
        <v>20.242363472457299</v>
      </c>
      <c r="Z55" s="112">
        <f t="shared" si="15"/>
        <v>17.9002278595758</v>
      </c>
      <c r="AA55" s="112">
        <f t="shared" si="15"/>
        <v>4.1145887806465797</v>
      </c>
      <c r="AB55" s="112">
        <f t="shared" si="15"/>
        <v>8.1952238394807093</v>
      </c>
      <c r="AC55" s="112">
        <f t="shared" si="15"/>
        <v>18.597107461953801</v>
      </c>
      <c r="AD55" s="112">
        <f t="shared" si="15"/>
        <v>15.5652506995244</v>
      </c>
      <c r="AE55" s="112">
        <f t="shared" si="15"/>
        <v>16.259658828617301</v>
      </c>
      <c r="AF55" s="252">
        <f t="shared" si="15"/>
        <v>11.8757059509756</v>
      </c>
      <c r="AG55" s="112"/>
      <c r="AI55" t="s">
        <v>460</v>
      </c>
      <c r="AJ55">
        <v>0</v>
      </c>
      <c r="AK55">
        <v>5336.0910000000003</v>
      </c>
      <c r="AL55">
        <v>7591.2669999999998</v>
      </c>
      <c r="AM55">
        <v>9044.7569999999996</v>
      </c>
      <c r="AN55">
        <v>2569.7150000000001</v>
      </c>
      <c r="AO55">
        <v>4155.0559999999996</v>
      </c>
      <c r="AP55">
        <v>6800.3149999999996</v>
      </c>
      <c r="AQ55">
        <v>24731.803</v>
      </c>
      <c r="AR55">
        <v>7120.6970000000001</v>
      </c>
      <c r="AS55">
        <v>67349.7</v>
      </c>
      <c r="AT55">
        <f t="shared" si="17"/>
        <v>50399.137000000002</v>
      </c>
      <c r="AX55" s="25" t="str">
        <f t="shared" si="18"/>
        <v>Shock tms("otn","China","USA") = 20.2;</v>
      </c>
      <c r="AY55" t="str">
        <f t="shared" si="19"/>
        <v>Shock tms("otn","ROW","USA") = 17.9;</v>
      </c>
      <c r="AZ55" t="str">
        <f t="shared" si="20"/>
        <v>Shock tms("otn","Canada","USA") = 4.1;</v>
      </c>
      <c r="BA55" t="str">
        <f t="shared" si="21"/>
        <v>Shock tms("otn","Mexico","USA") = 8.2;</v>
      </c>
      <c r="BB55" t="str">
        <f t="shared" si="22"/>
        <v>Shock tms("otn","FTROW","USA") = 18.6;</v>
      </c>
      <c r="BC55" t="str">
        <f t="shared" si="23"/>
        <v>Shock tms("otn","Japan","USA") = 15.6;</v>
      </c>
      <c r="BD55" t="str">
        <f t="shared" si="24"/>
        <v>Shock tms("otn","EU","USA") = 16.3;</v>
      </c>
      <c r="BE55" t="str">
        <f t="shared" si="25"/>
        <v>Shock tms("otn","UK","USA") = 11.9;</v>
      </c>
    </row>
    <row r="56" spans="1:57" ht="14.45">
      <c r="A56" t="s">
        <v>2217</v>
      </c>
      <c r="B56" s="60">
        <v>0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60">
        <v>0</v>
      </c>
      <c r="I56" s="252">
        <v>0</v>
      </c>
      <c r="J56" s="60"/>
      <c r="K56" s="306">
        <v>0</v>
      </c>
      <c r="L56" s="327" t="s">
        <v>465</v>
      </c>
      <c r="M56" s="251">
        <f t="shared" si="16"/>
        <v>5.9024872566734485</v>
      </c>
      <c r="N56" s="292">
        <f t="shared" si="14"/>
        <v>7.715266937715012</v>
      </c>
      <c r="O56" t="str">
        <f t="shared" si="11"/>
        <v>omf</v>
      </c>
      <c r="P56" s="312" t="s">
        <v>464</v>
      </c>
      <c r="Q56" s="251" t="s">
        <v>463</v>
      </c>
      <c r="R56" s="251">
        <f>ricco_price_effects_and_etr!Y89</f>
        <v>251158</v>
      </c>
      <c r="S56" s="251">
        <f>ricco_price_effects_and_etr!Z89</f>
        <v>98511</v>
      </c>
      <c r="T56" s="292">
        <f>ricco_price_effects_and_etr!AA89</f>
        <v>349669</v>
      </c>
      <c r="U56" s="251"/>
      <c r="V56" s="291">
        <f>SUM('Full Imports'!S31:S32)/SUM('Full Imports'!H31:H32)</f>
        <v>7.4251513427992494E-2</v>
      </c>
      <c r="W56" s="292">
        <f>SUM('Full Imports'!S62:S63)/SUM('Full Imports'!H62:H63)</f>
        <v>0.10644219692281032</v>
      </c>
      <c r="X56" s="251"/>
      <c r="Y56" s="296">
        <f t="shared" si="15"/>
        <v>25.946844426753199</v>
      </c>
      <c r="Z56" s="112">
        <f t="shared" si="15"/>
        <v>17.428308735175701</v>
      </c>
      <c r="AA56" s="112">
        <f t="shared" si="15"/>
        <v>34.093900913230499</v>
      </c>
      <c r="AB56" s="112">
        <f t="shared" si="15"/>
        <v>23.943862170166302</v>
      </c>
      <c r="AC56" s="112">
        <f t="shared" si="15"/>
        <v>13.9305290318039</v>
      </c>
      <c r="AD56" s="112">
        <f t="shared" si="15"/>
        <v>15.6432098492965</v>
      </c>
      <c r="AE56" s="112">
        <f t="shared" si="15"/>
        <v>15.7775595639953</v>
      </c>
      <c r="AF56" s="252">
        <f t="shared" si="15"/>
        <v>9.7590054264703596</v>
      </c>
      <c r="AG56" s="302"/>
      <c r="AI56" t="s">
        <v>463</v>
      </c>
      <c r="AJ56">
        <v>0</v>
      </c>
      <c r="AK56">
        <v>60206.457000000002</v>
      </c>
      <c r="AL56">
        <v>34920.875</v>
      </c>
      <c r="AM56">
        <v>6842.2359999999999</v>
      </c>
      <c r="AN56">
        <v>18204.516</v>
      </c>
      <c r="AO56">
        <v>15991.842000000001</v>
      </c>
      <c r="AP56">
        <v>2656.502</v>
      </c>
      <c r="AQ56">
        <v>25858.35</v>
      </c>
      <c r="AR56">
        <v>5540.3729999999996</v>
      </c>
      <c r="AS56">
        <v>170221.15</v>
      </c>
      <c r="AT56">
        <f t="shared" si="17"/>
        <v>84967.940999999992</v>
      </c>
      <c r="AX56" s="25" t="str">
        <f t="shared" si="18"/>
        <v>Shock tms("omf","China","USA") = 25.9;</v>
      </c>
      <c r="AY56" t="str">
        <f t="shared" si="19"/>
        <v>Shock tms("omf","ROW","USA") = 17.4;</v>
      </c>
      <c r="AZ56" t="str">
        <f t="shared" si="20"/>
        <v>Shock tms("omf","Canada","USA") = 34.1;</v>
      </c>
      <c r="BA56" t="str">
        <f t="shared" si="21"/>
        <v>Shock tms("omf","Mexico","USA") = 23.9;</v>
      </c>
      <c r="BB56" t="str">
        <f t="shared" si="22"/>
        <v>Shock tms("omf","FTROW","USA") = 13.9;</v>
      </c>
      <c r="BC56" t="str">
        <f t="shared" si="23"/>
        <v>Shock tms("omf","Japan","USA") = 15.6;</v>
      </c>
      <c r="BD56" t="str">
        <f t="shared" si="24"/>
        <v>Shock tms("omf","EU","USA") = 15.8;</v>
      </c>
      <c r="BE56" t="str">
        <f t="shared" si="25"/>
        <v>Shock tms("omf","UK","USA") = 9.8;</v>
      </c>
    </row>
    <row r="57" spans="1:57" ht="14.45">
      <c r="A57" t="s">
        <v>2218</v>
      </c>
      <c r="B57">
        <v>10</v>
      </c>
      <c r="C57">
        <v>10</v>
      </c>
      <c r="D57">
        <v>10</v>
      </c>
      <c r="E57">
        <v>10</v>
      </c>
      <c r="F57">
        <v>10</v>
      </c>
      <c r="G57">
        <v>10</v>
      </c>
      <c r="H57">
        <v>10</v>
      </c>
      <c r="I57" s="252">
        <v>10</v>
      </c>
      <c r="K57" s="306">
        <v>0</v>
      </c>
      <c r="L57" s="322" t="s">
        <v>468</v>
      </c>
      <c r="M57" s="185">
        <f t="shared" si="16"/>
        <v>0</v>
      </c>
      <c r="N57" s="282">
        <f t="shared" si="14"/>
        <v>0</v>
      </c>
      <c r="O57" t="str">
        <f t="shared" si="11"/>
        <v>ely</v>
      </c>
      <c r="P57" s="307" t="s">
        <v>467</v>
      </c>
      <c r="Q57" s="185" t="s">
        <v>466</v>
      </c>
      <c r="R57" s="185">
        <f>ricco_price_effects_and_etr!Y90</f>
        <v>146625</v>
      </c>
      <c r="S57" s="185">
        <f>ricco_price_effects_and_etr!Z90</f>
        <v>1439</v>
      </c>
      <c r="T57" s="282">
        <f>ricco_price_effects_and_etr!AA90</f>
        <v>148065</v>
      </c>
      <c r="U57" s="185"/>
      <c r="V57" s="281">
        <v>0</v>
      </c>
      <c r="W57" s="282">
        <v>0</v>
      </c>
      <c r="X57" s="185"/>
      <c r="Y57" s="296">
        <f t="shared" si="15"/>
        <v>0</v>
      </c>
      <c r="Z57" s="112">
        <f t="shared" si="15"/>
        <v>0</v>
      </c>
      <c r="AA57" s="112">
        <f t="shared" si="15"/>
        <v>0</v>
      </c>
      <c r="AB57" s="112">
        <f t="shared" si="15"/>
        <v>0</v>
      </c>
      <c r="AC57" s="112">
        <f t="shared" si="15"/>
        <v>0</v>
      </c>
      <c r="AD57" s="112">
        <f t="shared" si="15"/>
        <v>0</v>
      </c>
      <c r="AE57" s="112">
        <f t="shared" si="15"/>
        <v>0</v>
      </c>
      <c r="AF57" s="252">
        <f t="shared" si="15"/>
        <v>0</v>
      </c>
      <c r="AG57" s="297"/>
      <c r="AI57" t="s">
        <v>466</v>
      </c>
      <c r="AJ57">
        <v>0</v>
      </c>
      <c r="AK57">
        <v>8.5150000000000006</v>
      </c>
      <c r="AL57">
        <v>71.451999999999998</v>
      </c>
      <c r="AM57">
        <v>4661.3810000000003</v>
      </c>
      <c r="AN57">
        <v>14.773</v>
      </c>
      <c r="AO57">
        <v>13.688000000000001</v>
      </c>
      <c r="AP57">
        <v>2E-3</v>
      </c>
      <c r="AQ57">
        <v>51.670999999999999</v>
      </c>
      <c r="AR57">
        <v>4.7350000000000003</v>
      </c>
      <c r="AS57">
        <v>4826.2179999999998</v>
      </c>
      <c r="AT57">
        <f t="shared" si="17"/>
        <v>141.54899999999941</v>
      </c>
      <c r="AX57" s="25" t="str">
        <f t="shared" si="18"/>
        <v>Shock tms("ely","China","USA") = 0.0;</v>
      </c>
      <c r="AY57" t="str">
        <f t="shared" si="19"/>
        <v>Shock tms("ely","ROW","USA") = 0.0;</v>
      </c>
      <c r="AZ57" t="str">
        <f t="shared" si="20"/>
        <v>Shock tms("ely","Canada","USA") = 0.0;</v>
      </c>
      <c r="BA57" t="str">
        <f t="shared" si="21"/>
        <v>Shock tms("ely","Mexico","USA") = 0.0;</v>
      </c>
      <c r="BB57" t="str">
        <f t="shared" si="22"/>
        <v>Shock tms("ely","FTROW","USA") = 0.0;</v>
      </c>
      <c r="BC57" t="str">
        <f t="shared" si="23"/>
        <v>Shock tms("ely","Japan","USA") = 0.0;</v>
      </c>
      <c r="BD57" t="str">
        <f t="shared" si="24"/>
        <v>Shock tms("ely","EU","USA") = 0.0;</v>
      </c>
      <c r="BE57" t="str">
        <f t="shared" si="25"/>
        <v>Shock tms("ely","UK","USA") = 0.0;</v>
      </c>
    </row>
    <row r="58" spans="1:57" ht="14.45">
      <c r="A58" t="s">
        <v>2219</v>
      </c>
      <c r="B58" s="112">
        <f>'232 Shares John'!K5*100</f>
        <v>39.648214300620126</v>
      </c>
      <c r="C58" s="112">
        <f>'232 Shares John'!L5*100</f>
        <v>37.30693298461695</v>
      </c>
      <c r="D58" s="112">
        <f>'232 Shares John'!M5*100</f>
        <v>49.503413176365413</v>
      </c>
      <c r="E58" s="112">
        <f>'232 Shares John'!N5*100</f>
        <v>1.3374564526759591</v>
      </c>
      <c r="F58" s="112">
        <f>'232 Shares John'!O5*100</f>
        <v>37.30693298461695</v>
      </c>
      <c r="G58" s="112">
        <f>'232 Shares John'!P5*100</f>
        <v>0</v>
      </c>
      <c r="H58" s="112">
        <f>'232 Shares John'!Q5*100</f>
        <v>71.845516701662703</v>
      </c>
      <c r="I58" s="112">
        <f>'232 Shares John'!R5*100</f>
        <v>34.44134738035622</v>
      </c>
      <c r="K58" s="306">
        <v>0</v>
      </c>
      <c r="L58" s="322" t="s">
        <v>471</v>
      </c>
      <c r="M58" s="185">
        <f t="shared" si="16"/>
        <v>0</v>
      </c>
      <c r="N58" s="282">
        <f t="shared" si="14"/>
        <v>0</v>
      </c>
      <c r="O58" t="e">
        <f t="shared" si="11"/>
        <v>#N/A</v>
      </c>
      <c r="P58" s="307" t="s">
        <v>470</v>
      </c>
      <c r="Q58" s="185" t="s">
        <v>469</v>
      </c>
      <c r="R58" s="185">
        <f>ricco_price_effects_and_etr!Y91</f>
        <v>15748</v>
      </c>
      <c r="S58" s="185">
        <f>ricco_price_effects_and_etr!Z91</f>
        <v>5.21</v>
      </c>
      <c r="T58" s="282">
        <f>ricco_price_effects_and_etr!AA91</f>
        <v>15753</v>
      </c>
      <c r="U58" s="185"/>
      <c r="V58" s="281">
        <v>0</v>
      </c>
      <c r="W58" s="282">
        <v>0</v>
      </c>
      <c r="X58" s="185"/>
      <c r="Y58" s="296"/>
      <c r="Z58" s="112"/>
      <c r="AA58" s="112"/>
      <c r="AB58" s="112"/>
      <c r="AC58" s="112"/>
      <c r="AD58" s="112"/>
      <c r="AE58" s="112"/>
      <c r="AF58" s="252"/>
      <c r="AG58" s="297"/>
      <c r="AI58" t="s">
        <v>469</v>
      </c>
      <c r="AJ58">
        <v>0</v>
      </c>
      <c r="AK58">
        <v>4.2569999999999997</v>
      </c>
      <c r="AL58">
        <v>122.935</v>
      </c>
      <c r="AM58">
        <v>2.86</v>
      </c>
      <c r="AN58">
        <v>1.0999999999999999E-2</v>
      </c>
      <c r="AO58">
        <v>6.5629999999999997</v>
      </c>
      <c r="AP58">
        <v>1E-3</v>
      </c>
      <c r="AQ58">
        <v>9.8030000000000008</v>
      </c>
      <c r="AR58">
        <v>4.476</v>
      </c>
      <c r="AS58">
        <v>150.90600000000001</v>
      </c>
      <c r="AT58">
        <f t="shared" si="17"/>
        <v>143.77799999999999</v>
      </c>
      <c r="AX58" s="25" t="str">
        <f t="shared" si="18"/>
        <v>Shock tms("gdt","China","USA") = 0.0;</v>
      </c>
      <c r="AY58" t="str">
        <f t="shared" si="19"/>
        <v>Shock tms("gdt","ROW","USA") = 0.0;</v>
      </c>
      <c r="AZ58" t="str">
        <f t="shared" si="20"/>
        <v>Shock tms("gdt","Canada","USA") = 0.0;</v>
      </c>
      <c r="BA58" t="str">
        <f t="shared" si="21"/>
        <v>Shock tms("gdt","Mexico","USA") = 0.0;</v>
      </c>
      <c r="BB58" t="str">
        <f t="shared" si="22"/>
        <v>Shock tms("gdt","FTROW","USA") = 0.0;</v>
      </c>
      <c r="BC58" t="str">
        <f t="shared" si="23"/>
        <v>Shock tms("gdt","Japan","USA") = 0.0;</v>
      </c>
      <c r="BD58" t="str">
        <f t="shared" si="24"/>
        <v>Shock tms("gdt","EU","USA") = 0.0;</v>
      </c>
      <c r="BE58" t="str">
        <f t="shared" si="25"/>
        <v>Shock tms("gdt","UK","USA") = 0.0;</v>
      </c>
    </row>
    <row r="59" spans="1:57" ht="15" thickBot="1">
      <c r="A59" s="237" t="s">
        <v>2220</v>
      </c>
      <c r="B59" s="304">
        <f>'232 Shares John'!K4*100</f>
        <v>1.9647603525775807</v>
      </c>
      <c r="C59" s="304">
        <f>'232 Shares John'!L4*100</f>
        <v>14.022754482693738</v>
      </c>
      <c r="D59" s="304">
        <f>'232 Shares John'!M4*100</f>
        <v>48.347798466091575</v>
      </c>
      <c r="E59" s="304">
        <f>'232 Shares John'!N4*100</f>
        <v>0.49617544405495306</v>
      </c>
      <c r="F59" s="304">
        <f>'232 Shares John'!O4*100</f>
        <v>14.022754482693738</v>
      </c>
      <c r="G59" s="304">
        <f>'232 Shares John'!P4*100</f>
        <v>24.620474507345047</v>
      </c>
      <c r="H59" s="304">
        <f>'232 Shares John'!Q4*100</f>
        <v>42.018927458027036</v>
      </c>
      <c r="I59" s="305">
        <f>'232 Shares John'!R4*100</f>
        <v>1.2271521768964695</v>
      </c>
      <c r="K59" s="306">
        <v>0</v>
      </c>
      <c r="L59" s="28" t="s">
        <v>474</v>
      </c>
      <c r="M59">
        <f t="shared" si="16"/>
        <v>0</v>
      </c>
      <c r="N59" s="232">
        <f t="shared" si="14"/>
        <v>0</v>
      </c>
      <c r="O59" t="e">
        <f t="shared" si="11"/>
        <v>#N/A</v>
      </c>
      <c r="P59" s="306" t="s">
        <v>473</v>
      </c>
      <c r="Q59" t="s">
        <v>472</v>
      </c>
      <c r="R59">
        <f>ricco_price_effects_and_etr!Y92</f>
        <v>71475</v>
      </c>
      <c r="S59">
        <f>ricco_price_effects_and_etr!Z92</f>
        <v>11.7</v>
      </c>
      <c r="T59" s="232">
        <f>ricco_price_effects_and_etr!AA92</f>
        <v>71487</v>
      </c>
      <c r="V59" s="231">
        <v>0</v>
      </c>
      <c r="W59" s="232">
        <v>0</v>
      </c>
      <c r="Y59" s="296"/>
      <c r="Z59" s="112"/>
      <c r="AA59" s="112"/>
      <c r="AB59" s="112"/>
      <c r="AC59" s="112"/>
      <c r="AD59" s="112"/>
      <c r="AE59" s="112"/>
      <c r="AF59" s="252"/>
      <c r="AG59" s="112"/>
      <c r="AI59" t="s">
        <v>472</v>
      </c>
      <c r="AJ59">
        <v>0</v>
      </c>
      <c r="AK59">
        <v>1.506</v>
      </c>
      <c r="AL59">
        <v>31.884</v>
      </c>
      <c r="AM59">
        <v>1.383</v>
      </c>
      <c r="AN59">
        <v>2.7410000000000001</v>
      </c>
      <c r="AO59">
        <v>7.1909999999999998</v>
      </c>
      <c r="AP59">
        <v>0.77800000000000002</v>
      </c>
      <c r="AQ59">
        <v>15.051</v>
      </c>
      <c r="AR59">
        <v>6.5190000000000001</v>
      </c>
      <c r="AS59">
        <v>67.052999999999997</v>
      </c>
      <c r="AT59">
        <f t="shared" si="17"/>
        <v>61.422999999999995</v>
      </c>
      <c r="AX59" s="25" t="str">
        <f t="shared" si="18"/>
        <v>Shock tms("wtr","China","USA") = 0.0;</v>
      </c>
      <c r="AY59" t="str">
        <f t="shared" si="19"/>
        <v>Shock tms("wtr","ROW","USA") = 0.0;</v>
      </c>
      <c r="AZ59" t="str">
        <f t="shared" si="20"/>
        <v>Shock tms("wtr","Canada","USA") = 0.0;</v>
      </c>
      <c r="BA59" t="str">
        <f t="shared" si="21"/>
        <v>Shock tms("wtr","Mexico","USA") = 0.0;</v>
      </c>
      <c r="BB59" t="str">
        <f t="shared" si="22"/>
        <v>Shock tms("wtr","FTROW","USA") = 0.0;</v>
      </c>
      <c r="BC59" t="str">
        <f t="shared" si="23"/>
        <v>Shock tms("wtr","Japan","USA") = 0.0;</v>
      </c>
      <c r="BD59" t="str">
        <f t="shared" si="24"/>
        <v>Shock tms("wtr","EU","USA") = 0.0;</v>
      </c>
      <c r="BE59" t="str">
        <f t="shared" si="25"/>
        <v>Shock tms("wtr","UK","USA") = 0.0;</v>
      </c>
    </row>
    <row r="60" spans="1:57" ht="15" thickBot="1">
      <c r="K60" s="313">
        <v>0</v>
      </c>
      <c r="L60" s="276" t="s">
        <v>476</v>
      </c>
      <c r="M60" s="277">
        <f t="shared" si="16"/>
        <v>0</v>
      </c>
      <c r="N60" s="314">
        <f t="shared" si="14"/>
        <v>0</v>
      </c>
      <c r="O60" t="e">
        <f t="shared" si="11"/>
        <v>#N/A</v>
      </c>
      <c r="P60" s="313" t="s">
        <v>27</v>
      </c>
      <c r="Q60" s="277" t="s">
        <v>475</v>
      </c>
      <c r="R60" s="277">
        <f>ricco_price_effects_and_etr!Y93</f>
        <v>2089</v>
      </c>
      <c r="S60" s="277">
        <f>ricco_price_effects_and_etr!Z93</f>
        <v>5</v>
      </c>
      <c r="T60" s="314">
        <f>ricco_price_effects_and_etr!AA93</f>
        <v>2094</v>
      </c>
      <c r="U60" s="277"/>
      <c r="V60" s="233">
        <v>0</v>
      </c>
      <c r="W60" s="234">
        <v>0</v>
      </c>
      <c r="X60" s="277"/>
      <c r="Y60" s="303"/>
      <c r="Z60" s="304"/>
      <c r="AA60" s="304"/>
      <c r="AB60" s="304"/>
      <c r="AC60" s="304"/>
      <c r="AD60" s="304"/>
      <c r="AE60" s="304"/>
      <c r="AF60" s="305"/>
      <c r="AG60" s="112"/>
      <c r="AH60" s="277"/>
      <c r="AI60" s="277" t="s">
        <v>475</v>
      </c>
      <c r="AJ60" s="277">
        <v>0</v>
      </c>
      <c r="AK60" s="277">
        <v>169.983</v>
      </c>
      <c r="AL60" s="277">
        <v>1328.434</v>
      </c>
      <c r="AM60" s="277">
        <v>344.75400000000002</v>
      </c>
      <c r="AN60" s="277">
        <v>38.954000000000001</v>
      </c>
      <c r="AO60" s="277">
        <v>341.71800000000002</v>
      </c>
      <c r="AP60" s="277">
        <v>224.542</v>
      </c>
      <c r="AQ60" s="277">
        <v>624.70299999999997</v>
      </c>
      <c r="AR60" s="277">
        <v>226.947</v>
      </c>
      <c r="AS60" s="277">
        <v>3300.0340000000001</v>
      </c>
      <c r="AT60" s="277">
        <f t="shared" si="17"/>
        <v>2746.3429999999998</v>
      </c>
      <c r="AX60" s="25" t="str">
        <f t="shared" si="18"/>
        <v>Shock tms("cns","China","USA") = 0.0;</v>
      </c>
      <c r="AY60" t="str">
        <f t="shared" si="19"/>
        <v>Shock tms("cns","ROW","USA") = 0.0;</v>
      </c>
      <c r="AZ60" t="str">
        <f t="shared" si="20"/>
        <v>Shock tms("cns","Canada","USA") = 0.0;</v>
      </c>
      <c r="BA60" t="str">
        <f t="shared" si="21"/>
        <v>Shock tms("cns","Mexico","USA") = 0.0;</v>
      </c>
      <c r="BB60" t="str">
        <f t="shared" si="22"/>
        <v>Shock tms("cns","FTROW","USA") = 0.0;</v>
      </c>
      <c r="BC60" t="str">
        <f t="shared" si="23"/>
        <v>Shock tms("cns","Japan","USA") = 0.0;</v>
      </c>
      <c r="BD60" t="str">
        <f t="shared" si="24"/>
        <v>Shock tms("cns","EU","USA") = 0.0;</v>
      </c>
      <c r="BE60" t="str">
        <f t="shared" si="25"/>
        <v>Shock tms("cns","UK","USA") = 0.0;</v>
      </c>
    </row>
    <row r="61" spans="1:57" ht="15" thickBot="1">
      <c r="K61" s="306">
        <v>0</v>
      </c>
      <c r="L61" s="28" t="s">
        <v>479</v>
      </c>
      <c r="M61">
        <f t="shared" si="16"/>
        <v>0</v>
      </c>
      <c r="N61" s="232">
        <f t="shared" si="14"/>
        <v>0</v>
      </c>
      <c r="P61" s="306" t="s">
        <v>478</v>
      </c>
      <c r="Q61" t="s">
        <v>477</v>
      </c>
      <c r="R61">
        <f>ricco_price_effects_and_etr!Y94</f>
        <v>1933746</v>
      </c>
      <c r="S61">
        <f>ricco_price_effects_and_etr!Z94</f>
        <v>4902</v>
      </c>
      <c r="T61" s="232">
        <f>ricco_price_effects_and_etr!AA94</f>
        <v>1938649</v>
      </c>
      <c r="AI61" t="s">
        <v>477</v>
      </c>
      <c r="AJ61">
        <v>0</v>
      </c>
      <c r="AK61">
        <v>10402.918</v>
      </c>
      <c r="AL61">
        <v>4486.0290000000005</v>
      </c>
      <c r="AM61">
        <v>1555.6320000000001</v>
      </c>
      <c r="AN61">
        <v>330.57600000000002</v>
      </c>
      <c r="AO61">
        <v>1823.2950000000001</v>
      </c>
      <c r="AP61">
        <v>337.548</v>
      </c>
      <c r="AQ61">
        <v>4112.2389999999996</v>
      </c>
      <c r="AR61">
        <v>1453.3320000000001</v>
      </c>
      <c r="AS61">
        <v>24501.567999999999</v>
      </c>
      <c r="AT61">
        <f t="shared" si="17"/>
        <v>12212.441999999997</v>
      </c>
    </row>
    <row r="62" spans="1:57" ht="15" thickBot="1">
      <c r="A62" s="227" t="s">
        <v>2221</v>
      </c>
      <c r="B62" s="273">
        <v>0.4</v>
      </c>
      <c r="K62" s="306">
        <v>0</v>
      </c>
      <c r="L62" s="28" t="s">
        <v>482</v>
      </c>
      <c r="M62">
        <f t="shared" si="16"/>
        <v>0</v>
      </c>
      <c r="N62" s="232">
        <f t="shared" si="14"/>
        <v>0</v>
      </c>
      <c r="P62" s="306" t="s">
        <v>481</v>
      </c>
      <c r="Q62" t="s">
        <v>480</v>
      </c>
      <c r="R62">
        <f>ricco_price_effects_and_etr!Y95</f>
        <v>837174</v>
      </c>
      <c r="S62">
        <f>ricco_price_effects_and_etr!Z95</f>
        <v>76110</v>
      </c>
      <c r="T62" s="232">
        <f>ricco_price_effects_and_etr!AA95</f>
        <v>913284</v>
      </c>
      <c r="AI62" t="s">
        <v>480</v>
      </c>
      <c r="AJ62">
        <v>0</v>
      </c>
      <c r="AK62">
        <v>3497.268</v>
      </c>
      <c r="AL62">
        <v>33357.769999999997</v>
      </c>
      <c r="AM62">
        <v>6501.7179999999998</v>
      </c>
      <c r="AN62">
        <v>14025.304</v>
      </c>
      <c r="AO62">
        <v>12897.68</v>
      </c>
      <c r="AP62">
        <v>2247.5520000000001</v>
      </c>
      <c r="AQ62">
        <v>20712.055</v>
      </c>
      <c r="AR62">
        <v>4213.3280000000004</v>
      </c>
      <c r="AS62">
        <v>97452.673999999999</v>
      </c>
      <c r="AT62">
        <f t="shared" si="17"/>
        <v>73428.384000000005</v>
      </c>
      <c r="AX62" s="25" t="str">
        <f>AY12</f>
        <v>Shock tms("pdr","ROW","USA") = 25.0;</v>
      </c>
    </row>
    <row r="63" spans="1:57" ht="15" thickBot="1">
      <c r="K63" s="306">
        <v>0</v>
      </c>
      <c r="L63" s="28" t="s">
        <v>485</v>
      </c>
      <c r="M63">
        <f t="shared" si="16"/>
        <v>0</v>
      </c>
      <c r="N63" s="232">
        <f t="shared" si="14"/>
        <v>0</v>
      </c>
      <c r="P63" s="306" t="s">
        <v>484</v>
      </c>
      <c r="Q63" t="s">
        <v>483</v>
      </c>
      <c r="R63">
        <f>ricco_price_effects_and_etr!Y96</f>
        <v>191297</v>
      </c>
      <c r="S63">
        <f>ricco_price_effects_and_etr!Z96</f>
        <v>1265</v>
      </c>
      <c r="T63" s="232">
        <f>ricco_price_effects_and_etr!AA96</f>
        <v>192562</v>
      </c>
      <c r="AI63" t="s">
        <v>483</v>
      </c>
      <c r="AJ63">
        <v>0</v>
      </c>
      <c r="AK63">
        <v>234.422</v>
      </c>
      <c r="AL63">
        <v>2246.84</v>
      </c>
      <c r="AM63">
        <v>240.108</v>
      </c>
      <c r="AN63">
        <v>631.16800000000001</v>
      </c>
      <c r="AO63">
        <v>598.01300000000003</v>
      </c>
      <c r="AP63">
        <v>36.978000000000002</v>
      </c>
      <c r="AQ63">
        <v>1246.1569999999999</v>
      </c>
      <c r="AR63">
        <v>150.60400000000001</v>
      </c>
      <c r="AS63">
        <v>5384.29</v>
      </c>
      <c r="AT63">
        <f t="shared" si="17"/>
        <v>4278.5920000000006</v>
      </c>
      <c r="AX63" s="25" t="str">
        <f t="shared" ref="AX63:AX77" si="26">AY13</f>
        <v>Shock tms("wht","ROW","USA") = 10.1;</v>
      </c>
    </row>
    <row r="64" spans="1:57" ht="14.45">
      <c r="A64" s="229" t="s">
        <v>2222</v>
      </c>
      <c r="B64" s="230"/>
      <c r="K64" s="306">
        <v>0</v>
      </c>
      <c r="L64" s="28" t="s">
        <v>488</v>
      </c>
      <c r="M64">
        <f t="shared" si="16"/>
        <v>0</v>
      </c>
      <c r="N64" s="232">
        <f t="shared" si="14"/>
        <v>0</v>
      </c>
      <c r="P64" s="306" t="s">
        <v>487</v>
      </c>
      <c r="Q64" t="s">
        <v>486</v>
      </c>
      <c r="R64">
        <f>ricco_price_effects_and_etr!Y97</f>
        <v>22351</v>
      </c>
      <c r="S64">
        <f>ricco_price_effects_and_etr!Z97</f>
        <v>233</v>
      </c>
      <c r="T64" s="232">
        <f>ricco_price_effects_and_etr!AA97</f>
        <v>22583</v>
      </c>
      <c r="AI64" t="s">
        <v>486</v>
      </c>
      <c r="AJ64">
        <v>0</v>
      </c>
      <c r="AK64">
        <v>400.90699999999998</v>
      </c>
      <c r="AL64">
        <v>1874.5229999999999</v>
      </c>
      <c r="AM64">
        <v>221.273</v>
      </c>
      <c r="AN64">
        <v>20.57</v>
      </c>
      <c r="AO64">
        <v>681.41600000000005</v>
      </c>
      <c r="AP64">
        <v>36.164999999999999</v>
      </c>
      <c r="AQ64">
        <v>153.76300000000001</v>
      </c>
      <c r="AR64">
        <v>58.18</v>
      </c>
      <c r="AS64">
        <v>3446.7979999999998</v>
      </c>
      <c r="AT64">
        <f t="shared" si="17"/>
        <v>2804.0479999999993</v>
      </c>
      <c r="AX64" s="25" t="str">
        <f t="shared" si="26"/>
        <v>Shock tms("gro","ROW","USA") = 12.4;</v>
      </c>
    </row>
    <row r="65" spans="1:50" ht="14.45">
      <c r="A65" s="231" t="s">
        <v>32</v>
      </c>
      <c r="B65" s="270">
        <v>32.97</v>
      </c>
      <c r="K65" s="306">
        <v>0</v>
      </c>
      <c r="L65" s="28" t="s">
        <v>491</v>
      </c>
      <c r="M65">
        <f t="shared" si="16"/>
        <v>0</v>
      </c>
      <c r="N65" s="232">
        <f t="shared" si="14"/>
        <v>0</v>
      </c>
      <c r="P65" s="306" t="s">
        <v>490</v>
      </c>
      <c r="Q65" t="s">
        <v>489</v>
      </c>
      <c r="R65">
        <f>ricco_price_effects_and_etr!Y98</f>
        <v>116842</v>
      </c>
      <c r="S65">
        <f>ricco_price_effects_and_etr!Z98</f>
        <v>30880</v>
      </c>
      <c r="T65" s="232">
        <f>ricco_price_effects_and_etr!AA98</f>
        <v>147722</v>
      </c>
      <c r="AI65" t="s">
        <v>489</v>
      </c>
      <c r="AJ65">
        <v>0</v>
      </c>
      <c r="AK65">
        <v>5080.6850000000004</v>
      </c>
      <c r="AL65">
        <v>10574.877</v>
      </c>
      <c r="AM65">
        <v>4360.8370000000004</v>
      </c>
      <c r="AN65">
        <v>2851.3209999999999</v>
      </c>
      <c r="AO65">
        <v>6107.8149999999996</v>
      </c>
      <c r="AP65">
        <v>1450.0219999999999</v>
      </c>
      <c r="AQ65">
        <v>11750.27</v>
      </c>
      <c r="AR65">
        <v>5036.93</v>
      </c>
      <c r="AS65">
        <v>47212.756000000001</v>
      </c>
      <c r="AT65">
        <f t="shared" si="17"/>
        <v>34919.913</v>
      </c>
      <c r="AX65" s="25" t="str">
        <f t="shared" si="26"/>
        <v>Shock tms("v_f","ROW","USA") = 4.3;</v>
      </c>
    </row>
    <row r="66" spans="1:50" ht="14.45">
      <c r="A66" s="231" t="s">
        <v>33</v>
      </c>
      <c r="B66" s="270">
        <v>21.416</v>
      </c>
      <c r="K66" s="306">
        <v>0</v>
      </c>
      <c r="L66" s="28" t="s">
        <v>494</v>
      </c>
      <c r="M66">
        <f t="shared" si="16"/>
        <v>0</v>
      </c>
      <c r="N66" s="232">
        <f t="shared" si="14"/>
        <v>0</v>
      </c>
      <c r="P66" s="306" t="s">
        <v>493</v>
      </c>
      <c r="Q66" t="s">
        <v>492</v>
      </c>
      <c r="R66">
        <f>ricco_price_effects_and_etr!Y99</f>
        <v>4914</v>
      </c>
      <c r="S66">
        <f>ricco_price_effects_and_etr!Z99</f>
        <v>14.5</v>
      </c>
      <c r="T66" s="232">
        <f>ricco_price_effects_and_etr!AA99</f>
        <v>4928</v>
      </c>
      <c r="AI66" t="s">
        <v>492</v>
      </c>
      <c r="AJ66">
        <v>0</v>
      </c>
      <c r="AK66">
        <v>414.68099999999998</v>
      </c>
      <c r="AL66">
        <v>1437.636</v>
      </c>
      <c r="AM66">
        <v>453.47800000000001</v>
      </c>
      <c r="AN66">
        <v>192.95699999999999</v>
      </c>
      <c r="AO66">
        <v>479.40199999999999</v>
      </c>
      <c r="AP66">
        <v>113.952</v>
      </c>
      <c r="AQ66">
        <v>777.07899999999995</v>
      </c>
      <c r="AR66">
        <v>504.00400000000002</v>
      </c>
      <c r="AS66">
        <v>4373.1890000000003</v>
      </c>
      <c r="AT66">
        <f t="shared" si="17"/>
        <v>3312.0729999999999</v>
      </c>
      <c r="AX66" s="25" t="str">
        <f t="shared" si="26"/>
        <v>Shock tms("osd","ROW","USA") = 13.5;</v>
      </c>
    </row>
    <row r="67" spans="1:50" ht="14.45">
      <c r="A67" s="231" t="s">
        <v>34</v>
      </c>
      <c r="B67" s="270">
        <v>11.948</v>
      </c>
      <c r="K67" s="306">
        <v>0</v>
      </c>
      <c r="L67" s="28" t="s">
        <v>497</v>
      </c>
      <c r="M67">
        <f t="shared" si="16"/>
        <v>0</v>
      </c>
      <c r="N67" s="232">
        <f t="shared" si="14"/>
        <v>0</v>
      </c>
      <c r="P67" s="306" t="s">
        <v>496</v>
      </c>
      <c r="Q67" t="s">
        <v>495</v>
      </c>
      <c r="R67">
        <f>ricco_price_effects_and_etr!Y100</f>
        <v>516266</v>
      </c>
      <c r="S67">
        <f>ricco_price_effects_and_etr!Z100</f>
        <v>19287</v>
      </c>
      <c r="T67" s="232">
        <f>ricco_price_effects_and_etr!AA100</f>
        <v>535553</v>
      </c>
      <c r="AI67" t="s">
        <v>495</v>
      </c>
      <c r="AJ67">
        <v>0</v>
      </c>
      <c r="AK67">
        <v>3425.971</v>
      </c>
      <c r="AL67">
        <v>26631.01</v>
      </c>
      <c r="AM67">
        <v>7008.549</v>
      </c>
      <c r="AN67">
        <v>980.39400000000001</v>
      </c>
      <c r="AO67">
        <v>5460.8919999999998</v>
      </c>
      <c r="AP67">
        <v>1711.9829999999999</v>
      </c>
      <c r="AQ67">
        <v>19170.074000000001</v>
      </c>
      <c r="AR67">
        <v>6081.79</v>
      </c>
      <c r="AS67">
        <v>70470.663</v>
      </c>
      <c r="AT67">
        <f t="shared" si="17"/>
        <v>59055.749000000003</v>
      </c>
      <c r="AX67" s="25" t="str">
        <f t="shared" si="26"/>
        <v>Shock tms("c_b","ROW","USA") = 15.4;</v>
      </c>
    </row>
    <row r="68" spans="1:50" ht="14.45">
      <c r="A68" s="231" t="s">
        <v>35</v>
      </c>
      <c r="B68" s="270">
        <v>20.626000000000001</v>
      </c>
      <c r="K68" s="306">
        <v>0</v>
      </c>
      <c r="L68" s="28" t="s">
        <v>500</v>
      </c>
      <c r="M68">
        <f t="shared" si="16"/>
        <v>0</v>
      </c>
      <c r="N68" s="232">
        <f t="shared" si="14"/>
        <v>0</v>
      </c>
      <c r="P68" s="306" t="s">
        <v>499</v>
      </c>
      <c r="Q68" t="s">
        <v>498</v>
      </c>
      <c r="R68">
        <f>ricco_price_effects_and_etr!Y101</f>
        <v>480342</v>
      </c>
      <c r="S68">
        <f>ricco_price_effects_and_etr!Z101</f>
        <v>3573</v>
      </c>
      <c r="T68" s="232">
        <f>ricco_price_effects_and_etr!AA101</f>
        <v>483915</v>
      </c>
      <c r="AI68" t="s">
        <v>498</v>
      </c>
      <c r="AJ68">
        <v>0</v>
      </c>
      <c r="AK68">
        <v>3667.547</v>
      </c>
      <c r="AL68">
        <v>8747.5750000000007</v>
      </c>
      <c r="AM68">
        <v>4218.5150000000003</v>
      </c>
      <c r="AN68">
        <v>371.863</v>
      </c>
      <c r="AO68">
        <v>3950.8910000000001</v>
      </c>
      <c r="AP68">
        <v>2691.2979999999998</v>
      </c>
      <c r="AQ68">
        <v>8183.4639999999999</v>
      </c>
      <c r="AR68">
        <v>17146.111000000001</v>
      </c>
      <c r="AS68">
        <v>48977.264999999999</v>
      </c>
      <c r="AT68">
        <f t="shared" si="17"/>
        <v>40719.340000000004</v>
      </c>
      <c r="AX68" s="25" t="str">
        <f t="shared" si="26"/>
        <v>Shock tms("pfb","ROW","USA") = 23.5;</v>
      </c>
    </row>
    <row r="69" spans="1:50" ht="14.45">
      <c r="A69" s="231" t="s">
        <v>36</v>
      </c>
      <c r="B69" s="270">
        <v>21.416</v>
      </c>
      <c r="K69" s="306">
        <v>0</v>
      </c>
      <c r="L69" s="28" t="s">
        <v>503</v>
      </c>
      <c r="M69">
        <f t="shared" si="16"/>
        <v>0</v>
      </c>
      <c r="N69" s="232">
        <f t="shared" si="14"/>
        <v>0</v>
      </c>
      <c r="P69" s="306" t="s">
        <v>502</v>
      </c>
      <c r="Q69" t="s">
        <v>501</v>
      </c>
      <c r="R69">
        <f>ricco_price_effects_and_etr!Y102</f>
        <v>477228</v>
      </c>
      <c r="S69">
        <f>ricco_price_effects_and_etr!Z102</f>
        <v>21800</v>
      </c>
      <c r="T69" s="232">
        <f>ricco_price_effects_and_etr!AA102</f>
        <v>499028</v>
      </c>
      <c r="AI69" t="s">
        <v>501</v>
      </c>
      <c r="AJ69">
        <v>0</v>
      </c>
      <c r="AK69">
        <v>488.88</v>
      </c>
      <c r="AL69">
        <v>27373.488000000001</v>
      </c>
      <c r="AM69">
        <v>873.60299999999995</v>
      </c>
      <c r="AN69">
        <v>437.93</v>
      </c>
      <c r="AO69">
        <v>868.37599999999998</v>
      </c>
      <c r="AP69">
        <v>434.15</v>
      </c>
      <c r="AQ69">
        <v>9209.15</v>
      </c>
      <c r="AR69">
        <v>5751.3959999999997</v>
      </c>
      <c r="AS69">
        <v>45436.974000000002</v>
      </c>
      <c r="AT69">
        <f t="shared" si="17"/>
        <v>43636.561000000002</v>
      </c>
      <c r="AX69" s="25" t="str">
        <f t="shared" si="26"/>
        <v>Shock tms("ocr","ROW","USA") = 2.7;</v>
      </c>
    </row>
    <row r="70" spans="1:50" ht="14.45">
      <c r="A70" s="231" t="s">
        <v>37</v>
      </c>
      <c r="B70" s="270">
        <v>4.6760000000000002</v>
      </c>
      <c r="K70" s="306">
        <v>0</v>
      </c>
      <c r="L70" s="28" t="s">
        <v>506</v>
      </c>
      <c r="M70">
        <f t="shared" si="16"/>
        <v>0</v>
      </c>
      <c r="N70" s="232">
        <f t="shared" si="14"/>
        <v>0</v>
      </c>
      <c r="P70" s="306" t="s">
        <v>505</v>
      </c>
      <c r="Q70" t="s">
        <v>504</v>
      </c>
      <c r="R70">
        <f>ricco_price_effects_and_etr!Y103</f>
        <v>533751</v>
      </c>
      <c r="S70">
        <f>ricco_price_effects_and_etr!Z103</f>
        <v>476</v>
      </c>
      <c r="T70" s="232">
        <f>ricco_price_effects_and_etr!AA103</f>
        <v>534228</v>
      </c>
      <c r="AI70" t="s">
        <v>504</v>
      </c>
      <c r="AJ70">
        <v>0</v>
      </c>
      <c r="AK70">
        <v>30.722000000000001</v>
      </c>
      <c r="AL70">
        <v>3508.3560000000002</v>
      </c>
      <c r="AM70">
        <v>199.363</v>
      </c>
      <c r="AN70">
        <v>121.45099999999999</v>
      </c>
      <c r="AO70">
        <v>455.36599999999999</v>
      </c>
      <c r="AP70">
        <v>271.37</v>
      </c>
      <c r="AQ70">
        <v>2348.7730000000001</v>
      </c>
      <c r="AR70">
        <v>122.307</v>
      </c>
      <c r="AS70">
        <v>7057.7079999999996</v>
      </c>
      <c r="AT70">
        <f t="shared" si="17"/>
        <v>6706.1719999999996</v>
      </c>
      <c r="AX70" s="25" t="str">
        <f t="shared" si="26"/>
        <v>Shock tms("ctl","ROW","USA") = 12.2;</v>
      </c>
    </row>
    <row r="71" spans="1:50" ht="14.45">
      <c r="A71" s="231" t="s">
        <v>38</v>
      </c>
      <c r="B71" s="270">
        <v>9.0519999999999996</v>
      </c>
      <c r="K71" s="306">
        <v>0</v>
      </c>
      <c r="L71" s="28" t="s">
        <v>509</v>
      </c>
      <c r="M71">
        <f t="shared" si="16"/>
        <v>0</v>
      </c>
      <c r="N71" s="232">
        <f t="shared" si="14"/>
        <v>0</v>
      </c>
      <c r="P71" s="306" t="s">
        <v>508</v>
      </c>
      <c r="Q71" t="s">
        <v>507</v>
      </c>
      <c r="R71">
        <f>ricco_price_effects_and_etr!Y104</f>
        <v>317337</v>
      </c>
      <c r="S71">
        <f>ricco_price_effects_and_etr!Z104</f>
        <v>1693</v>
      </c>
      <c r="T71" s="232">
        <f>ricco_price_effects_and_etr!AA104</f>
        <v>319030</v>
      </c>
      <c r="AI71" t="s">
        <v>507</v>
      </c>
      <c r="AJ71">
        <v>0</v>
      </c>
      <c r="AK71">
        <v>9478.3439999999991</v>
      </c>
      <c r="AL71">
        <v>37485.016000000003</v>
      </c>
      <c r="AM71">
        <v>11302.821</v>
      </c>
      <c r="AN71">
        <v>2810.953</v>
      </c>
      <c r="AO71">
        <v>14650.317999999999</v>
      </c>
      <c r="AP71">
        <v>6502.7449999999999</v>
      </c>
      <c r="AQ71">
        <v>42256.663999999997</v>
      </c>
      <c r="AR71">
        <v>23041.588</v>
      </c>
      <c r="AS71">
        <v>147528.44899999999</v>
      </c>
      <c r="AT71">
        <f t="shared" si="17"/>
        <v>123936.33099999999</v>
      </c>
      <c r="AX71" s="25" t="str">
        <f t="shared" si="26"/>
        <v>Shock tms("oap","ROW","USA") = 14.9;</v>
      </c>
    </row>
    <row r="72" spans="1:50" ht="15" thickBot="1">
      <c r="A72" s="233" t="s">
        <v>39</v>
      </c>
      <c r="B72" s="268">
        <v>3.488</v>
      </c>
      <c r="K72" s="306">
        <v>0</v>
      </c>
      <c r="L72" s="28" t="s">
        <v>512</v>
      </c>
      <c r="M72">
        <f t="shared" si="16"/>
        <v>0</v>
      </c>
      <c r="N72" s="232">
        <f t="shared" si="14"/>
        <v>0</v>
      </c>
      <c r="P72" s="306" t="s">
        <v>511</v>
      </c>
      <c r="Q72" t="s">
        <v>510</v>
      </c>
      <c r="R72">
        <f>ricco_price_effects_and_etr!Y105</f>
        <v>715448</v>
      </c>
      <c r="S72">
        <f>ricco_price_effects_and_etr!Z105</f>
        <v>1699</v>
      </c>
      <c r="T72" s="232">
        <f>ricco_price_effects_and_etr!AA105</f>
        <v>717146</v>
      </c>
      <c r="AI72" t="s">
        <v>510</v>
      </c>
      <c r="AJ72">
        <v>0</v>
      </c>
      <c r="AK72">
        <v>178.72499999999999</v>
      </c>
      <c r="AL72">
        <v>825.41800000000001</v>
      </c>
      <c r="AM72">
        <v>253.34899999999999</v>
      </c>
      <c r="AN72">
        <v>88.275999999999996</v>
      </c>
      <c r="AO72">
        <v>210.92</v>
      </c>
      <c r="AP72">
        <v>104.407</v>
      </c>
      <c r="AQ72">
        <v>566.779</v>
      </c>
      <c r="AR72">
        <v>157.88200000000001</v>
      </c>
      <c r="AS72">
        <v>2385.7570000000001</v>
      </c>
      <c r="AT72">
        <f t="shared" si="17"/>
        <v>1865.4070000000004</v>
      </c>
      <c r="AX72" s="25" t="str">
        <f t="shared" si="26"/>
        <v>Shock tms("rmk","ROW","USA") = 0.0;</v>
      </c>
    </row>
    <row r="73" spans="1:50" ht="14.45">
      <c r="K73" s="306">
        <v>0</v>
      </c>
      <c r="L73" s="28" t="s">
        <v>515</v>
      </c>
      <c r="M73">
        <f t="shared" si="16"/>
        <v>0</v>
      </c>
      <c r="N73" s="232">
        <f t="shared" si="14"/>
        <v>0</v>
      </c>
      <c r="P73" s="306" t="s">
        <v>514</v>
      </c>
      <c r="Q73" t="s">
        <v>513</v>
      </c>
      <c r="R73">
        <f>ricco_price_effects_and_etr!Y106</f>
        <v>70651</v>
      </c>
      <c r="S73">
        <f>ricco_price_effects_and_etr!Z106</f>
        <v>343</v>
      </c>
      <c r="T73" s="232">
        <f>ricco_price_effects_and_etr!AA106</f>
        <v>70995</v>
      </c>
      <c r="AI73" t="s">
        <v>513</v>
      </c>
      <c r="AJ73">
        <v>0</v>
      </c>
      <c r="AK73">
        <v>167.24299999999999</v>
      </c>
      <c r="AL73">
        <v>6473.9089999999997</v>
      </c>
      <c r="AM73">
        <v>331.245</v>
      </c>
      <c r="AN73">
        <v>113.837</v>
      </c>
      <c r="AO73">
        <v>3476.8449999999998</v>
      </c>
      <c r="AP73">
        <v>3716.8580000000002</v>
      </c>
      <c r="AQ73">
        <v>5911.2489999999998</v>
      </c>
      <c r="AR73">
        <v>421.65300000000002</v>
      </c>
      <c r="AS73">
        <v>20612.84</v>
      </c>
      <c r="AT73">
        <f t="shared" si="17"/>
        <v>20000.515000000003</v>
      </c>
      <c r="AX73" s="25" t="str">
        <f t="shared" si="26"/>
        <v>Shock tms("wol","ROW","USA") = 10.3;</v>
      </c>
    </row>
    <row r="74" spans="1:50" ht="14.45">
      <c r="A74" t="s">
        <v>2223</v>
      </c>
      <c r="K74" s="306">
        <v>0</v>
      </c>
      <c r="L74" s="28" t="s">
        <v>518</v>
      </c>
      <c r="M74">
        <f t="shared" si="16"/>
        <v>0</v>
      </c>
      <c r="N74" s="232">
        <f t="shared" si="14"/>
        <v>0</v>
      </c>
      <c r="P74" s="306" t="s">
        <v>517</v>
      </c>
      <c r="Q74" t="s">
        <v>516</v>
      </c>
      <c r="R74">
        <f>ricco_price_effects_and_etr!Y107</f>
        <v>368795</v>
      </c>
      <c r="S74">
        <f>ricco_price_effects_and_etr!Z107</f>
        <v>14443</v>
      </c>
      <c r="T74" s="232">
        <f>ricco_price_effects_and_etr!AA107</f>
        <v>383238</v>
      </c>
      <c r="AI74" t="s">
        <v>516</v>
      </c>
      <c r="AJ74">
        <v>0</v>
      </c>
      <c r="AK74">
        <v>966.71600000000001</v>
      </c>
      <c r="AL74">
        <v>3501.2040000000002</v>
      </c>
      <c r="AM74">
        <v>2202.1089999999999</v>
      </c>
      <c r="AN74">
        <v>202.47200000000001</v>
      </c>
      <c r="AO74">
        <v>1747.8589999999999</v>
      </c>
      <c r="AP74">
        <v>150.179</v>
      </c>
      <c r="AQ74">
        <v>3196.866</v>
      </c>
      <c r="AR74">
        <v>3973.0749999999998</v>
      </c>
      <c r="AS74">
        <v>15940.481</v>
      </c>
      <c r="AT74">
        <f t="shared" si="17"/>
        <v>12569.183999999999</v>
      </c>
      <c r="AX74" s="25" t="str">
        <f t="shared" si="26"/>
        <v>Shock tms("frs","ROW","USA") = 12.3;</v>
      </c>
    </row>
    <row r="75" spans="1:50" ht="14.45">
      <c r="K75" s="306">
        <v>0</v>
      </c>
      <c r="L75" s="28" t="s">
        <v>521</v>
      </c>
      <c r="M75">
        <f t="shared" si="16"/>
        <v>0</v>
      </c>
      <c r="N75" s="232">
        <f t="shared" si="14"/>
        <v>0</v>
      </c>
      <c r="P75" s="306" t="s">
        <v>520</v>
      </c>
      <c r="Q75" t="s">
        <v>519</v>
      </c>
      <c r="R75">
        <f>ricco_price_effects_and_etr!Y108</f>
        <v>2467592</v>
      </c>
      <c r="S75">
        <f>ricco_price_effects_and_etr!Z108</f>
        <v>2950</v>
      </c>
      <c r="T75" s="232">
        <f>ricco_price_effects_and_etr!AA108</f>
        <v>2470542</v>
      </c>
      <c r="AI75" t="s">
        <v>519</v>
      </c>
      <c r="AJ75">
        <v>0</v>
      </c>
      <c r="AK75">
        <v>402.35700000000003</v>
      </c>
      <c r="AL75">
        <v>830.22</v>
      </c>
      <c r="AM75">
        <v>160.49199999999999</v>
      </c>
      <c r="AN75">
        <v>286.58999999999997</v>
      </c>
      <c r="AO75">
        <v>504.85</v>
      </c>
      <c r="AP75">
        <v>9.5540000000000003</v>
      </c>
      <c r="AQ75">
        <v>600.35599999999999</v>
      </c>
      <c r="AR75">
        <v>114.57599999999999</v>
      </c>
      <c r="AS75">
        <v>2908.9969999999998</v>
      </c>
      <c r="AT75">
        <f t="shared" si="17"/>
        <v>2059.5579999999995</v>
      </c>
      <c r="AX75" s="25" t="str">
        <f t="shared" si="26"/>
        <v>Shock tms("fsh","ROW","USA") = 13.4;</v>
      </c>
    </row>
    <row r="76" spans="1:50" ht="15" thickBot="1">
      <c r="K76" s="328">
        <v>0</v>
      </c>
      <c r="L76" s="329"/>
      <c r="M76" s="237"/>
      <c r="N76" s="234"/>
      <c r="P76" s="306" t="s">
        <v>523</v>
      </c>
      <c r="Q76" t="s">
        <v>522</v>
      </c>
      <c r="R76">
        <f>ricco_price_effects_and_etr!Y109</f>
        <v>1582226</v>
      </c>
      <c r="S76">
        <f>ricco_price_effects_and_etr!Z109</f>
        <v>0</v>
      </c>
      <c r="T76" s="232">
        <f>ricco_price_effects_and_etr!AA109</f>
        <v>1582226</v>
      </c>
      <c r="AI76" t="s">
        <v>522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f t="shared" ref="AT76:AT77" si="27">AS76-AN76-AM76-AK76</f>
        <v>0</v>
      </c>
      <c r="AX76" s="25" t="str">
        <f t="shared" si="26"/>
        <v>Shock tms("coa","ROW","USA") = 0.0;</v>
      </c>
    </row>
    <row r="77" spans="1:50" ht="23.1" thickBot="1">
      <c r="A77" s="187"/>
      <c r="P77" s="233"/>
      <c r="Q77" s="237" t="s">
        <v>52</v>
      </c>
      <c r="R77" s="237">
        <f>ricco_price_effects_and_etr!Y110</f>
        <v>12386318</v>
      </c>
      <c r="S77" s="237">
        <f>ricco_price_effects_and_etr!Z110</f>
        <v>926886</v>
      </c>
      <c r="T77" s="234">
        <f>ricco_price_effects_and_etr!AA110</f>
        <v>13313204</v>
      </c>
      <c r="AI77" s="1" t="s">
        <v>2224</v>
      </c>
      <c r="AJ77">
        <v>0</v>
      </c>
      <c r="AK77">
        <f>SUM(AK12:AK60)-AK22-AK58-AK59-AK60</f>
        <v>485981.77999999997</v>
      </c>
      <c r="AL77">
        <f t="shared" ref="AL77:AS77" si="28">SUM(AL12:AL60)-AL22-AL58-AL59-AL60</f>
        <v>462978.83199999999</v>
      </c>
      <c r="AM77">
        <f t="shared" si="28"/>
        <v>291794.68699999992</v>
      </c>
      <c r="AN77">
        <f t="shared" si="28"/>
        <v>327860.12099999998</v>
      </c>
      <c r="AO77">
        <f t="shared" si="28"/>
        <v>181415.69200000001</v>
      </c>
      <c r="AP77">
        <f t="shared" si="28"/>
        <v>134906.75099999999</v>
      </c>
      <c r="AQ77">
        <f t="shared" si="28"/>
        <v>358734.85099999997</v>
      </c>
      <c r="AR77">
        <f t="shared" si="28"/>
        <v>59215.801999999996</v>
      </c>
      <c r="AS77">
        <f t="shared" si="28"/>
        <v>2302888.5189999999</v>
      </c>
      <c r="AT77">
        <f t="shared" si="27"/>
        <v>1197251.9309999999</v>
      </c>
      <c r="AX77" s="25" t="str">
        <f t="shared" si="26"/>
        <v>Shock tms("oil","ROW","USA") = 0.0;</v>
      </c>
    </row>
    <row r="78" spans="1:50" ht="17.45">
      <c r="A78" s="188"/>
      <c r="C78" s="189" t="s">
        <v>2225</v>
      </c>
      <c r="AK78" s="112"/>
      <c r="AL78" s="112"/>
      <c r="AM78" s="112"/>
      <c r="AN78" s="112"/>
      <c r="AO78" s="112"/>
      <c r="AP78" s="112"/>
      <c r="AQ78" s="112"/>
      <c r="AR78" s="112"/>
      <c r="AS78" s="112"/>
      <c r="AX78" s="25" t="str">
        <f t="shared" ref="AX78:AX110" si="29">AY28</f>
        <v>Shock tms("gas","ROW","USA") = 0.0;</v>
      </c>
    </row>
    <row r="79" spans="1:50" ht="14.45" thickBot="1">
      <c r="A79" s="189" t="s">
        <v>2226</v>
      </c>
      <c r="B79" s="189" t="s">
        <v>2227</v>
      </c>
      <c r="C79" s="397" t="s">
        <v>2228</v>
      </c>
      <c r="AX79" s="25" t="str">
        <f t="shared" si="29"/>
        <v>Shock tms("oxt","ROW","USA") = 10.2;</v>
      </c>
    </row>
    <row r="80" spans="1:50" ht="28.5" thickBot="1">
      <c r="A80" s="397" t="s">
        <v>2229</v>
      </c>
      <c r="B80" s="398" t="s">
        <v>2230</v>
      </c>
      <c r="C80" s="397" t="s">
        <v>2231</v>
      </c>
      <c r="Z80" s="27" t="s">
        <v>1847</v>
      </c>
      <c r="AA80" s="27" t="s">
        <v>1849</v>
      </c>
      <c r="AB80" s="27" t="s">
        <v>1850</v>
      </c>
      <c r="AC80" s="27" t="s">
        <v>2105</v>
      </c>
      <c r="AD80" s="27" t="s">
        <v>2103</v>
      </c>
      <c r="AE80" s="27" t="s">
        <v>2104</v>
      </c>
      <c r="AF80" s="27" t="s">
        <v>1848</v>
      </c>
      <c r="AG80" s="27" t="s">
        <v>1851</v>
      </c>
      <c r="AK80" s="125"/>
      <c r="AL80" s="125"/>
      <c r="AM80" s="125"/>
      <c r="AN80" s="125"/>
      <c r="AO80" s="125"/>
      <c r="AP80" s="125"/>
      <c r="AQ80" s="125"/>
      <c r="AR80" s="125"/>
      <c r="AX80" s="25" t="str">
        <f t="shared" si="29"/>
        <v>Shock tms("cmt","ROW","USA") = 1.2;</v>
      </c>
    </row>
    <row r="81" spans="1:50" ht="42.6" thickBot="1">
      <c r="A81" s="397" t="s">
        <v>2232</v>
      </c>
      <c r="B81" s="398">
        <v>2</v>
      </c>
      <c r="C81" s="397" t="s">
        <v>2233</v>
      </c>
      <c r="Z81">
        <v>2</v>
      </c>
      <c r="AA81">
        <v>3</v>
      </c>
      <c r="AB81">
        <v>4</v>
      </c>
      <c r="AC81">
        <v>5</v>
      </c>
      <c r="AD81">
        <v>6</v>
      </c>
      <c r="AE81">
        <v>7</v>
      </c>
      <c r="AF81">
        <v>8</v>
      </c>
      <c r="AX81" s="25" t="str">
        <f t="shared" si="29"/>
        <v>Shock tms("omt","ROW","USA") = 2.8;</v>
      </c>
    </row>
    <row r="82" spans="1:50" ht="28.5" thickBot="1">
      <c r="A82" s="397" t="s">
        <v>2234</v>
      </c>
      <c r="B82" s="398">
        <v>3</v>
      </c>
      <c r="C82" s="399" t="s">
        <v>2235</v>
      </c>
      <c r="Y82" s="25" t="s">
        <v>2106</v>
      </c>
      <c r="Z82" s="25" t="s">
        <v>2236</v>
      </c>
      <c r="AA82" s="25" t="s">
        <v>2237</v>
      </c>
      <c r="AB82" s="25" t="s">
        <v>2238</v>
      </c>
      <c r="AC82" s="25" t="s">
        <v>2239</v>
      </c>
      <c r="AD82" s="25" t="s">
        <v>2240</v>
      </c>
      <c r="AE82" s="25" t="s">
        <v>2241</v>
      </c>
      <c r="AF82" s="25" t="s">
        <v>2242</v>
      </c>
      <c r="AG82" s="25" t="s">
        <v>2243</v>
      </c>
      <c r="AX82" s="25" t="str">
        <f t="shared" si="29"/>
        <v>Shock tms("vol","ROW","USA") = 14.5;</v>
      </c>
    </row>
    <row r="83" spans="1:50" ht="14.1">
      <c r="A83" s="399" t="s">
        <v>2244</v>
      </c>
      <c r="B83" s="400" t="s">
        <v>2245</v>
      </c>
      <c r="Y83" s="25" t="s">
        <v>333</v>
      </c>
      <c r="Z83" s="25">
        <v>0</v>
      </c>
      <c r="AA83" s="25">
        <v>1.6168250000001501E-2</v>
      </c>
      <c r="AB83" s="25">
        <v>0</v>
      </c>
      <c r="AC83" s="25">
        <v>0</v>
      </c>
      <c r="AD83" s="25">
        <v>15</v>
      </c>
      <c r="AE83" s="25">
        <v>0</v>
      </c>
      <c r="AF83" s="25">
        <v>25</v>
      </c>
      <c r="AG83" s="25">
        <v>0</v>
      </c>
      <c r="AX83" s="25" t="str">
        <f t="shared" si="29"/>
        <v>Shock tms("mil","ROW","USA") = 12.2;</v>
      </c>
    </row>
    <row r="84" spans="1:50" ht="17.45">
      <c r="A84" s="188"/>
      <c r="Y84" s="25" t="s">
        <v>336</v>
      </c>
      <c r="Z84" s="25">
        <v>0</v>
      </c>
      <c r="AA84" s="25">
        <v>1.6168250000001501E-2</v>
      </c>
      <c r="AB84" s="25">
        <v>7.8059749999997898E-3</v>
      </c>
      <c r="AC84" s="25">
        <v>10</v>
      </c>
      <c r="AD84" s="25">
        <v>0</v>
      </c>
      <c r="AE84" s="25">
        <v>15</v>
      </c>
      <c r="AF84" s="25">
        <v>10.136395712297499</v>
      </c>
      <c r="AG84" s="25">
        <v>13.601224460047099</v>
      </c>
      <c r="AX84" s="25" t="str">
        <f t="shared" si="29"/>
        <v>Shock tms("pcr","ROW","USA") = 20.4;</v>
      </c>
    </row>
    <row r="85" spans="1:50">
      <c r="Y85" s="25" t="s">
        <v>339</v>
      </c>
      <c r="Z85" s="25">
        <v>19.716024779333701</v>
      </c>
      <c r="AA85" s="25">
        <v>1.6168250000001501E-2</v>
      </c>
      <c r="AB85" s="25">
        <v>7.8059749999997898E-3</v>
      </c>
      <c r="AC85" s="25">
        <v>10</v>
      </c>
      <c r="AD85" s="25">
        <v>15</v>
      </c>
      <c r="AE85" s="25">
        <v>14.9957786144648</v>
      </c>
      <c r="AF85" s="25">
        <v>12.389364749538601</v>
      </c>
      <c r="AG85" s="25">
        <v>9.9757078405952999</v>
      </c>
      <c r="AX85" s="25" t="str">
        <f t="shared" si="29"/>
        <v>Shock tms("sgr","ROW","USA") = 11.3;</v>
      </c>
    </row>
    <row r="86" spans="1:50">
      <c r="Y86" s="25" t="s">
        <v>342</v>
      </c>
      <c r="Z86" s="25">
        <v>18.465108736476001</v>
      </c>
      <c r="AA86" s="25">
        <v>1.6168250000001501E-2</v>
      </c>
      <c r="AB86" s="25">
        <v>7.8059749999997898E-3</v>
      </c>
      <c r="AC86" s="25">
        <v>9.58739376184778</v>
      </c>
      <c r="AD86" s="25">
        <v>14.689303261516899</v>
      </c>
      <c r="AE86" s="25">
        <v>12.1657926934464</v>
      </c>
      <c r="AF86" s="25">
        <v>4.3494251399218404</v>
      </c>
      <c r="AG86" s="25">
        <v>6.0049979478243998</v>
      </c>
      <c r="AX86" s="25" t="str">
        <f t="shared" si="29"/>
        <v>Shock tms("ofd","ROW","USA") = 12.7;</v>
      </c>
    </row>
    <row r="87" spans="1:50">
      <c r="Y87" s="25" t="s">
        <v>345</v>
      </c>
      <c r="Z87" s="25">
        <v>20</v>
      </c>
      <c r="AA87" s="25">
        <v>1.6168250000001501E-2</v>
      </c>
      <c r="AB87" s="25">
        <v>7.8059749999997898E-3</v>
      </c>
      <c r="AC87" s="25">
        <v>5.6822390602561001E-2</v>
      </c>
      <c r="AD87" s="25">
        <v>15</v>
      </c>
      <c r="AE87" s="25">
        <v>13.004492405654601</v>
      </c>
      <c r="AF87" s="25">
        <v>13.4798588398377</v>
      </c>
      <c r="AG87" s="25">
        <v>10.3564616714404</v>
      </c>
      <c r="AX87" s="25" t="str">
        <f t="shared" si="29"/>
        <v>Shock tms("b_t","ROW","USA") = 14.1;</v>
      </c>
    </row>
    <row r="88" spans="1:50">
      <c r="Y88" s="25" t="s">
        <v>348</v>
      </c>
      <c r="Z88" s="25">
        <v>20</v>
      </c>
      <c r="AA88" s="25">
        <v>1.6168250000001501E-2</v>
      </c>
      <c r="AB88" s="25">
        <v>7.8059749999997898E-3</v>
      </c>
      <c r="AC88" s="25">
        <v>0</v>
      </c>
      <c r="AD88" s="25">
        <v>0</v>
      </c>
      <c r="AE88" s="25">
        <v>15</v>
      </c>
      <c r="AF88" s="25">
        <v>15.3622363639249</v>
      </c>
      <c r="AG88" s="25">
        <v>21.900015764858299</v>
      </c>
      <c r="AX88" s="25" t="str">
        <f t="shared" si="29"/>
        <v>Shock tms("tex","ROW","USA") = 21.0;</v>
      </c>
    </row>
    <row r="89" spans="1:50">
      <c r="Y89" s="25" t="s">
        <v>351</v>
      </c>
      <c r="Z89" s="25">
        <v>20</v>
      </c>
      <c r="AA89" s="25">
        <v>1.6168250000001501E-2</v>
      </c>
      <c r="AB89" s="25">
        <v>7.8059749999997898E-3</v>
      </c>
      <c r="AC89" s="25">
        <v>10</v>
      </c>
      <c r="AD89" s="25">
        <v>15</v>
      </c>
      <c r="AE89" s="25">
        <v>15</v>
      </c>
      <c r="AF89" s="25">
        <v>23.5136339667296</v>
      </c>
      <c r="AG89" s="25">
        <v>21.607476747710699</v>
      </c>
      <c r="AX89" s="25" t="str">
        <f t="shared" si="29"/>
        <v>Shock tms("wap","ROW","USA") = 19.7;</v>
      </c>
    </row>
    <row r="90" spans="1:50">
      <c r="Y90" s="25" t="s">
        <v>354</v>
      </c>
      <c r="Z90" s="25">
        <v>14.067594507717599</v>
      </c>
      <c r="AA90" s="25">
        <v>1.6168250000001501E-2</v>
      </c>
      <c r="AB90" s="25">
        <v>7.8059749999997898E-3</v>
      </c>
      <c r="AC90" s="25">
        <v>8.4186401114040308</v>
      </c>
      <c r="AD90" s="25">
        <v>2.0142271023999099</v>
      </c>
      <c r="AE90" s="25">
        <v>12.4390202408498</v>
      </c>
      <c r="AF90" s="25">
        <v>2.7300333969426198</v>
      </c>
      <c r="AG90" s="25">
        <v>3.5877334075984599</v>
      </c>
      <c r="AX90" s="25" t="str">
        <f t="shared" si="29"/>
        <v>Shock tms("lea","ROW","USA") = 19.9;</v>
      </c>
    </row>
    <row r="91" spans="1:50">
      <c r="Y91" s="25" t="s">
        <v>357</v>
      </c>
      <c r="Z91" s="25">
        <v>0</v>
      </c>
      <c r="AA91" s="25">
        <v>1.6317419999998799E-2</v>
      </c>
      <c r="AB91" s="25">
        <v>7.2289249999995999E-3</v>
      </c>
      <c r="AC91" s="25">
        <v>10</v>
      </c>
      <c r="AD91" s="25">
        <v>15</v>
      </c>
      <c r="AE91" s="25">
        <v>14.999999999999901</v>
      </c>
      <c r="AF91" s="25">
        <v>12.183118144958399</v>
      </c>
      <c r="AG91" s="25">
        <v>10.1155126801637</v>
      </c>
      <c r="AX91" s="25" t="str">
        <f t="shared" si="29"/>
        <v>Shock tms("lum","ROW","USA") = 15.5;</v>
      </c>
    </row>
    <row r="92" spans="1:50">
      <c r="Y92" s="25" t="s">
        <v>360</v>
      </c>
      <c r="Z92" s="25">
        <v>19.983430914435601</v>
      </c>
      <c r="AA92" s="25">
        <v>1.6317419999998799E-2</v>
      </c>
      <c r="AB92" s="25">
        <v>7.2289249999995999E-3</v>
      </c>
      <c r="AC92" s="25">
        <v>10</v>
      </c>
      <c r="AD92" s="25">
        <v>15</v>
      </c>
      <c r="AE92" s="25">
        <v>14.998871464544999</v>
      </c>
      <c r="AF92" s="25">
        <v>14.9387073665223</v>
      </c>
      <c r="AG92" s="25">
        <v>10.443276517251601</v>
      </c>
      <c r="AX92" s="25" t="str">
        <f t="shared" si="29"/>
        <v>Shock tms("ppp","ROW","USA") = 11.3;</v>
      </c>
    </row>
    <row r="93" spans="1:50">
      <c r="Y93" s="25" t="s">
        <v>366</v>
      </c>
      <c r="Z93" s="25">
        <v>20</v>
      </c>
      <c r="AA93" s="25">
        <v>0.131042835</v>
      </c>
      <c r="AB93" s="25">
        <v>0.77892297499999796</v>
      </c>
      <c r="AC93" s="25">
        <v>10</v>
      </c>
      <c r="AD93" s="25">
        <v>0</v>
      </c>
      <c r="AE93" s="25">
        <v>15</v>
      </c>
      <c r="AF93" s="25">
        <v>10.3070965309669</v>
      </c>
      <c r="AG93" s="25">
        <v>10</v>
      </c>
      <c r="AX93" s="25" t="str">
        <f t="shared" si="29"/>
        <v>Shock tms("p_c","ROW","USA") = 0.0;</v>
      </c>
    </row>
    <row r="94" spans="1:50">
      <c r="Y94" s="25" t="s">
        <v>369</v>
      </c>
      <c r="Z94" s="25">
        <v>17.429952274658199</v>
      </c>
      <c r="AA94" s="25">
        <v>5.0682783203596102</v>
      </c>
      <c r="AB94" s="25">
        <v>0.78630595756472099</v>
      </c>
      <c r="AC94" s="25">
        <v>9.5188795959988699</v>
      </c>
      <c r="AD94" s="25">
        <v>5.91348009071727</v>
      </c>
      <c r="AE94" s="25">
        <v>12.855964966473501</v>
      </c>
      <c r="AF94" s="25">
        <v>12.329861123004401</v>
      </c>
      <c r="AG94" s="25">
        <v>9.3178614324360396</v>
      </c>
      <c r="AX94" s="25" t="str">
        <f t="shared" si="29"/>
        <v>Shock tms("chm","ROW","USA") = 11.5;</v>
      </c>
    </row>
    <row r="95" spans="1:50">
      <c r="Y95" s="25" t="s">
        <v>372</v>
      </c>
      <c r="Z95" s="25">
        <v>19.169954529828999</v>
      </c>
      <c r="AA95" s="25">
        <v>1.7892209999999499E-2</v>
      </c>
      <c r="AB95" s="25">
        <v>0</v>
      </c>
      <c r="AC95" s="25">
        <v>9.9998566759986307</v>
      </c>
      <c r="AD95" s="25">
        <v>14.9979727339473</v>
      </c>
      <c r="AE95" s="25">
        <v>14.9698277012938</v>
      </c>
      <c r="AF95" s="25">
        <v>13.364109133052599</v>
      </c>
      <c r="AG95" s="25">
        <v>11.612171314966799</v>
      </c>
      <c r="AX95" s="25" t="str">
        <f t="shared" si="29"/>
        <v>Shock tms("bph","ROW","USA") = 0.3;</v>
      </c>
    </row>
    <row r="96" spans="1:50">
      <c r="Y96" s="25" t="s">
        <v>375</v>
      </c>
      <c r="Z96" s="25">
        <v>10</v>
      </c>
      <c r="AA96" s="25">
        <v>7.7975495544812895E-2</v>
      </c>
      <c r="AB96" s="25">
        <v>9.2931141749999995</v>
      </c>
      <c r="AC96" s="25">
        <v>0</v>
      </c>
      <c r="AD96" s="25">
        <v>0</v>
      </c>
      <c r="AE96" s="25">
        <v>0</v>
      </c>
      <c r="AF96" s="25">
        <v>0</v>
      </c>
      <c r="AG96" s="25">
        <v>0</v>
      </c>
      <c r="AX96" s="25" t="str">
        <f t="shared" si="29"/>
        <v>Shock tms("rpp","ROW","USA") = 19.7;</v>
      </c>
    </row>
    <row r="97" spans="25:50">
      <c r="Y97" s="25" t="s">
        <v>378</v>
      </c>
      <c r="Z97" s="25">
        <v>0</v>
      </c>
      <c r="AA97" s="25">
        <v>7.0283239999999705E-2</v>
      </c>
      <c r="AB97" s="25">
        <v>9.2931141749999995</v>
      </c>
      <c r="AC97" s="25">
        <v>0</v>
      </c>
      <c r="AD97" s="25">
        <v>0</v>
      </c>
      <c r="AE97" s="25">
        <v>0</v>
      </c>
      <c r="AF97" s="25">
        <v>0</v>
      </c>
      <c r="AG97" s="25">
        <v>0</v>
      </c>
      <c r="AX97" s="25" t="str">
        <f t="shared" si="29"/>
        <v>Shock tms("nmm","ROW","USA") = 19.1;</v>
      </c>
    </row>
    <row r="98" spans="25:50">
      <c r="Y98" s="25" t="s">
        <v>381</v>
      </c>
      <c r="Z98" s="25">
        <v>10</v>
      </c>
      <c r="AA98" s="25">
        <v>7.0283239999999705E-2</v>
      </c>
      <c r="AB98" s="25">
        <v>9.2931141749999995</v>
      </c>
      <c r="AC98" s="25">
        <v>0</v>
      </c>
      <c r="AD98" s="25">
        <v>0</v>
      </c>
      <c r="AE98" s="25">
        <v>0</v>
      </c>
      <c r="AF98" s="25">
        <v>0</v>
      </c>
      <c r="AG98" s="25">
        <v>0</v>
      </c>
      <c r="AX98" s="25" t="str">
        <f t="shared" si="29"/>
        <v>Shock tms("i_s","ROW","USA") = 15.5;</v>
      </c>
    </row>
    <row r="99" spans="25:50">
      <c r="Y99" s="25" t="s">
        <v>384</v>
      </c>
      <c r="Z99" s="25">
        <v>11.8252485449632</v>
      </c>
      <c r="AA99" s="25">
        <v>1.2814146617683999</v>
      </c>
      <c r="AB99" s="25">
        <v>3.4531125000000697E-2</v>
      </c>
      <c r="AC99" s="25">
        <v>9.19907587590661</v>
      </c>
      <c r="AD99" s="25">
        <v>6.7070694866455796</v>
      </c>
      <c r="AE99" s="25">
        <v>11.8735204033207</v>
      </c>
      <c r="AF99" s="25">
        <v>10.1829395019389</v>
      </c>
      <c r="AG99" s="25">
        <v>1.7404579983358599</v>
      </c>
      <c r="AX99" s="25" t="str">
        <f t="shared" si="29"/>
        <v>Shock tms("nfm","ROW","USA") = 13.8;</v>
      </c>
    </row>
    <row r="100" spans="25:50">
      <c r="Y100" s="25" t="s">
        <v>387</v>
      </c>
      <c r="Z100" s="25">
        <v>20</v>
      </c>
      <c r="AA100" s="25">
        <v>0.92901297999999899</v>
      </c>
      <c r="AB100" s="25">
        <v>0.13673027499999901</v>
      </c>
      <c r="AC100" s="25">
        <v>1.6810051002872799</v>
      </c>
      <c r="AD100" s="25">
        <v>0</v>
      </c>
      <c r="AE100" s="25">
        <v>6.4443814936246397</v>
      </c>
      <c r="AF100" s="25">
        <v>1.2113250841522101</v>
      </c>
      <c r="AG100" s="25">
        <v>2.5435838205669299</v>
      </c>
      <c r="AX100" s="25" t="str">
        <f t="shared" si="29"/>
        <v>Shock tms("fmp","ROW","USA") = 38.5;</v>
      </c>
    </row>
    <row r="101" spans="25:50">
      <c r="Y101" s="25" t="s">
        <v>390</v>
      </c>
      <c r="Z101" s="25">
        <v>19.9964645691812</v>
      </c>
      <c r="AA101" s="25">
        <v>0.92901297999999899</v>
      </c>
      <c r="AB101" s="25">
        <v>0.13673027499999901</v>
      </c>
      <c r="AC101" s="25">
        <v>10</v>
      </c>
      <c r="AD101" s="25">
        <v>15</v>
      </c>
      <c r="AE101" s="25">
        <v>14.995697924799</v>
      </c>
      <c r="AF101" s="25">
        <v>2.8214865205670798</v>
      </c>
      <c r="AG101" s="25">
        <v>9.7809603450133</v>
      </c>
      <c r="AX101" s="25" t="str">
        <f t="shared" si="29"/>
        <v>Shock tms("ele","ROW","USA") = 13.7;</v>
      </c>
    </row>
    <row r="102" spans="25:50">
      <c r="Y102" s="25" t="s">
        <v>393</v>
      </c>
      <c r="Z102" s="25">
        <v>19.7244877935963</v>
      </c>
      <c r="AA102" s="25">
        <v>0.92901297999999899</v>
      </c>
      <c r="AB102" s="25">
        <v>0.13673027499999901</v>
      </c>
      <c r="AC102" s="25">
        <v>9.7973113286470106</v>
      </c>
      <c r="AD102" s="25">
        <v>14.689530789699999</v>
      </c>
      <c r="AE102" s="25">
        <v>14.9882013275201</v>
      </c>
      <c r="AF102" s="25">
        <v>14.5257710150133</v>
      </c>
      <c r="AG102" s="25">
        <v>10.878639090809299</v>
      </c>
      <c r="AX102" s="25" t="str">
        <f t="shared" si="29"/>
        <v>Shock tms("eeq","ROW","USA") = 22.8;</v>
      </c>
    </row>
    <row r="103" spans="25:50">
      <c r="Y103" s="25" t="s">
        <v>396</v>
      </c>
      <c r="Z103" s="25">
        <v>20</v>
      </c>
      <c r="AA103" s="25">
        <v>0.92901297999999899</v>
      </c>
      <c r="AB103" s="25">
        <v>0.13673027499999901</v>
      </c>
      <c r="AC103" s="25">
        <v>10</v>
      </c>
      <c r="AD103" s="25">
        <v>15</v>
      </c>
      <c r="AE103" s="25">
        <v>15</v>
      </c>
      <c r="AF103" s="25">
        <v>12.163988453274801</v>
      </c>
      <c r="AG103" s="25">
        <v>13.5250921310364</v>
      </c>
      <c r="AX103" s="25" t="str">
        <f t="shared" si="29"/>
        <v>Shock tms("ome","ROW","USA") = 22.7;</v>
      </c>
    </row>
    <row r="104" spans="25:50">
      <c r="Y104" s="25" t="s">
        <v>399</v>
      </c>
      <c r="Z104" s="25">
        <v>20</v>
      </c>
      <c r="AA104" s="25">
        <v>0.92901297999999899</v>
      </c>
      <c r="AB104" s="25">
        <v>0.13673027499999901</v>
      </c>
      <c r="AC104" s="25">
        <v>10</v>
      </c>
      <c r="AD104" s="25">
        <v>15</v>
      </c>
      <c r="AE104" s="25">
        <v>15</v>
      </c>
      <c r="AF104" s="25">
        <v>20.429832721699999</v>
      </c>
      <c r="AG104" s="25">
        <v>13.934996293997999</v>
      </c>
      <c r="AX104" s="25" t="str">
        <f t="shared" si="29"/>
        <v>Shock tms("mvh","ROW","USA") = 27.9;</v>
      </c>
    </row>
    <row r="105" spans="25:50">
      <c r="Y105" s="25" t="s">
        <v>402</v>
      </c>
      <c r="Z105" s="25">
        <v>20</v>
      </c>
      <c r="AA105" s="25">
        <v>0.92901297999999899</v>
      </c>
      <c r="AB105" s="25">
        <v>0.13673027499999901</v>
      </c>
      <c r="AC105" s="25">
        <v>10</v>
      </c>
      <c r="AD105" s="25">
        <v>15</v>
      </c>
      <c r="AE105" s="25">
        <v>15</v>
      </c>
      <c r="AF105" s="25">
        <v>11.327808514975301</v>
      </c>
      <c r="AG105" s="25">
        <v>13.0491586484594</v>
      </c>
      <c r="AX105" s="25" t="str">
        <f t="shared" si="29"/>
        <v>Shock tms("otn","ROW","USA") = 17.9;</v>
      </c>
    </row>
    <row r="106" spans="25:50">
      <c r="Y106" s="25" t="s">
        <v>405</v>
      </c>
      <c r="Z106" s="25">
        <v>18.1825618914655</v>
      </c>
      <c r="AA106" s="25">
        <v>0.92901297999999899</v>
      </c>
      <c r="AB106" s="25">
        <v>0.13673027499999901</v>
      </c>
      <c r="AC106" s="25">
        <v>6.6648384032596901</v>
      </c>
      <c r="AD106" s="25">
        <v>11.4483573108617</v>
      </c>
      <c r="AE106" s="25">
        <v>11.832614173571599</v>
      </c>
      <c r="AF106" s="25">
        <v>12.746690912262199</v>
      </c>
      <c r="AG106" s="25">
        <v>6.6080950700585701</v>
      </c>
      <c r="AX106" s="25" t="str">
        <f t="shared" si="29"/>
        <v>Shock tms("omf","ROW","USA") = 17.4;</v>
      </c>
    </row>
    <row r="107" spans="25:50">
      <c r="Y107" s="25" t="s">
        <v>408</v>
      </c>
      <c r="Z107" s="25">
        <v>20</v>
      </c>
      <c r="AA107" s="25">
        <v>1.309725375</v>
      </c>
      <c r="AB107" s="25">
        <v>1.4059142999999901</v>
      </c>
      <c r="AC107" s="25">
        <v>9.9999489390731302</v>
      </c>
      <c r="AD107" s="25">
        <v>14.999793838995799</v>
      </c>
      <c r="AE107" s="25">
        <v>14.999896996800899</v>
      </c>
      <c r="AF107" s="25">
        <v>14.0971419187042</v>
      </c>
      <c r="AG107" s="25">
        <v>18.2998883950081</v>
      </c>
      <c r="AX107" s="25" t="str">
        <f t="shared" si="29"/>
        <v>Shock tms("ely","ROW","USA") = 0.0;</v>
      </c>
    </row>
    <row r="108" spans="25:50">
      <c r="Y108" s="25" t="s">
        <v>411</v>
      </c>
      <c r="Z108" s="25">
        <v>20</v>
      </c>
      <c r="AA108" s="25">
        <v>32.437240499999902</v>
      </c>
      <c r="AB108" s="25">
        <v>22.265485250000001</v>
      </c>
      <c r="AC108" s="25">
        <v>10</v>
      </c>
      <c r="AD108" s="25">
        <v>15</v>
      </c>
      <c r="AE108" s="25">
        <v>15</v>
      </c>
      <c r="AF108" s="25">
        <v>20.9630208154393</v>
      </c>
      <c r="AG108" s="25">
        <v>14.5747153121205</v>
      </c>
      <c r="AX108" s="25" t="str">
        <f t="shared" si="29"/>
        <v>Shock tms("gdt","ROW","USA") = 0.0;</v>
      </c>
    </row>
    <row r="109" spans="25:50">
      <c r="Y109" s="25" t="s">
        <v>414</v>
      </c>
      <c r="Z109" s="25">
        <v>20</v>
      </c>
      <c r="AA109" s="25">
        <v>9.74442951999999</v>
      </c>
      <c r="AB109" s="25">
        <v>0.82879159999999996</v>
      </c>
      <c r="AC109" s="25">
        <v>10</v>
      </c>
      <c r="AD109" s="25">
        <v>15</v>
      </c>
      <c r="AE109" s="25">
        <v>15</v>
      </c>
      <c r="AF109" s="25">
        <v>19.651757609886399</v>
      </c>
      <c r="AG109" s="25">
        <v>13.110490475229801</v>
      </c>
      <c r="AX109" s="25" t="str">
        <f t="shared" si="29"/>
        <v>Shock tms("wtr","ROW","USA") = 0.0;</v>
      </c>
    </row>
    <row r="110" spans="25:50">
      <c r="Y110" s="25" t="s">
        <v>417</v>
      </c>
      <c r="Z110" s="25">
        <v>20</v>
      </c>
      <c r="AA110" s="25">
        <v>1.9334552650000001</v>
      </c>
      <c r="AB110" s="25">
        <v>0.38656072500000099</v>
      </c>
      <c r="AC110" s="25">
        <v>10</v>
      </c>
      <c r="AD110" s="25">
        <v>15</v>
      </c>
      <c r="AE110" s="25">
        <v>15</v>
      </c>
      <c r="AF110" s="25">
        <v>19.897488580148</v>
      </c>
      <c r="AG110" s="25">
        <v>17.6116977995393</v>
      </c>
      <c r="AX110" s="25" t="str">
        <f t="shared" si="29"/>
        <v>Shock tms("cns","ROW","USA") = 0.0;</v>
      </c>
    </row>
    <row r="111" spans="25:50">
      <c r="Y111" s="25" t="s">
        <v>420</v>
      </c>
      <c r="Z111" s="25">
        <v>19.9563540410577</v>
      </c>
      <c r="AA111" s="25">
        <v>4.6629773070614604</v>
      </c>
      <c r="AB111" s="25">
        <v>0.35734103753805702</v>
      </c>
      <c r="AC111" s="25">
        <v>8.1238829334598304</v>
      </c>
      <c r="AD111" s="25">
        <v>12.3035799243761</v>
      </c>
      <c r="AE111" s="25">
        <v>12.9260974060071</v>
      </c>
      <c r="AF111" s="25">
        <v>15.5474235720969</v>
      </c>
      <c r="AG111" s="25">
        <v>10.077994678138101</v>
      </c>
    </row>
    <row r="112" spans="25:50">
      <c r="Y112" s="25" t="s">
        <v>423</v>
      </c>
      <c r="Z112" s="25">
        <v>17.076193590123101</v>
      </c>
      <c r="AA112" s="25">
        <v>0.435591485000001</v>
      </c>
      <c r="AB112" s="25">
        <v>2.6294057249999998</v>
      </c>
      <c r="AC112" s="25">
        <v>4.1217664667771796</v>
      </c>
      <c r="AD112" s="25">
        <v>12.0004242559668</v>
      </c>
      <c r="AE112" s="25">
        <v>12.602242203442399</v>
      </c>
      <c r="AF112" s="25">
        <v>11.341702772361201</v>
      </c>
      <c r="AG112" s="25">
        <v>12.6105461957149</v>
      </c>
      <c r="AX112" s="25" t="str">
        <f>AZ12</f>
        <v>Shock tms("pdr","Canada","USA") = 0.0;</v>
      </c>
    </row>
    <row r="113" spans="25:50">
      <c r="Y113" s="25" t="s">
        <v>426</v>
      </c>
      <c r="Z113" s="25">
        <v>10.1640835957711</v>
      </c>
      <c r="AA113" s="25">
        <v>0.41238325951363097</v>
      </c>
      <c r="AB113" s="25">
        <v>6.8038958749999896</v>
      </c>
      <c r="AC113" s="25">
        <v>2.9829627050325999E-5</v>
      </c>
      <c r="AD113" s="25">
        <v>0</v>
      </c>
      <c r="AE113" s="25">
        <v>1.4003005607525201</v>
      </c>
      <c r="AF113" s="25">
        <v>2.5811663812213399E-2</v>
      </c>
      <c r="AG113" s="25">
        <v>0.114939541253007</v>
      </c>
      <c r="AX113" s="25" t="str">
        <f t="shared" ref="AX113:AX160" si="30">AZ13</f>
        <v>Shock tms("wht","Canada","USA") = 0.0;</v>
      </c>
    </row>
    <row r="114" spans="25:50">
      <c r="Y114" s="25" t="s">
        <v>429</v>
      </c>
      <c r="Z114" s="25">
        <v>15.773166860224601</v>
      </c>
      <c r="AA114" s="25">
        <v>0.80749356015557305</v>
      </c>
      <c r="AB114" s="25">
        <v>1.1736701222188699</v>
      </c>
      <c r="AC114" s="25">
        <v>6.11475425689855</v>
      </c>
      <c r="AD114" s="25">
        <v>11.1506355576812</v>
      </c>
      <c r="AE114" s="25">
        <v>10.775624293839501</v>
      </c>
      <c r="AF114" s="25">
        <v>11.4638193579832</v>
      </c>
      <c r="AG114" s="25">
        <v>10.6847241864885</v>
      </c>
      <c r="AX114" s="25" t="str">
        <f t="shared" si="30"/>
        <v>Shock tms("gro","Canada","USA") = 0.0;</v>
      </c>
    </row>
    <row r="115" spans="25:50">
      <c r="Y115" s="25" t="s">
        <v>432</v>
      </c>
      <c r="Z115" s="25">
        <v>10.739784325353099</v>
      </c>
      <c r="AA115" s="25">
        <v>0.93666013000000103</v>
      </c>
      <c r="AB115" s="25">
        <v>1.17558772499999</v>
      </c>
      <c r="AC115" s="25">
        <v>0.243275143834007</v>
      </c>
      <c r="AD115" s="25">
        <v>0.24350127858473</v>
      </c>
      <c r="AE115" s="25">
        <v>4.9807747905658603E-2</v>
      </c>
      <c r="AF115" s="25">
        <v>0.28133860967646102</v>
      </c>
      <c r="AG115" s="25">
        <v>0.130402568039617</v>
      </c>
      <c r="AX115" s="25" t="str">
        <f t="shared" si="30"/>
        <v>Shock tms("v_f","Canada","USA") = 0.0;</v>
      </c>
    </row>
    <row r="116" spans="25:50">
      <c r="Y116" s="25" t="s">
        <v>435</v>
      </c>
      <c r="Z116" s="25">
        <v>20.1786776097528</v>
      </c>
      <c r="AA116" s="25">
        <v>2.9360414924950802</v>
      </c>
      <c r="AB116" s="25">
        <v>4.2152840786835597</v>
      </c>
      <c r="AC116" s="25">
        <v>10.617490888081299</v>
      </c>
      <c r="AD116" s="25">
        <v>18.4175187020405</v>
      </c>
      <c r="AE116" s="25">
        <v>16.9975095983255</v>
      </c>
      <c r="AF116" s="25">
        <v>19.685640818087499</v>
      </c>
      <c r="AG116" s="25">
        <v>16.505687387404802</v>
      </c>
      <c r="AX116" s="25" t="str">
        <f t="shared" si="30"/>
        <v>Shock tms("osd","Canada","USA") = 0.0;</v>
      </c>
    </row>
    <row r="117" spans="25:50">
      <c r="Y117" s="25" t="s">
        <v>438</v>
      </c>
      <c r="Z117" s="25">
        <v>20.070729242434702</v>
      </c>
      <c r="AA117" s="25">
        <v>0.80786243175577199</v>
      </c>
      <c r="AB117" s="25">
        <v>1.5223658567573399</v>
      </c>
      <c r="AC117" s="25">
        <v>10.1447850228948</v>
      </c>
      <c r="AD117" s="25">
        <v>15.3237973722857</v>
      </c>
      <c r="AE117" s="25">
        <v>14.8565561965254</v>
      </c>
      <c r="AF117" s="25">
        <v>19.139229548495901</v>
      </c>
      <c r="AG117" s="25">
        <v>13.9326656933602</v>
      </c>
      <c r="AX117" s="25" t="str">
        <f t="shared" si="30"/>
        <v>Shock tms("c_b","Canada","USA") = 0.0;</v>
      </c>
    </row>
    <row r="118" spans="25:50">
      <c r="Y118" s="25" t="s">
        <v>441</v>
      </c>
      <c r="Z118" s="25">
        <v>31.614563508293699</v>
      </c>
      <c r="AA118" s="25">
        <v>16.955676047169302</v>
      </c>
      <c r="AB118" s="25">
        <v>6.4461911350847299</v>
      </c>
      <c r="AC118" s="25">
        <v>11.039911204391</v>
      </c>
      <c r="AD118" s="25">
        <v>15.715101324422999</v>
      </c>
      <c r="AE118" s="25">
        <v>17.100163820844099</v>
      </c>
      <c r="AF118" s="25">
        <v>15.4677649812834</v>
      </c>
      <c r="AG118" s="25">
        <v>18.122499932292602</v>
      </c>
      <c r="AX118" s="25" t="str">
        <f t="shared" si="30"/>
        <v>Shock tms("pfb","Canada","USA") = 0.0;</v>
      </c>
    </row>
    <row r="119" spans="25:50">
      <c r="Y119" s="25" t="s">
        <v>444</v>
      </c>
      <c r="Z119" s="25">
        <v>39.227378980554299</v>
      </c>
      <c r="AA119" s="25">
        <v>32.593436848484501</v>
      </c>
      <c r="AB119" s="25">
        <v>8.6554727801627198</v>
      </c>
      <c r="AC119" s="25">
        <v>6.7264050824554404</v>
      </c>
      <c r="AD119" s="25">
        <v>15.039620943756599</v>
      </c>
      <c r="AE119" s="25">
        <v>22.055467642790099</v>
      </c>
      <c r="AF119" s="25">
        <v>13.789665535126099</v>
      </c>
      <c r="AG119" s="25">
        <v>9.8036574321131695</v>
      </c>
      <c r="AX119" s="25" t="str">
        <f t="shared" si="30"/>
        <v>Shock tms("ocr","Canada","USA") = 0.0;</v>
      </c>
    </row>
    <row r="120" spans="25:50">
      <c r="Y120" s="25" t="s">
        <v>447</v>
      </c>
      <c r="Z120" s="25">
        <v>46.164871252000502</v>
      </c>
      <c r="AA120" s="25">
        <v>39.0032743466708</v>
      </c>
      <c r="AB120" s="25">
        <v>37.947248008114997</v>
      </c>
      <c r="AC120" s="25">
        <v>16.9527633503175</v>
      </c>
      <c r="AD120" s="25">
        <v>33.977703006001001</v>
      </c>
      <c r="AE120" s="25">
        <v>33.511394315509797</v>
      </c>
      <c r="AF120" s="25">
        <v>38.514976870921501</v>
      </c>
      <c r="AG120" s="25">
        <v>36.3148107669426</v>
      </c>
      <c r="AX120" s="25" t="str">
        <f t="shared" si="30"/>
        <v>Shock tms("ctl","Canada","USA") = 0.0;</v>
      </c>
    </row>
    <row r="121" spans="25:50">
      <c r="Y121" s="25" t="s">
        <v>450</v>
      </c>
      <c r="Z121" s="25">
        <v>20.251318223404802</v>
      </c>
      <c r="AA121" s="25">
        <v>9.4027954169206396</v>
      </c>
      <c r="AB121" s="25">
        <v>9.5508613051271904</v>
      </c>
      <c r="AC121" s="25">
        <v>10.855498399535399</v>
      </c>
      <c r="AD121" s="25">
        <v>12.683390547884001</v>
      </c>
      <c r="AE121" s="25">
        <v>13.715932364155099</v>
      </c>
      <c r="AF121" s="25">
        <v>13.742598705625801</v>
      </c>
      <c r="AG121" s="25">
        <v>8.0966653340067793</v>
      </c>
      <c r="AX121" s="25" t="str">
        <f t="shared" si="30"/>
        <v>Shock tms("oap","Canada","USA") = 0.0;</v>
      </c>
    </row>
    <row r="122" spans="25:50">
      <c r="Y122" s="25" t="s">
        <v>453</v>
      </c>
      <c r="Z122" s="25">
        <v>28.929156917525098</v>
      </c>
      <c r="AA122" s="25">
        <v>12.2341365508758</v>
      </c>
      <c r="AB122" s="25">
        <v>10.8371433136747</v>
      </c>
      <c r="AC122" s="25">
        <v>16.022447437661601</v>
      </c>
      <c r="AD122" s="25">
        <v>20.2778834940172</v>
      </c>
      <c r="AE122" s="25">
        <v>19.557311432041502</v>
      </c>
      <c r="AF122" s="25">
        <v>22.8320491939714</v>
      </c>
      <c r="AG122" s="25">
        <v>20.538416813829699</v>
      </c>
      <c r="AX122" s="25" t="str">
        <f t="shared" si="30"/>
        <v>Shock tms("rmk","Canada","USA") = 0.0;</v>
      </c>
    </row>
    <row r="123" spans="25:50">
      <c r="Y123" s="25" t="s">
        <v>456</v>
      </c>
      <c r="Z123" s="25">
        <v>26.444111758977801</v>
      </c>
      <c r="AA123" s="25">
        <v>10.0265463039384</v>
      </c>
      <c r="AB123" s="25">
        <v>16.5004164254992</v>
      </c>
      <c r="AC123" s="25">
        <v>12.7816159891096</v>
      </c>
      <c r="AD123" s="25">
        <v>19.3868233763333</v>
      </c>
      <c r="AE123" s="25">
        <v>18.721309665632901</v>
      </c>
      <c r="AF123" s="25">
        <v>22.701646552261298</v>
      </c>
      <c r="AG123" s="25">
        <v>20.6937979222728</v>
      </c>
      <c r="AX123" s="25" t="str">
        <f t="shared" si="30"/>
        <v>Shock tms("wol","Canada","USA") = 0.1;</v>
      </c>
    </row>
    <row r="124" spans="25:50">
      <c r="Y124" s="25" t="s">
        <v>459</v>
      </c>
      <c r="Z124" s="25">
        <v>34.390747081693902</v>
      </c>
      <c r="AA124" s="25">
        <v>17.9628780142491</v>
      </c>
      <c r="AB124" s="25">
        <v>18.391115113114299</v>
      </c>
      <c r="AC124" s="25">
        <v>23.507096380563102</v>
      </c>
      <c r="AD124" s="25">
        <v>24.108957099543399</v>
      </c>
      <c r="AE124" s="25">
        <v>23.972766535126102</v>
      </c>
      <c r="AF124" s="25">
        <v>27.936524001579901</v>
      </c>
      <c r="AG124" s="25">
        <v>25.012810895904501</v>
      </c>
      <c r="AX124" s="25" t="str">
        <f t="shared" si="30"/>
        <v>Shock tms("frs","Canada","USA") = 5.1;</v>
      </c>
    </row>
    <row r="125" spans="25:50">
      <c r="Y125" s="25" t="s">
        <v>462</v>
      </c>
      <c r="Z125" s="25">
        <v>20.242363472457299</v>
      </c>
      <c r="AA125" s="25">
        <v>4.1145887806465797</v>
      </c>
      <c r="AB125" s="25">
        <v>8.1952238394807093</v>
      </c>
      <c r="AC125" s="25">
        <v>11.8757059509756</v>
      </c>
      <c r="AD125" s="25">
        <v>15.5652506995244</v>
      </c>
      <c r="AE125" s="25">
        <v>16.259658828617301</v>
      </c>
      <c r="AF125" s="25">
        <v>17.9002278595758</v>
      </c>
      <c r="AG125" s="25">
        <v>18.597107461953801</v>
      </c>
      <c r="AX125" s="25" t="str">
        <f t="shared" si="30"/>
        <v>Shock tms("fsh","Canada","USA") = 0.0;</v>
      </c>
    </row>
    <row r="126" spans="25:50">
      <c r="Y126" s="25" t="s">
        <v>465</v>
      </c>
      <c r="Z126" s="25">
        <v>25.946844426753199</v>
      </c>
      <c r="AA126" s="25">
        <v>34.093900913230499</v>
      </c>
      <c r="AB126" s="25">
        <v>23.943862170166302</v>
      </c>
      <c r="AC126" s="25">
        <v>9.7590054264703596</v>
      </c>
      <c r="AD126" s="25">
        <v>15.6432098492965</v>
      </c>
      <c r="AE126" s="25">
        <v>15.7775595639953</v>
      </c>
      <c r="AF126" s="25">
        <v>17.428308735175701</v>
      </c>
      <c r="AG126" s="25">
        <v>13.9305290318039</v>
      </c>
      <c r="AX126" s="25" t="str">
        <f t="shared" si="30"/>
        <v>Shock tms("coa","Canada","USA") = 0.1;</v>
      </c>
    </row>
    <row r="127" spans="25:50">
      <c r="Y127" s="25" t="s">
        <v>468</v>
      </c>
      <c r="Z127" s="25">
        <v>0</v>
      </c>
      <c r="AA127" s="25">
        <v>0</v>
      </c>
      <c r="AB127" s="25">
        <v>0</v>
      </c>
      <c r="AC127" s="25">
        <v>0</v>
      </c>
      <c r="AD127" s="25">
        <v>0</v>
      </c>
      <c r="AE127" s="25">
        <v>0</v>
      </c>
      <c r="AF127" s="25">
        <v>0</v>
      </c>
      <c r="AG127" s="25">
        <v>0</v>
      </c>
      <c r="AX127" s="25" t="str">
        <f t="shared" si="30"/>
        <v>Shock tms("oil","Canada","USA") = 0.1;</v>
      </c>
    </row>
    <row r="128" spans="25:50">
      <c r="AX128" s="25" t="str">
        <f t="shared" si="30"/>
        <v>Shock tms("gas","Canada","USA") = 0.1;</v>
      </c>
    </row>
    <row r="129" spans="50:50">
      <c r="AX129" s="25" t="str">
        <f t="shared" si="30"/>
        <v>Shock tms("oxt","Canada","USA") = 1.3;</v>
      </c>
    </row>
    <row r="130" spans="50:50">
      <c r="AX130" s="25" t="str">
        <f t="shared" si="30"/>
        <v>Shock tms("cmt","Canada","USA") = 0.9;</v>
      </c>
    </row>
    <row r="131" spans="50:50">
      <c r="AX131" s="25" t="str">
        <f t="shared" si="30"/>
        <v>Shock tms("omt","Canada","USA") = 0.9;</v>
      </c>
    </row>
    <row r="132" spans="50:50">
      <c r="AX132" s="25" t="str">
        <f t="shared" si="30"/>
        <v>Shock tms("vol","Canada","USA") = 0.9;</v>
      </c>
    </row>
    <row r="133" spans="50:50">
      <c r="AX133" s="25" t="str">
        <f t="shared" si="30"/>
        <v>Shock tms("mil","Canada","USA") = 0.9;</v>
      </c>
    </row>
    <row r="134" spans="50:50">
      <c r="AX134" s="25" t="str">
        <f t="shared" si="30"/>
        <v>Shock tms("pcr","Canada","USA") = 0.9;</v>
      </c>
    </row>
    <row r="135" spans="50:50">
      <c r="AX135" s="25" t="str">
        <f t="shared" si="30"/>
        <v>Shock tms("sgr","Canada","USA") = 0.9;</v>
      </c>
    </row>
    <row r="136" spans="50:50">
      <c r="AX136" s="25" t="str">
        <f t="shared" si="30"/>
        <v>Shock tms("ofd","Canada","USA") = 0.9;</v>
      </c>
    </row>
    <row r="137" spans="50:50">
      <c r="AX137" s="25" t="str">
        <f t="shared" si="30"/>
        <v>Shock tms("b_t","Canada","USA") = 1.3;</v>
      </c>
    </row>
    <row r="138" spans="50:50">
      <c r="AX138" s="25" t="str">
        <f t="shared" si="30"/>
        <v>Shock tms("tex","Canada","USA") = 32.4;</v>
      </c>
    </row>
    <row r="139" spans="50:50">
      <c r="AX139" s="25" t="str">
        <f t="shared" si="30"/>
        <v>Shock tms("wap","Canada","USA") = 9.7;</v>
      </c>
    </row>
    <row r="140" spans="50:50">
      <c r="AX140" s="25" t="str">
        <f t="shared" si="30"/>
        <v>Shock tms("lea","Canada","USA") = 1.9;</v>
      </c>
    </row>
    <row r="141" spans="50:50">
      <c r="AX141" s="25" t="str">
        <f t="shared" si="30"/>
        <v>Shock tms("lum","Canada","USA") = 4.7;</v>
      </c>
    </row>
    <row r="142" spans="50:50">
      <c r="AX142" s="25" t="str">
        <f t="shared" si="30"/>
        <v>Shock tms("ppp","Canada","USA") = 0.4;</v>
      </c>
    </row>
    <row r="143" spans="50:50">
      <c r="AX143" s="25" t="str">
        <f t="shared" si="30"/>
        <v>Shock tms("p_c","Canada","USA") = 0.4;</v>
      </c>
    </row>
    <row r="144" spans="50:50">
      <c r="AX144" s="25" t="str">
        <f t="shared" si="30"/>
        <v>Shock tms("chm","Canada","USA") = 0.8;</v>
      </c>
    </row>
    <row r="145" spans="50:50">
      <c r="AX145" s="25" t="str">
        <f t="shared" si="30"/>
        <v>Shock tms("bph","Canada","USA") = 0.9;</v>
      </c>
    </row>
    <row r="146" spans="50:50">
      <c r="AX146" s="25" t="str">
        <f t="shared" si="30"/>
        <v>Shock tms("rpp","Canada","USA") = 2.9;</v>
      </c>
    </row>
    <row r="147" spans="50:50">
      <c r="AX147" s="25" t="str">
        <f t="shared" si="30"/>
        <v>Shock tms("nmm","Canada","USA") = 0.8;</v>
      </c>
    </row>
    <row r="148" spans="50:50">
      <c r="AX148" s="25" t="str">
        <f t="shared" si="30"/>
        <v>Shock tms("i_s","Canada","USA") = 17.0;</v>
      </c>
    </row>
    <row r="149" spans="50:50">
      <c r="AX149" s="25" t="str">
        <f t="shared" si="30"/>
        <v>Shock tms("nfm","Canada","USA") = 32.6;</v>
      </c>
    </row>
    <row r="150" spans="50:50">
      <c r="AX150" s="25" t="str">
        <f t="shared" si="30"/>
        <v>Shock tms("fmp","Canada","USA") = 39.0;</v>
      </c>
    </row>
    <row r="151" spans="50:50">
      <c r="AX151" s="25" t="str">
        <f t="shared" si="30"/>
        <v>Shock tms("ele","Canada","USA") = 9.4;</v>
      </c>
    </row>
    <row r="152" spans="50:50">
      <c r="AX152" s="25" t="str">
        <f t="shared" si="30"/>
        <v>Shock tms("eeq","Canada","USA") = 12.2;</v>
      </c>
    </row>
    <row r="153" spans="50:50">
      <c r="AX153" s="25" t="str">
        <f t="shared" si="30"/>
        <v>Shock tms("ome","Canada","USA") = 10.0;</v>
      </c>
    </row>
    <row r="154" spans="50:50">
      <c r="AX154" s="25" t="str">
        <f t="shared" si="30"/>
        <v>Shock tms("mvh","Canada","USA") = 18.0;</v>
      </c>
    </row>
    <row r="155" spans="50:50">
      <c r="AX155" s="25" t="str">
        <f t="shared" si="30"/>
        <v>Shock tms("otn","Canada","USA") = 4.1;</v>
      </c>
    </row>
    <row r="156" spans="50:50">
      <c r="AX156" s="25" t="str">
        <f t="shared" si="30"/>
        <v>Shock tms("omf","Canada","USA") = 34.1;</v>
      </c>
    </row>
    <row r="157" spans="50:50">
      <c r="AX157" s="25" t="str">
        <f t="shared" si="30"/>
        <v>Shock tms("ely","Canada","USA") = 0.0;</v>
      </c>
    </row>
    <row r="158" spans="50:50">
      <c r="AX158" s="25" t="str">
        <f t="shared" si="30"/>
        <v>Shock tms("gdt","Canada","USA") = 0.0;</v>
      </c>
    </row>
    <row r="159" spans="50:50">
      <c r="AX159" s="25" t="str">
        <f t="shared" si="30"/>
        <v>Shock tms("wtr","Canada","USA") = 0.0;</v>
      </c>
    </row>
    <row r="160" spans="50:50">
      <c r="AX160" s="25" t="str">
        <f t="shared" si="30"/>
        <v>Shock tms("cns","Canada","USA") = 0.0;</v>
      </c>
    </row>
    <row r="162" spans="50:50">
      <c r="AX162" s="25" t="str">
        <f>BA12</f>
        <v>Shock tms("pdr","Mexico","USA") = 0.0;</v>
      </c>
    </row>
    <row r="163" spans="50:50">
      <c r="AX163" s="25" t="str">
        <f t="shared" ref="AX163:AX210" si="31">BA13</f>
        <v>Shock tms("wht","Mexico","USA") = 0.0;</v>
      </c>
    </row>
    <row r="164" spans="50:50">
      <c r="AX164" s="25" t="str">
        <f t="shared" si="31"/>
        <v>Shock tms("gro","Mexico","USA") = 0.0;</v>
      </c>
    </row>
    <row r="165" spans="50:50">
      <c r="AX165" s="25" t="str">
        <f t="shared" si="31"/>
        <v>Shock tms("v_f","Mexico","USA") = 0.0;</v>
      </c>
    </row>
    <row r="166" spans="50:50">
      <c r="AX166" s="25" t="str">
        <f t="shared" si="31"/>
        <v>Shock tms("osd","Mexico","USA") = 0.0;</v>
      </c>
    </row>
    <row r="167" spans="50:50">
      <c r="AX167" s="25" t="str">
        <f t="shared" si="31"/>
        <v>Shock tms("c_b","Mexico","USA") = 0.0;</v>
      </c>
    </row>
    <row r="168" spans="50:50">
      <c r="AX168" s="25" t="str">
        <f t="shared" si="31"/>
        <v>Shock tms("pfb","Mexico","USA") = 0.0;</v>
      </c>
    </row>
    <row r="169" spans="50:50">
      <c r="AX169" s="25" t="str">
        <f t="shared" si="31"/>
        <v>Shock tms("ocr","Mexico","USA") = 0.0;</v>
      </c>
    </row>
    <row r="170" spans="50:50">
      <c r="AX170" s="25" t="str">
        <f t="shared" si="31"/>
        <v>Shock tms("ctl","Mexico","USA") = 0.0;</v>
      </c>
    </row>
    <row r="171" spans="50:50">
      <c r="AX171" s="25" t="str">
        <f t="shared" si="31"/>
        <v>Shock tms("oap","Mexico","USA") = 0.0;</v>
      </c>
    </row>
    <row r="172" spans="50:50">
      <c r="AX172" s="25" t="str">
        <f t="shared" si="31"/>
        <v>Shock tms("rmk","Mexico","USA") = 0.0;</v>
      </c>
    </row>
    <row r="173" spans="50:50">
      <c r="AX173" s="25" t="str">
        <f t="shared" si="31"/>
        <v>Shock tms("wol","Mexico","USA") = 0.8;</v>
      </c>
    </row>
    <row r="174" spans="50:50">
      <c r="AX174" s="25" t="str">
        <f t="shared" si="31"/>
        <v>Shock tms("frs","Mexico","USA") = 0.8;</v>
      </c>
    </row>
    <row r="175" spans="50:50">
      <c r="AX175" s="25" t="str">
        <f t="shared" si="31"/>
        <v>Shock tms("fsh","Mexico","USA") = 0.0;</v>
      </c>
    </row>
    <row r="176" spans="50:50">
      <c r="AX176" s="25" t="str">
        <f t="shared" si="31"/>
        <v>Shock tms("coa","Mexico","USA") = 9.3;</v>
      </c>
    </row>
    <row r="177" spans="50:50">
      <c r="AX177" s="25" t="str">
        <f t="shared" si="31"/>
        <v>Shock tms("oil","Mexico","USA") = 9.3;</v>
      </c>
    </row>
    <row r="178" spans="50:50">
      <c r="AX178" s="25" t="str">
        <f t="shared" si="31"/>
        <v>Shock tms("gas","Mexico","USA") = 9.3;</v>
      </c>
    </row>
    <row r="179" spans="50:50">
      <c r="AX179" s="25" t="str">
        <f t="shared" si="31"/>
        <v>Shock tms("oxt","Mexico","USA") = 0.0;</v>
      </c>
    </row>
    <row r="180" spans="50:50">
      <c r="AX180" s="25" t="str">
        <f t="shared" si="31"/>
        <v>Shock tms("cmt","Mexico","USA") = 0.1;</v>
      </c>
    </row>
    <row r="181" spans="50:50">
      <c r="AX181" s="25" t="str">
        <f t="shared" si="31"/>
        <v>Shock tms("omt","Mexico","USA") = 0.1;</v>
      </c>
    </row>
    <row r="182" spans="50:50">
      <c r="AX182" s="25" t="str">
        <f t="shared" si="31"/>
        <v>Shock tms("vol","Mexico","USA") = 0.1;</v>
      </c>
    </row>
    <row r="183" spans="50:50">
      <c r="AX183" s="25" t="str">
        <f t="shared" si="31"/>
        <v>Shock tms("mil","Mexico","USA") = 0.1;</v>
      </c>
    </row>
    <row r="184" spans="50:50">
      <c r="AX184" s="25" t="str">
        <f t="shared" si="31"/>
        <v>Shock tms("pcr","Mexico","USA") = 0.1;</v>
      </c>
    </row>
    <row r="185" spans="50:50">
      <c r="AX185" s="25" t="str">
        <f t="shared" si="31"/>
        <v>Shock tms("sgr","Mexico","USA") = 0.1;</v>
      </c>
    </row>
    <row r="186" spans="50:50">
      <c r="AX186" s="25" t="str">
        <f t="shared" si="31"/>
        <v>Shock tms("ofd","Mexico","USA") = 0.1;</v>
      </c>
    </row>
    <row r="187" spans="50:50">
      <c r="AX187" s="25" t="str">
        <f t="shared" si="31"/>
        <v>Shock tms("b_t","Mexico","USA") = 1.4;</v>
      </c>
    </row>
    <row r="188" spans="50:50">
      <c r="AX188" s="25" t="str">
        <f t="shared" si="31"/>
        <v>Shock tms("tex","Mexico","USA") = 22.3;</v>
      </c>
    </row>
    <row r="189" spans="50:50">
      <c r="AX189" s="25" t="str">
        <f t="shared" si="31"/>
        <v>Shock tms("wap","Mexico","USA") = 0.8;</v>
      </c>
    </row>
    <row r="190" spans="50:50">
      <c r="AX190" s="25" t="str">
        <f t="shared" si="31"/>
        <v>Shock tms("lea","Mexico","USA") = 0.4;</v>
      </c>
    </row>
    <row r="191" spans="50:50">
      <c r="AX191" s="25" t="str">
        <f t="shared" si="31"/>
        <v>Shock tms("lum","Mexico","USA") = 0.4;</v>
      </c>
    </row>
    <row r="192" spans="50:50">
      <c r="AX192" s="25" t="str">
        <f t="shared" si="31"/>
        <v>Shock tms("ppp","Mexico","USA") = 2.6;</v>
      </c>
    </row>
    <row r="193" spans="50:50">
      <c r="AX193" s="25" t="str">
        <f t="shared" si="31"/>
        <v>Shock tms("p_c","Mexico","USA") = 6.8;</v>
      </c>
    </row>
    <row r="194" spans="50:50">
      <c r="AX194" s="25" t="str">
        <f t="shared" si="31"/>
        <v>Shock tms("chm","Mexico","USA") = 1.2;</v>
      </c>
    </row>
    <row r="195" spans="50:50">
      <c r="AX195" s="25" t="str">
        <f t="shared" si="31"/>
        <v>Shock tms("bph","Mexico","USA") = 1.2;</v>
      </c>
    </row>
    <row r="196" spans="50:50">
      <c r="AX196" s="25" t="str">
        <f t="shared" si="31"/>
        <v>Shock tms("rpp","Mexico","USA") = 4.2;</v>
      </c>
    </row>
    <row r="197" spans="50:50">
      <c r="AX197" s="25" t="str">
        <f t="shared" si="31"/>
        <v>Shock tms("nmm","Mexico","USA") = 1.5;</v>
      </c>
    </row>
    <row r="198" spans="50:50">
      <c r="AX198" s="25" t="str">
        <f t="shared" si="31"/>
        <v>Shock tms("i_s","Mexico","USA") = 6.4;</v>
      </c>
    </row>
    <row r="199" spans="50:50">
      <c r="AX199" s="25" t="str">
        <f t="shared" si="31"/>
        <v>Shock tms("nfm","Mexico","USA") = 8.7;</v>
      </c>
    </row>
    <row r="200" spans="50:50">
      <c r="AX200" s="25" t="str">
        <f t="shared" si="31"/>
        <v>Shock tms("fmp","Mexico","USA") = 37.9;</v>
      </c>
    </row>
    <row r="201" spans="50:50">
      <c r="AX201" s="25" t="str">
        <f t="shared" si="31"/>
        <v>Shock tms("ele","Mexico","USA") = 9.6;</v>
      </c>
    </row>
    <row r="202" spans="50:50">
      <c r="AX202" s="25" t="str">
        <f t="shared" si="31"/>
        <v>Shock tms("eeq","Mexico","USA") = 10.8;</v>
      </c>
    </row>
    <row r="203" spans="50:50">
      <c r="AX203" s="25" t="str">
        <f t="shared" si="31"/>
        <v>Shock tms("ome","Mexico","USA") = 16.5;</v>
      </c>
    </row>
    <row r="204" spans="50:50">
      <c r="AX204" s="25" t="str">
        <f t="shared" si="31"/>
        <v>Shock tms("mvh","Mexico","USA") = 18.4;</v>
      </c>
    </row>
    <row r="205" spans="50:50">
      <c r="AX205" s="25" t="str">
        <f t="shared" si="31"/>
        <v>Shock tms("otn","Mexico","USA") = 8.2;</v>
      </c>
    </row>
    <row r="206" spans="50:50">
      <c r="AX206" s="25" t="str">
        <f t="shared" si="31"/>
        <v>Shock tms("omf","Mexico","USA") = 23.9;</v>
      </c>
    </row>
    <row r="207" spans="50:50">
      <c r="AX207" s="25" t="str">
        <f t="shared" si="31"/>
        <v>Shock tms("ely","Mexico","USA") = 0.0;</v>
      </c>
    </row>
    <row r="208" spans="50:50">
      <c r="AX208" s="25" t="str">
        <f t="shared" si="31"/>
        <v>Shock tms("gdt","Mexico","USA") = 0.0;</v>
      </c>
    </row>
    <row r="209" spans="50:50">
      <c r="AX209" s="25" t="str">
        <f t="shared" si="31"/>
        <v>Shock tms("wtr","Mexico","USA") = 0.0;</v>
      </c>
    </row>
    <row r="210" spans="50:50">
      <c r="AX210" s="25" t="str">
        <f t="shared" si="31"/>
        <v>Shock tms("cns","Mexico","USA") = 0.0;</v>
      </c>
    </row>
    <row r="212" spans="50:50">
      <c r="AX212" s="25" t="str">
        <f>BB12</f>
        <v>Shock tms("pdr","FTROW","USA") = 0.0;</v>
      </c>
    </row>
    <row r="213" spans="50:50">
      <c r="AX213" s="25" t="str">
        <f t="shared" ref="AX213:AX260" si="32">BB13</f>
        <v>Shock tms("wht","FTROW","USA") = 13.6;</v>
      </c>
    </row>
    <row r="214" spans="50:50">
      <c r="AX214" s="25" t="str">
        <f t="shared" si="32"/>
        <v>Shock tms("gro","FTROW","USA") = 10.0;</v>
      </c>
    </row>
    <row r="215" spans="50:50">
      <c r="AX215" s="25" t="str">
        <f t="shared" si="32"/>
        <v>Shock tms("v_f","FTROW","USA") = 6.0;</v>
      </c>
    </row>
    <row r="216" spans="50:50">
      <c r="AX216" s="25" t="str">
        <f t="shared" si="32"/>
        <v>Shock tms("osd","FTROW","USA") = 10.4;</v>
      </c>
    </row>
    <row r="217" spans="50:50">
      <c r="AX217" s="25" t="str">
        <f t="shared" si="32"/>
        <v>Shock tms("c_b","FTROW","USA") = 21.9;</v>
      </c>
    </row>
    <row r="218" spans="50:50">
      <c r="AX218" s="25" t="str">
        <f t="shared" si="32"/>
        <v>Shock tms("pfb","FTROW","USA") = 21.6;</v>
      </c>
    </row>
    <row r="219" spans="50:50">
      <c r="AX219" s="25" t="str">
        <f t="shared" si="32"/>
        <v>Shock tms("ocr","FTROW","USA") = 3.6;</v>
      </c>
    </row>
    <row r="220" spans="50:50">
      <c r="AX220" s="25" t="str">
        <f t="shared" si="32"/>
        <v>Shock tms("ctl","FTROW","USA") = 10.1;</v>
      </c>
    </row>
    <row r="221" spans="50:50">
      <c r="AX221" s="25" t="str">
        <f t="shared" si="32"/>
        <v>Shock tms("oap","FTROW","USA") = 10.4;</v>
      </c>
    </row>
    <row r="222" spans="50:50">
      <c r="AX222" s="25" t="str">
        <f t="shared" si="32"/>
        <v>Shock tms("rmk","FTROW","USA") = 0.0;</v>
      </c>
    </row>
    <row r="223" spans="50:50">
      <c r="AX223" s="25" t="str">
        <f t="shared" si="32"/>
        <v>Shock tms("wol","FTROW","USA") = 10.0;</v>
      </c>
    </row>
    <row r="224" spans="50:50">
      <c r="AX224" s="25" t="str">
        <f t="shared" si="32"/>
        <v>Shock tms("frs","FTROW","USA") = 9.3;</v>
      </c>
    </row>
    <row r="225" spans="50:50">
      <c r="AX225" s="25" t="str">
        <f t="shared" si="32"/>
        <v>Shock tms("fsh","FTROW","USA") = 11.6;</v>
      </c>
    </row>
    <row r="226" spans="50:50">
      <c r="AX226" s="25" t="str">
        <f t="shared" si="32"/>
        <v>Shock tms("coa","FTROW","USA") = 0.0;</v>
      </c>
    </row>
    <row r="227" spans="50:50">
      <c r="AX227" s="25" t="str">
        <f t="shared" si="32"/>
        <v>Shock tms("oil","FTROW","USA") = 0.0;</v>
      </c>
    </row>
    <row r="228" spans="50:50">
      <c r="AX228" s="25" t="str">
        <f t="shared" si="32"/>
        <v>Shock tms("gas","FTROW","USA") = 0.0;</v>
      </c>
    </row>
    <row r="229" spans="50:50">
      <c r="AX229" s="25" t="str">
        <f t="shared" si="32"/>
        <v>Shock tms("oxt","FTROW","USA") = 1.7;</v>
      </c>
    </row>
    <row r="230" spans="50:50">
      <c r="AX230" s="25" t="str">
        <f t="shared" si="32"/>
        <v>Shock tms("cmt","FTROW","USA") = 2.5;</v>
      </c>
    </row>
    <row r="231" spans="50:50">
      <c r="AX231" s="25" t="str">
        <f t="shared" si="32"/>
        <v>Shock tms("omt","FTROW","USA") = 9.8;</v>
      </c>
    </row>
    <row r="232" spans="50:50">
      <c r="AX232" s="25" t="str">
        <f t="shared" si="32"/>
        <v>Shock tms("vol","FTROW","USA") = 10.9;</v>
      </c>
    </row>
    <row r="233" spans="50:50">
      <c r="AX233" s="25" t="str">
        <f t="shared" si="32"/>
        <v>Shock tms("mil","FTROW","USA") = 13.5;</v>
      </c>
    </row>
    <row r="234" spans="50:50">
      <c r="AX234" s="25" t="str">
        <f t="shared" si="32"/>
        <v>Shock tms("pcr","FTROW","USA") = 13.9;</v>
      </c>
    </row>
    <row r="235" spans="50:50">
      <c r="AX235" s="25" t="str">
        <f t="shared" si="32"/>
        <v>Shock tms("sgr","FTROW","USA") = 13.0;</v>
      </c>
    </row>
    <row r="236" spans="50:50">
      <c r="AX236" s="25" t="str">
        <f t="shared" si="32"/>
        <v>Shock tms("ofd","FTROW","USA") = 6.6;</v>
      </c>
    </row>
    <row r="237" spans="50:50">
      <c r="AX237" s="25" t="str">
        <f t="shared" si="32"/>
        <v>Shock tms("b_t","FTROW","USA") = 18.3;</v>
      </c>
    </row>
    <row r="238" spans="50:50">
      <c r="AX238" s="25" t="str">
        <f t="shared" si="32"/>
        <v>Shock tms("tex","FTROW","USA") = 14.6;</v>
      </c>
    </row>
    <row r="239" spans="50:50">
      <c r="AX239" s="25" t="str">
        <f t="shared" si="32"/>
        <v>Shock tms("wap","FTROW","USA") = 13.1;</v>
      </c>
    </row>
    <row r="240" spans="50:50">
      <c r="AX240" s="25" t="str">
        <f t="shared" si="32"/>
        <v>Shock tms("lea","FTROW","USA") = 17.6;</v>
      </c>
    </row>
    <row r="241" spans="50:50">
      <c r="AX241" s="25" t="str">
        <f t="shared" si="32"/>
        <v>Shock tms("lum","FTROW","USA") = 10.1;</v>
      </c>
    </row>
    <row r="242" spans="50:50">
      <c r="AX242" s="25" t="str">
        <f t="shared" si="32"/>
        <v>Shock tms("ppp","FTROW","USA") = 12.6;</v>
      </c>
    </row>
    <row r="243" spans="50:50">
      <c r="AX243" s="25" t="str">
        <f t="shared" si="32"/>
        <v>Shock tms("p_c","FTROW","USA") = 0.1;</v>
      </c>
    </row>
    <row r="244" spans="50:50">
      <c r="AX244" s="25" t="str">
        <f t="shared" si="32"/>
        <v>Shock tms("chm","FTROW","USA") = 10.7;</v>
      </c>
    </row>
    <row r="245" spans="50:50">
      <c r="AX245" s="25" t="str">
        <f t="shared" si="32"/>
        <v>Shock tms("bph","FTROW","USA") = 0.1;</v>
      </c>
    </row>
    <row r="246" spans="50:50">
      <c r="AX246" s="25" t="str">
        <f t="shared" si="32"/>
        <v>Shock tms("rpp","FTROW","USA") = 16.5;</v>
      </c>
    </row>
    <row r="247" spans="50:50">
      <c r="AX247" s="25" t="str">
        <f t="shared" si="32"/>
        <v>Shock tms("nmm","FTROW","USA") = 13.9;</v>
      </c>
    </row>
    <row r="248" spans="50:50">
      <c r="AX248" s="25" t="str">
        <f t="shared" si="32"/>
        <v>Shock tms("i_s","FTROW","USA") = 18.1;</v>
      </c>
    </row>
    <row r="249" spans="50:50">
      <c r="AX249" s="25" t="str">
        <f t="shared" si="32"/>
        <v>Shock tms("nfm","FTROW","USA") = 9.8;</v>
      </c>
    </row>
    <row r="250" spans="50:50">
      <c r="AX250" s="25" t="str">
        <f t="shared" si="32"/>
        <v>Shock tms("fmp","FTROW","USA") = 36.3;</v>
      </c>
    </row>
    <row r="251" spans="50:50">
      <c r="AX251" s="25" t="str">
        <f t="shared" si="32"/>
        <v>Shock tms("ele","FTROW","USA") = 8.1;</v>
      </c>
    </row>
    <row r="252" spans="50:50">
      <c r="AX252" s="25" t="str">
        <f t="shared" si="32"/>
        <v>Shock tms("eeq","FTROW","USA") = 20.5;</v>
      </c>
    </row>
    <row r="253" spans="50:50">
      <c r="AX253" s="25" t="str">
        <f t="shared" si="32"/>
        <v>Shock tms("ome","FTROW","USA") = 20.7;</v>
      </c>
    </row>
    <row r="254" spans="50:50">
      <c r="AX254" s="25" t="str">
        <f t="shared" si="32"/>
        <v>Shock tms("mvh","FTROW","USA") = 25.0;</v>
      </c>
    </row>
    <row r="255" spans="50:50">
      <c r="AX255" s="25" t="str">
        <f t="shared" si="32"/>
        <v>Shock tms("otn","FTROW","USA") = 18.6;</v>
      </c>
    </row>
    <row r="256" spans="50:50">
      <c r="AX256" s="25" t="str">
        <f t="shared" si="32"/>
        <v>Shock tms("omf","FTROW","USA") = 13.9;</v>
      </c>
    </row>
    <row r="257" spans="50:50">
      <c r="AX257" s="25" t="str">
        <f t="shared" si="32"/>
        <v>Shock tms("ely","FTROW","USA") = 0.0;</v>
      </c>
    </row>
    <row r="258" spans="50:50">
      <c r="AX258" s="25" t="str">
        <f t="shared" si="32"/>
        <v>Shock tms("gdt","FTROW","USA") = 0.0;</v>
      </c>
    </row>
    <row r="259" spans="50:50">
      <c r="AX259" s="25" t="str">
        <f t="shared" si="32"/>
        <v>Shock tms("wtr","FTROW","USA") = 0.0;</v>
      </c>
    </row>
    <row r="260" spans="50:50">
      <c r="AX260" s="25" t="str">
        <f t="shared" si="32"/>
        <v>Shock tms("cns","FTROW","USA") = 0.0;</v>
      </c>
    </row>
    <row r="262" spans="50:50">
      <c r="AX262" s="25" t="str">
        <f>BC12</f>
        <v>Shock tms("pdr","Japan","USA") = 15.0;</v>
      </c>
    </row>
    <row r="263" spans="50:50">
      <c r="AX263" s="25" t="str">
        <f t="shared" ref="AX263:AX310" si="33">BC13</f>
        <v>Shock tms("wht","Japan","USA") = 0.0;</v>
      </c>
    </row>
    <row r="264" spans="50:50">
      <c r="AX264" s="25" t="str">
        <f t="shared" si="33"/>
        <v>Shock tms("gro","Japan","USA") = 15.0;</v>
      </c>
    </row>
    <row r="265" spans="50:50">
      <c r="AX265" s="25" t="str">
        <f t="shared" si="33"/>
        <v>Shock tms("v_f","Japan","USA") = 14.7;</v>
      </c>
    </row>
    <row r="266" spans="50:50">
      <c r="AX266" s="25" t="str">
        <f t="shared" si="33"/>
        <v>Shock tms("osd","Japan","USA") = 15.0;</v>
      </c>
    </row>
    <row r="267" spans="50:50">
      <c r="AX267" s="25" t="str">
        <f t="shared" si="33"/>
        <v>Shock tms("c_b","Japan","USA") = 0.0;</v>
      </c>
    </row>
    <row r="268" spans="50:50">
      <c r="AX268" s="25" t="str">
        <f t="shared" si="33"/>
        <v>Shock tms("pfb","Japan","USA") = 15.0;</v>
      </c>
    </row>
    <row r="269" spans="50:50">
      <c r="AX269" s="25" t="str">
        <f t="shared" si="33"/>
        <v>Shock tms("ocr","Japan","USA") = 2.0;</v>
      </c>
    </row>
    <row r="270" spans="50:50">
      <c r="AX270" s="25" t="str">
        <f t="shared" si="33"/>
        <v>Shock tms("ctl","Japan","USA") = 15.0;</v>
      </c>
    </row>
    <row r="271" spans="50:50">
      <c r="AX271" s="25" t="str">
        <f t="shared" si="33"/>
        <v>Shock tms("oap","Japan","USA") = 15.0;</v>
      </c>
    </row>
    <row r="272" spans="50:50">
      <c r="AX272" s="25" t="str">
        <f t="shared" si="33"/>
        <v>Shock tms("rmk","Japan","USA") = 0.0;</v>
      </c>
    </row>
    <row r="273" spans="50:50">
      <c r="AX273" s="25" t="str">
        <f t="shared" si="33"/>
        <v>Shock tms("wol","Japan","USA") = 0.0;</v>
      </c>
    </row>
    <row r="274" spans="50:50">
      <c r="AX274" s="25" t="str">
        <f t="shared" si="33"/>
        <v>Shock tms("frs","Japan","USA") = 5.9;</v>
      </c>
    </row>
    <row r="275" spans="50:50">
      <c r="AX275" s="25" t="str">
        <f t="shared" si="33"/>
        <v>Shock tms("fsh","Japan","USA") = 15.0;</v>
      </c>
    </row>
    <row r="276" spans="50:50">
      <c r="AX276" s="25" t="str">
        <f t="shared" si="33"/>
        <v>Shock tms("coa","Japan","USA") = 0.0;</v>
      </c>
    </row>
    <row r="277" spans="50:50">
      <c r="AX277" s="25" t="str">
        <f t="shared" si="33"/>
        <v>Shock tms("oil","Japan","USA") = 0.0;</v>
      </c>
    </row>
    <row r="278" spans="50:50">
      <c r="AX278" s="25" t="str">
        <f t="shared" si="33"/>
        <v>Shock tms("gas","Japan","USA") = 0.0;</v>
      </c>
    </row>
    <row r="279" spans="50:50">
      <c r="AX279" s="25" t="str">
        <f t="shared" si="33"/>
        <v>Shock tms("oxt","Japan","USA") = 6.7;</v>
      </c>
    </row>
    <row r="280" spans="50:50">
      <c r="AX280" s="25" t="str">
        <f t="shared" si="33"/>
        <v>Shock tms("cmt","Japan","USA") = 0.0;</v>
      </c>
    </row>
    <row r="281" spans="50:50">
      <c r="AX281" s="25" t="str">
        <f t="shared" si="33"/>
        <v>Shock tms("omt","Japan","USA") = 15.0;</v>
      </c>
    </row>
    <row r="282" spans="50:50">
      <c r="AX282" s="25" t="str">
        <f t="shared" si="33"/>
        <v>Shock tms("vol","Japan","USA") = 14.7;</v>
      </c>
    </row>
    <row r="283" spans="50:50">
      <c r="AX283" s="25" t="str">
        <f t="shared" si="33"/>
        <v>Shock tms("mil","Japan","USA") = 15.0;</v>
      </c>
    </row>
    <row r="284" spans="50:50">
      <c r="AX284" s="25" t="str">
        <f t="shared" si="33"/>
        <v>Shock tms("pcr","Japan","USA") = 15.0;</v>
      </c>
    </row>
    <row r="285" spans="50:50">
      <c r="AX285" s="25" t="str">
        <f t="shared" si="33"/>
        <v>Shock tms("sgr","Japan","USA") = 15.0;</v>
      </c>
    </row>
    <row r="286" spans="50:50">
      <c r="AX286" s="25" t="str">
        <f t="shared" si="33"/>
        <v>Shock tms("ofd","Japan","USA") = 11.4;</v>
      </c>
    </row>
    <row r="287" spans="50:50">
      <c r="AX287" s="25" t="str">
        <f t="shared" si="33"/>
        <v>Shock tms("b_t","Japan","USA") = 15.0;</v>
      </c>
    </row>
    <row r="288" spans="50:50">
      <c r="AX288" s="25" t="str">
        <f t="shared" si="33"/>
        <v>Shock tms("tex","Japan","USA") = 15.0;</v>
      </c>
    </row>
    <row r="289" spans="50:50">
      <c r="AX289" s="25" t="str">
        <f t="shared" si="33"/>
        <v>Shock tms("wap","Japan","USA") = 15.0;</v>
      </c>
    </row>
    <row r="290" spans="50:50">
      <c r="AX290" s="25" t="str">
        <f t="shared" si="33"/>
        <v>Shock tms("lea","Japan","USA") = 15.0;</v>
      </c>
    </row>
    <row r="291" spans="50:50">
      <c r="AX291" s="25" t="str">
        <f t="shared" si="33"/>
        <v>Shock tms("lum","Japan","USA") = 12.3;</v>
      </c>
    </row>
    <row r="292" spans="50:50">
      <c r="AX292" s="25" t="str">
        <f t="shared" si="33"/>
        <v>Shock tms("ppp","Japan","USA") = 12.0;</v>
      </c>
    </row>
    <row r="293" spans="50:50">
      <c r="AX293" s="25" t="str">
        <f t="shared" si="33"/>
        <v>Shock tms("p_c","Japan","USA") = 0.0;</v>
      </c>
    </row>
    <row r="294" spans="50:50">
      <c r="AX294" s="25" t="str">
        <f t="shared" si="33"/>
        <v>Shock tms("chm","Japan","USA") = 11.2;</v>
      </c>
    </row>
    <row r="295" spans="50:50">
      <c r="AX295" s="25" t="str">
        <f t="shared" si="33"/>
        <v>Shock tms("bph","Japan","USA") = 0.2;</v>
      </c>
    </row>
    <row r="296" spans="50:50">
      <c r="AX296" s="25" t="str">
        <f t="shared" si="33"/>
        <v>Shock tms("rpp","Japan","USA") = 18.4;</v>
      </c>
    </row>
    <row r="297" spans="50:50">
      <c r="AX297" s="25" t="str">
        <f t="shared" si="33"/>
        <v>Shock tms("nmm","Japan","USA") = 15.3;</v>
      </c>
    </row>
    <row r="298" spans="50:50">
      <c r="AX298" s="25" t="str">
        <f t="shared" si="33"/>
        <v>Shock tms("i_s","Japan","USA") = 15.7;</v>
      </c>
    </row>
    <row r="299" spans="50:50">
      <c r="AX299" s="25" t="str">
        <f t="shared" si="33"/>
        <v>Shock tms("nfm","Japan","USA") = 15.0;</v>
      </c>
    </row>
    <row r="300" spans="50:50">
      <c r="AX300" s="25" t="str">
        <f t="shared" si="33"/>
        <v>Shock tms("fmp","Japan","USA") = 34.0;</v>
      </c>
    </row>
    <row r="301" spans="50:50">
      <c r="AX301" s="25" t="str">
        <f t="shared" si="33"/>
        <v>Shock tms("ele","Japan","USA") = 12.7;</v>
      </c>
    </row>
    <row r="302" spans="50:50">
      <c r="AX302" s="25" t="str">
        <f t="shared" si="33"/>
        <v>Shock tms("eeq","Japan","USA") = 20.3;</v>
      </c>
    </row>
    <row r="303" spans="50:50">
      <c r="AX303" s="25" t="str">
        <f t="shared" si="33"/>
        <v>Shock tms("ome","Japan","USA") = 19.4;</v>
      </c>
    </row>
    <row r="304" spans="50:50">
      <c r="AX304" s="25" t="str">
        <f t="shared" si="33"/>
        <v>Shock tms("mvh","Japan","USA") = 24.1;</v>
      </c>
    </row>
    <row r="305" spans="50:50">
      <c r="AX305" s="25" t="str">
        <f t="shared" si="33"/>
        <v>Shock tms("otn","Japan","USA") = 15.6;</v>
      </c>
    </row>
    <row r="306" spans="50:50">
      <c r="AX306" s="25" t="str">
        <f t="shared" si="33"/>
        <v>Shock tms("omf","Japan","USA") = 15.6;</v>
      </c>
    </row>
    <row r="307" spans="50:50">
      <c r="AX307" s="25" t="str">
        <f t="shared" si="33"/>
        <v>Shock tms("ely","Japan","USA") = 0.0;</v>
      </c>
    </row>
    <row r="308" spans="50:50">
      <c r="AX308" s="25" t="str">
        <f t="shared" si="33"/>
        <v>Shock tms("gdt","Japan","USA") = 0.0;</v>
      </c>
    </row>
    <row r="309" spans="50:50">
      <c r="AX309" s="25" t="str">
        <f t="shared" si="33"/>
        <v>Shock tms("wtr","Japan","USA") = 0.0;</v>
      </c>
    </row>
    <row r="310" spans="50:50">
      <c r="AX310" s="25" t="str">
        <f t="shared" si="33"/>
        <v>Shock tms("cns","Japan","USA") = 0.0;</v>
      </c>
    </row>
    <row r="312" spans="50:50">
      <c r="AX312" s="25" t="str">
        <f>BD12</f>
        <v>Shock tms("pdr","EU","USA") = 0.0;</v>
      </c>
    </row>
    <row r="313" spans="50:50">
      <c r="AX313" s="25" t="str">
        <f t="shared" ref="AX313:AX360" si="34">BD13</f>
        <v>Shock tms("wht","EU","USA") = 15.0;</v>
      </c>
    </row>
    <row r="314" spans="50:50">
      <c r="AX314" s="25" t="str">
        <f t="shared" si="34"/>
        <v>Shock tms("gro","EU","USA") = 15.0;</v>
      </c>
    </row>
    <row r="315" spans="50:50">
      <c r="AX315" s="25" t="str">
        <f t="shared" si="34"/>
        <v>Shock tms("v_f","EU","USA") = 12.2;</v>
      </c>
    </row>
    <row r="316" spans="50:50">
      <c r="AX316" s="25" t="str">
        <f t="shared" si="34"/>
        <v>Shock tms("osd","EU","USA") = 13.0;</v>
      </c>
    </row>
    <row r="317" spans="50:50">
      <c r="AX317" s="25" t="str">
        <f t="shared" si="34"/>
        <v>Shock tms("c_b","EU","USA") = 15.0;</v>
      </c>
    </row>
    <row r="318" spans="50:50">
      <c r="AX318" s="25" t="str">
        <f t="shared" si="34"/>
        <v>Shock tms("pfb","EU","USA") = 15.0;</v>
      </c>
    </row>
    <row r="319" spans="50:50">
      <c r="AX319" s="25" t="str">
        <f t="shared" si="34"/>
        <v>Shock tms("ocr","EU","USA") = 12.4;</v>
      </c>
    </row>
    <row r="320" spans="50:50">
      <c r="AX320" s="25" t="str">
        <f t="shared" si="34"/>
        <v>Shock tms("ctl","EU","USA") = 15.0;</v>
      </c>
    </row>
    <row r="321" spans="50:50">
      <c r="AX321" s="25" t="str">
        <f t="shared" si="34"/>
        <v>Shock tms("oap","EU","USA") = 15.0;</v>
      </c>
    </row>
    <row r="322" spans="50:50">
      <c r="AX322" s="25" t="str">
        <f t="shared" si="34"/>
        <v>Shock tms("rmk","EU","USA") = 0.0;</v>
      </c>
    </row>
    <row r="323" spans="50:50">
      <c r="AX323" s="25" t="str">
        <f t="shared" si="34"/>
        <v>Shock tms("wol","EU","USA") = 15.0;</v>
      </c>
    </row>
    <row r="324" spans="50:50">
      <c r="AX324" s="25" t="str">
        <f t="shared" si="34"/>
        <v>Shock tms("frs","EU","USA") = 12.9;</v>
      </c>
    </row>
    <row r="325" spans="50:50">
      <c r="AX325" s="25" t="str">
        <f t="shared" si="34"/>
        <v>Shock tms("fsh","EU","USA") = 15.0;</v>
      </c>
    </row>
    <row r="326" spans="50:50">
      <c r="AX326" s="25" t="str">
        <f t="shared" si="34"/>
        <v>Shock tms("coa","EU","USA") = 0.0;</v>
      </c>
    </row>
    <row r="327" spans="50:50">
      <c r="AX327" s="25" t="str">
        <f t="shared" si="34"/>
        <v>Shock tms("oil","EU","USA") = 0.0;</v>
      </c>
    </row>
    <row r="328" spans="50:50">
      <c r="AX328" s="25" t="str">
        <f t="shared" si="34"/>
        <v>Shock tms("gas","EU","USA") = 0.0;</v>
      </c>
    </row>
    <row r="329" spans="50:50">
      <c r="AX329" s="25" t="str">
        <f t="shared" si="34"/>
        <v>Shock tms("oxt","EU","USA") = 11.9;</v>
      </c>
    </row>
    <row r="330" spans="50:50">
      <c r="AX330" s="25" t="str">
        <f t="shared" si="34"/>
        <v>Shock tms("cmt","EU","USA") = 6.4;</v>
      </c>
    </row>
    <row r="331" spans="50:50">
      <c r="AX331" s="25" t="str">
        <f t="shared" si="34"/>
        <v>Shock tms("omt","EU","USA") = 15.0;</v>
      </c>
    </row>
    <row r="332" spans="50:50">
      <c r="AX332" s="25" t="str">
        <f t="shared" si="34"/>
        <v>Shock tms("vol","EU","USA") = 15.0;</v>
      </c>
    </row>
    <row r="333" spans="50:50">
      <c r="AX333" s="25" t="str">
        <f t="shared" si="34"/>
        <v>Shock tms("mil","EU","USA") = 15.0;</v>
      </c>
    </row>
    <row r="334" spans="50:50">
      <c r="AX334" s="25" t="str">
        <f t="shared" si="34"/>
        <v>Shock tms("pcr","EU","USA") = 15.0;</v>
      </c>
    </row>
    <row r="335" spans="50:50">
      <c r="AX335" s="25" t="str">
        <f t="shared" si="34"/>
        <v>Shock tms("sgr","EU","USA") = 15.0;</v>
      </c>
    </row>
    <row r="336" spans="50:50">
      <c r="AX336" s="25" t="str">
        <f t="shared" si="34"/>
        <v>Shock tms("ofd","EU","USA") = 11.8;</v>
      </c>
    </row>
    <row r="337" spans="50:50">
      <c r="AX337" s="25" t="str">
        <f t="shared" si="34"/>
        <v>Shock tms("b_t","EU","USA") = 15.0;</v>
      </c>
    </row>
    <row r="338" spans="50:50">
      <c r="AX338" s="25" t="str">
        <f t="shared" si="34"/>
        <v>Shock tms("tex","EU","USA") = 15.0;</v>
      </c>
    </row>
    <row r="339" spans="50:50">
      <c r="AX339" s="25" t="str">
        <f t="shared" si="34"/>
        <v>Shock tms("wap","EU","USA") = 15.0;</v>
      </c>
    </row>
    <row r="340" spans="50:50">
      <c r="AX340" s="25" t="str">
        <f t="shared" si="34"/>
        <v>Shock tms("lea","EU","USA") = 15.0;</v>
      </c>
    </row>
    <row r="341" spans="50:50">
      <c r="AX341" s="25" t="str">
        <f t="shared" si="34"/>
        <v>Shock tms("lum","EU","USA") = 12.9;</v>
      </c>
    </row>
    <row r="342" spans="50:50">
      <c r="AX342" s="25" t="str">
        <f t="shared" si="34"/>
        <v>Shock tms("ppp","EU","USA") = 12.6;</v>
      </c>
    </row>
    <row r="343" spans="50:50">
      <c r="AX343" s="25" t="str">
        <f t="shared" si="34"/>
        <v>Shock tms("p_c","EU","USA") = 1.4;</v>
      </c>
    </row>
    <row r="344" spans="50:50">
      <c r="AX344" s="25" t="str">
        <f t="shared" si="34"/>
        <v>Shock tms("chm","EU","USA") = 10.8;</v>
      </c>
    </row>
    <row r="345" spans="50:50">
      <c r="AX345" s="25" t="str">
        <f t="shared" si="34"/>
        <v>Shock tms("bph","EU","USA") = 0.0;</v>
      </c>
    </row>
    <row r="346" spans="50:50">
      <c r="AX346" s="25" t="str">
        <f t="shared" si="34"/>
        <v>Shock tms("rpp","EU","USA") = 17.0;</v>
      </c>
    </row>
    <row r="347" spans="50:50">
      <c r="AX347" s="25" t="str">
        <f t="shared" si="34"/>
        <v>Shock tms("nmm","EU","USA") = 14.9;</v>
      </c>
    </row>
    <row r="348" spans="50:50">
      <c r="AX348" s="25" t="str">
        <f t="shared" si="34"/>
        <v>Shock tms("i_s","EU","USA") = 17.1;</v>
      </c>
    </row>
    <row r="349" spans="50:50">
      <c r="AX349" s="25" t="str">
        <f t="shared" si="34"/>
        <v>Shock tms("nfm","EU","USA") = 22.1;</v>
      </c>
    </row>
    <row r="350" spans="50:50">
      <c r="AX350" s="25" t="str">
        <f t="shared" si="34"/>
        <v>Shock tms("fmp","EU","USA") = 33.5;</v>
      </c>
    </row>
    <row r="351" spans="50:50">
      <c r="AX351" s="25" t="str">
        <f t="shared" si="34"/>
        <v>Shock tms("ele","EU","USA") = 13.7;</v>
      </c>
    </row>
    <row r="352" spans="50:50">
      <c r="AX352" s="25" t="str">
        <f t="shared" si="34"/>
        <v>Shock tms("eeq","EU","USA") = 19.6;</v>
      </c>
    </row>
    <row r="353" spans="50:50">
      <c r="AX353" s="25" t="str">
        <f t="shared" si="34"/>
        <v>Shock tms("ome","EU","USA") = 18.7;</v>
      </c>
    </row>
    <row r="354" spans="50:50">
      <c r="AX354" s="25" t="str">
        <f t="shared" si="34"/>
        <v>Shock tms("mvh","EU","USA") = 24.0;</v>
      </c>
    </row>
    <row r="355" spans="50:50">
      <c r="AX355" s="25" t="str">
        <f t="shared" si="34"/>
        <v>Shock tms("otn","EU","USA") = 16.3;</v>
      </c>
    </row>
    <row r="356" spans="50:50">
      <c r="AX356" s="25" t="str">
        <f t="shared" si="34"/>
        <v>Shock tms("omf","EU","USA") = 15.8;</v>
      </c>
    </row>
    <row r="357" spans="50:50">
      <c r="AX357" s="25" t="str">
        <f t="shared" si="34"/>
        <v>Shock tms("ely","EU","USA") = 0.0;</v>
      </c>
    </row>
    <row r="358" spans="50:50">
      <c r="AX358" s="25" t="str">
        <f t="shared" si="34"/>
        <v>Shock tms("gdt","EU","USA") = 0.0;</v>
      </c>
    </row>
    <row r="359" spans="50:50">
      <c r="AX359" s="25" t="str">
        <f t="shared" si="34"/>
        <v>Shock tms("wtr","EU","USA") = 0.0;</v>
      </c>
    </row>
    <row r="360" spans="50:50">
      <c r="AX360" s="25" t="str">
        <f t="shared" si="34"/>
        <v>Shock tms("cns","EU","USA") = 0.0;</v>
      </c>
    </row>
    <row r="362" spans="50:50">
      <c r="AX362" s="25" t="str">
        <f>BE12</f>
        <v>Shock tms("pdr","UK","USA") = 0.0;</v>
      </c>
    </row>
    <row r="363" spans="50:50">
      <c r="AX363" s="25" t="str">
        <f t="shared" ref="AX363:AX410" si="35">BE13</f>
        <v>Shock tms("wht","UK","USA") = 10.0;</v>
      </c>
    </row>
    <row r="364" spans="50:50">
      <c r="AX364" s="25" t="str">
        <f t="shared" si="35"/>
        <v>Shock tms("gro","UK","USA") = 10.0;</v>
      </c>
    </row>
    <row r="365" spans="50:50">
      <c r="AX365" s="25" t="str">
        <f t="shared" si="35"/>
        <v>Shock tms("v_f","UK","USA") = 9.6;</v>
      </c>
    </row>
    <row r="366" spans="50:50">
      <c r="AX366" s="25" t="str">
        <f t="shared" si="35"/>
        <v>Shock tms("osd","UK","USA") = 0.1;</v>
      </c>
    </row>
    <row r="367" spans="50:50">
      <c r="AX367" s="25" t="str">
        <f t="shared" si="35"/>
        <v>Shock tms("c_b","UK","USA") = 0.0;</v>
      </c>
    </row>
    <row r="368" spans="50:50">
      <c r="AX368" s="25" t="str">
        <f t="shared" si="35"/>
        <v>Shock tms("pfb","UK","USA") = 10.0;</v>
      </c>
    </row>
    <row r="369" spans="50:50">
      <c r="AX369" s="25" t="str">
        <f t="shared" si="35"/>
        <v>Shock tms("ocr","UK","USA") = 8.4;</v>
      </c>
    </row>
    <row r="370" spans="50:50">
      <c r="AX370" s="25" t="str">
        <f t="shared" si="35"/>
        <v>Shock tms("ctl","UK","USA") = 10.0;</v>
      </c>
    </row>
    <row r="371" spans="50:50">
      <c r="AX371" s="25" t="str">
        <f t="shared" si="35"/>
        <v>Shock tms("oap","UK","USA") = 10.0;</v>
      </c>
    </row>
    <row r="372" spans="50:50">
      <c r="AX372" s="25" t="str">
        <f t="shared" si="35"/>
        <v>Shock tms("rmk","UK","USA") = 0.0;</v>
      </c>
    </row>
    <row r="373" spans="50:50">
      <c r="AX373" s="25" t="str">
        <f t="shared" si="35"/>
        <v>Shock tms("wol","UK","USA") = 10.0;</v>
      </c>
    </row>
    <row r="374" spans="50:50">
      <c r="AX374" s="25" t="str">
        <f t="shared" si="35"/>
        <v>Shock tms("frs","UK","USA") = 9.5;</v>
      </c>
    </row>
    <row r="375" spans="50:50">
      <c r="AX375" s="25" t="str">
        <f t="shared" si="35"/>
        <v>Shock tms("fsh","UK","USA") = 10.0;</v>
      </c>
    </row>
    <row r="376" spans="50:50">
      <c r="AX376" s="25" t="str">
        <f t="shared" si="35"/>
        <v>Shock tms("coa","UK","USA") = 0.0;</v>
      </c>
    </row>
    <row r="377" spans="50:50">
      <c r="AX377" s="25" t="str">
        <f t="shared" si="35"/>
        <v>Shock tms("oil","UK","USA") = 0.0;</v>
      </c>
    </row>
    <row r="378" spans="50:50">
      <c r="AX378" s="25" t="str">
        <f t="shared" si="35"/>
        <v>Shock tms("gas","UK","USA") = 0.0;</v>
      </c>
    </row>
    <row r="379" spans="50:50">
      <c r="AX379" s="25" t="str">
        <f t="shared" si="35"/>
        <v>Shock tms("oxt","UK","USA") = 9.2;</v>
      </c>
    </row>
    <row r="380" spans="50:50">
      <c r="AX380" s="25" t="str">
        <f t="shared" si="35"/>
        <v>Shock tms("cmt","UK","USA") = 1.7;</v>
      </c>
    </row>
    <row r="381" spans="50:50">
      <c r="AX381" s="25" t="str">
        <f t="shared" si="35"/>
        <v>Shock tms("omt","UK","USA") = 10.0;</v>
      </c>
    </row>
    <row r="382" spans="50:50">
      <c r="AX382" s="25" t="str">
        <f t="shared" si="35"/>
        <v>Shock tms("vol","UK","USA") = 9.8;</v>
      </c>
    </row>
    <row r="383" spans="50:50">
      <c r="AX383" s="25" t="str">
        <f t="shared" si="35"/>
        <v>Shock tms("mil","UK","USA") = 10.0;</v>
      </c>
    </row>
    <row r="384" spans="50:50">
      <c r="AX384" s="25" t="str">
        <f t="shared" si="35"/>
        <v>Shock tms("pcr","UK","USA") = 10.0;</v>
      </c>
    </row>
    <row r="385" spans="50:50">
      <c r="AX385" s="25" t="str">
        <f t="shared" si="35"/>
        <v>Shock tms("sgr","UK","USA") = 10.0;</v>
      </c>
    </row>
    <row r="386" spans="50:50">
      <c r="AX386" s="25" t="str">
        <f t="shared" si="35"/>
        <v>Shock tms("ofd","UK","USA") = 6.7;</v>
      </c>
    </row>
    <row r="387" spans="50:50">
      <c r="AX387" s="25" t="str">
        <f t="shared" si="35"/>
        <v>Shock tms("b_t","UK","USA") = 10.0;</v>
      </c>
    </row>
    <row r="388" spans="50:50">
      <c r="AX388" s="25" t="str">
        <f t="shared" si="35"/>
        <v>Shock tms("tex","UK","USA") = 10.0;</v>
      </c>
    </row>
    <row r="389" spans="50:50">
      <c r="AX389" s="25" t="str">
        <f t="shared" si="35"/>
        <v>Shock tms("wap","UK","USA") = 10.0;</v>
      </c>
    </row>
    <row r="390" spans="50:50">
      <c r="AX390" s="25" t="str">
        <f t="shared" si="35"/>
        <v>Shock tms("lea","UK","USA") = 10.0;</v>
      </c>
    </row>
    <row r="391" spans="50:50">
      <c r="AX391" s="25" t="str">
        <f t="shared" si="35"/>
        <v>Shock tms("lum","UK","USA") = 8.1;</v>
      </c>
    </row>
    <row r="392" spans="50:50">
      <c r="AX392" s="25" t="str">
        <f t="shared" si="35"/>
        <v>Shock tms("ppp","UK","USA") = 4.1;</v>
      </c>
    </row>
    <row r="393" spans="50:50">
      <c r="AX393" s="25" t="str">
        <f t="shared" si="35"/>
        <v>Shock tms("p_c","UK","USA") = 0.0;</v>
      </c>
    </row>
    <row r="394" spans="50:50">
      <c r="AX394" s="25" t="str">
        <f t="shared" si="35"/>
        <v>Shock tms("chm","UK","USA") = 6.1;</v>
      </c>
    </row>
    <row r="395" spans="50:50">
      <c r="AX395" s="25" t="str">
        <f t="shared" si="35"/>
        <v>Shock tms("bph","UK","USA") = 0.2;</v>
      </c>
    </row>
    <row r="396" spans="50:50">
      <c r="AX396" s="25" t="str">
        <f t="shared" si="35"/>
        <v>Shock tms("rpp","UK","USA") = 10.6;</v>
      </c>
    </row>
    <row r="397" spans="50:50">
      <c r="AX397" s="25" t="str">
        <f t="shared" si="35"/>
        <v>Shock tms("nmm","UK","USA") = 10.1;</v>
      </c>
    </row>
    <row r="398" spans="50:50">
      <c r="AX398" s="25" t="str">
        <f t="shared" si="35"/>
        <v>Shock tms("i_s","UK","USA") = 11.0;</v>
      </c>
    </row>
    <row r="399" spans="50:50">
      <c r="AX399" s="25" t="str">
        <f t="shared" si="35"/>
        <v>Shock tms("nfm","UK","USA") = 6.7;</v>
      </c>
    </row>
    <row r="400" spans="50:50">
      <c r="AX400" s="25" t="str">
        <f t="shared" si="35"/>
        <v>Shock tms("fmp","UK","USA") = 17.0;</v>
      </c>
    </row>
    <row r="401" spans="50:50">
      <c r="AX401" s="25" t="str">
        <f t="shared" si="35"/>
        <v>Shock tms("ele","UK","USA") = 10.9;</v>
      </c>
    </row>
    <row r="402" spans="50:50">
      <c r="AX402" s="25" t="str">
        <f t="shared" si="35"/>
        <v>Shock tms("eeq","UK","USA") = 16.0;</v>
      </c>
    </row>
    <row r="403" spans="50:50">
      <c r="AX403" s="25" t="str">
        <f t="shared" si="35"/>
        <v>Shock tms("ome","UK","USA") = 12.8;</v>
      </c>
    </row>
    <row r="404" spans="50:50">
      <c r="AX404" s="25" t="str">
        <f t="shared" si="35"/>
        <v>Shock tms("mvh","UK","USA") = 23.5;</v>
      </c>
    </row>
    <row r="405" spans="50:50">
      <c r="AX405" s="25" t="str">
        <f t="shared" si="35"/>
        <v>Shock tms("otn","UK","USA") = 11.9;</v>
      </c>
    </row>
    <row r="406" spans="50:50">
      <c r="AX406" s="25" t="str">
        <f t="shared" si="35"/>
        <v>Shock tms("omf","UK","USA") = 9.8;</v>
      </c>
    </row>
    <row r="407" spans="50:50">
      <c r="AX407" s="25" t="str">
        <f t="shared" si="35"/>
        <v>Shock tms("ely","UK","USA") = 0.0;</v>
      </c>
    </row>
    <row r="408" spans="50:50">
      <c r="AX408" s="25" t="str">
        <f t="shared" si="35"/>
        <v>Shock tms("gdt","UK","USA") = 0.0;</v>
      </c>
    </row>
    <row r="409" spans="50:50">
      <c r="AX409" s="25" t="str">
        <f t="shared" si="35"/>
        <v>Shock tms("wtr","UK","USA") = 0.0;</v>
      </c>
    </row>
    <row r="410" spans="50:50">
      <c r="AX410" s="25" t="str">
        <f t="shared" si="35"/>
        <v>Shock tms("cns","UK","USA") = 0.0;</v>
      </c>
    </row>
  </sheetData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8169-E2AD-4E94-B39E-C06C7D497E13}">
  <sheetPr codeName="Sheet31"/>
  <dimension ref="A1:IG337"/>
  <sheetViews>
    <sheetView showOutlineSymbols="0" zoomScale="70" zoomScaleNormal="70" zoomScaleSheetLayoutView="70" workbookViewId="0">
      <pane ySplit="16" topLeftCell="A239" activePane="bottomLeft" state="frozen"/>
      <selection pane="bottomLeft" activeCell="A16" sqref="A16:P250"/>
    </sheetView>
  </sheetViews>
  <sheetFormatPr defaultColWidth="12.42578125" defaultRowHeight="15.6"/>
  <cols>
    <col min="1" max="1" width="46.140625" style="66" customWidth="1"/>
    <col min="2" max="2" width="14.5703125" style="66" customWidth="1"/>
    <col min="3" max="12" width="8.5703125" style="66" customWidth="1"/>
    <col min="13" max="17" width="12.42578125" style="66"/>
    <col min="18" max="18" width="29.85546875" style="66" bestFit="1" customWidth="1"/>
    <col min="19" max="20" width="18" style="66" customWidth="1"/>
    <col min="21" max="16384" width="12.42578125" style="66"/>
  </cols>
  <sheetData>
    <row r="1" spans="1:16">
      <c r="A1" s="258" t="s">
        <v>1833</v>
      </c>
      <c r="B1" s="259"/>
      <c r="C1" s="259"/>
      <c r="D1" s="259"/>
      <c r="E1" s="259"/>
      <c r="F1" s="259"/>
      <c r="G1" s="259"/>
      <c r="H1" s="259"/>
      <c r="I1" s="260"/>
    </row>
    <row r="2" spans="1:16">
      <c r="A2" s="261" t="s">
        <v>2246</v>
      </c>
      <c r="B2" s="262"/>
      <c r="C2" s="262"/>
      <c r="D2" s="262"/>
      <c r="E2" s="262"/>
      <c r="F2" s="262"/>
      <c r="G2" s="262"/>
      <c r="H2" s="262"/>
      <c r="I2" s="263"/>
    </row>
    <row r="3" spans="1:16">
      <c r="A3" s="261" t="s">
        <v>2247</v>
      </c>
      <c r="B3" s="262"/>
      <c r="C3" s="262"/>
      <c r="D3" s="262"/>
      <c r="E3" s="262"/>
      <c r="F3" s="262"/>
      <c r="G3" s="262"/>
      <c r="H3" s="262"/>
      <c r="I3" s="263"/>
    </row>
    <row r="4" spans="1:16">
      <c r="A4" s="261" t="s">
        <v>2248</v>
      </c>
      <c r="B4" s="262"/>
      <c r="C4" s="262"/>
      <c r="D4" s="262"/>
      <c r="E4" s="262"/>
      <c r="F4" s="262"/>
      <c r="G4" s="262"/>
      <c r="H4" s="262"/>
      <c r="I4" s="263"/>
    </row>
    <row r="5" spans="1:16">
      <c r="A5" s="261" t="s">
        <v>2249</v>
      </c>
      <c r="B5" s="262"/>
      <c r="C5" s="262"/>
      <c r="D5" s="262"/>
      <c r="E5" s="262"/>
      <c r="F5" s="262"/>
      <c r="G5" s="262"/>
      <c r="H5" s="262"/>
      <c r="I5" s="263"/>
    </row>
    <row r="6" spans="1:16" ht="15.95" thickBot="1">
      <c r="A6" s="264" t="s">
        <v>2250</v>
      </c>
      <c r="B6" s="265"/>
      <c r="C6" s="265"/>
      <c r="D6" s="265"/>
      <c r="E6" s="265"/>
      <c r="F6" s="265"/>
      <c r="G6" s="265"/>
      <c r="H6" s="265"/>
      <c r="I6" s="266"/>
    </row>
    <row r="7" spans="1:16" ht="14.1" customHeight="1">
      <c r="A7" s="65"/>
    </row>
    <row r="8" spans="1:16" ht="24.95" customHeight="1">
      <c r="A8" s="67" t="s">
        <v>2251</v>
      </c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</row>
    <row r="9" spans="1:16" ht="15" customHeight="1">
      <c r="A9" s="68" t="s">
        <v>2252</v>
      </c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</row>
    <row r="10" spans="1:16" ht="15" customHeight="1">
      <c r="A10" s="68" t="s">
        <v>2253</v>
      </c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</row>
    <row r="11" spans="1:16" ht="9" customHeight="1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</row>
    <row r="12" spans="1:16" ht="14.1" customHeight="1">
      <c r="A12" s="460" t="s">
        <v>2254</v>
      </c>
      <c r="B12" s="425"/>
      <c r="C12" s="425"/>
      <c r="D12" s="83"/>
      <c r="E12" s="83"/>
      <c r="F12" s="83"/>
      <c r="G12" s="83"/>
      <c r="H12" s="83"/>
      <c r="I12" s="83"/>
      <c r="J12" s="83"/>
      <c r="K12" s="83"/>
      <c r="L12" s="83"/>
    </row>
    <row r="13" spans="1:16" ht="14.1" customHeight="1">
      <c r="A13" s="461"/>
      <c r="B13" s="426"/>
      <c r="C13" s="426"/>
      <c r="D13" s="83"/>
      <c r="E13" s="83"/>
      <c r="F13" s="83"/>
      <c r="G13" s="83"/>
      <c r="H13" s="83"/>
      <c r="I13" s="83"/>
      <c r="J13" s="83"/>
      <c r="K13" s="83"/>
      <c r="L13" s="83"/>
    </row>
    <row r="14" spans="1:16">
      <c r="A14" s="461"/>
      <c r="B14" s="463" t="s">
        <v>2255</v>
      </c>
      <c r="C14" s="465"/>
      <c r="D14" s="84"/>
      <c r="E14" s="84"/>
      <c r="F14" s="84"/>
      <c r="G14" s="84"/>
      <c r="H14" s="84"/>
      <c r="I14" s="84"/>
      <c r="J14" s="84"/>
      <c r="K14" s="84"/>
      <c r="L14" s="84"/>
    </row>
    <row r="15" spans="1:16" ht="15" customHeight="1" thickBot="1">
      <c r="A15" s="462"/>
      <c r="B15" s="464"/>
      <c r="C15" s="466"/>
      <c r="D15" s="84"/>
      <c r="E15" s="84"/>
      <c r="F15" s="84"/>
      <c r="G15" s="84"/>
      <c r="H15" s="84"/>
      <c r="I15" s="84"/>
      <c r="J15" s="84"/>
      <c r="K15" s="84"/>
      <c r="L15" s="84"/>
    </row>
    <row r="16" spans="1:16" ht="17.100000000000001" customHeight="1" thickBot="1">
      <c r="A16" s="69" t="s">
        <v>1838</v>
      </c>
      <c r="B16" s="70">
        <v>3359319.0569310002</v>
      </c>
      <c r="C16" s="70"/>
      <c r="D16" s="85"/>
      <c r="E16" s="85" t="s">
        <v>39</v>
      </c>
      <c r="F16" s="85" t="s">
        <v>37</v>
      </c>
      <c r="G16" s="85" t="s">
        <v>38</v>
      </c>
      <c r="H16" s="85" t="s">
        <v>34</v>
      </c>
      <c r="I16" s="85" t="s">
        <v>35</v>
      </c>
      <c r="J16" s="85" t="s">
        <v>32</v>
      </c>
      <c r="K16" s="85" t="s">
        <v>36</v>
      </c>
      <c r="L16" s="85" t="s">
        <v>33</v>
      </c>
      <c r="M16" s="66" t="s">
        <v>2256</v>
      </c>
      <c r="N16" s="66" t="s">
        <v>2257</v>
      </c>
      <c r="O16" s="66" t="s">
        <v>2258</v>
      </c>
      <c r="P16" s="66" t="s">
        <v>2259</v>
      </c>
    </row>
    <row r="17" spans="1:241" ht="48.75" customHeight="1" thickBot="1">
      <c r="A17" s="71" t="s">
        <v>2260</v>
      </c>
      <c r="B17" s="72">
        <v>23.867204999999998</v>
      </c>
      <c r="C17" s="73">
        <f>IF(SUMIFS($T$18:$T$177,$R$18:$R$177,A17)=0,10,SUMIFS($T$18:$T$177,$R$18:$R$177,A17))</f>
        <v>10</v>
      </c>
      <c r="D17" s="86">
        <f>RANK(B17,$B$17:$B$249)</f>
        <v>158</v>
      </c>
      <c r="E17" s="86">
        <v>0</v>
      </c>
      <c r="F17" s="86">
        <v>0</v>
      </c>
      <c r="G17" s="86">
        <v>0</v>
      </c>
      <c r="H17" s="86">
        <v>0</v>
      </c>
      <c r="I17" s="86">
        <v>0</v>
      </c>
      <c r="J17" s="86">
        <v>0</v>
      </c>
      <c r="K17" s="86">
        <v>0</v>
      </c>
      <c r="L17" s="86">
        <f>1-SUM(E17:K17)</f>
        <v>1</v>
      </c>
      <c r="M17" s="257">
        <v>0</v>
      </c>
      <c r="N17" s="257">
        <v>0</v>
      </c>
      <c r="O17" s="257">
        <f>IF(P17&gt;0,1,0)</f>
        <v>1</v>
      </c>
      <c r="P17" s="257">
        <v>15</v>
      </c>
      <c r="R17" s="427" t="s">
        <v>2254</v>
      </c>
      <c r="S17" s="427" t="s">
        <v>2261</v>
      </c>
      <c r="T17" s="427" t="s">
        <v>2262</v>
      </c>
      <c r="U17" s="226"/>
      <c r="BE17"/>
    </row>
    <row r="18" spans="1:241" ht="14.1" customHeight="1" thickBot="1">
      <c r="A18" s="74" t="s">
        <v>2263</v>
      </c>
      <c r="B18" s="75">
        <v>133.146714</v>
      </c>
      <c r="C18" s="73">
        <f t="shared" ref="C18:C81" si="0">IF(SUMIFS($T$18:$T$177,$R$18:$R$177,A18)=0,10,SUMIFS($T$18:$T$177,$R$18:$R$177,A18))</f>
        <v>10</v>
      </c>
      <c r="D18" s="86">
        <f t="shared" ref="D18:D81" si="1">RANK(B18,$B$17:$B$249)</f>
        <v>125</v>
      </c>
      <c r="E18" s="86">
        <v>0</v>
      </c>
      <c r="F18" s="86">
        <v>0</v>
      </c>
      <c r="G18" s="86">
        <v>0</v>
      </c>
      <c r="H18" s="86">
        <v>0</v>
      </c>
      <c r="I18" s="86">
        <v>0</v>
      </c>
      <c r="J18" s="86">
        <v>0</v>
      </c>
      <c r="K18" s="86">
        <v>0</v>
      </c>
      <c r="L18" s="86">
        <f t="shared" ref="L18:L81" si="2">1-SUM(E18:K18)</f>
        <v>1</v>
      </c>
      <c r="M18" s="257">
        <v>0</v>
      </c>
      <c r="N18" s="257">
        <v>0</v>
      </c>
      <c r="O18" s="257">
        <f t="shared" ref="O18:O81" si="3">IF(P18&gt;0,1,0)</f>
        <v>0</v>
      </c>
      <c r="P18" s="257">
        <v>0</v>
      </c>
      <c r="R18" s="256" t="s">
        <v>2264</v>
      </c>
      <c r="S18" s="256">
        <v>99</v>
      </c>
      <c r="T18" s="256">
        <v>50</v>
      </c>
      <c r="U18" s="226"/>
    </row>
    <row r="19" spans="1:241" ht="14.1" customHeight="1" thickBot="1">
      <c r="A19" s="74" t="s">
        <v>2265</v>
      </c>
      <c r="B19" s="75">
        <v>2540.8616270000002</v>
      </c>
      <c r="C19" s="73">
        <f t="shared" si="0"/>
        <v>30</v>
      </c>
      <c r="D19" s="86">
        <f t="shared" si="1"/>
        <v>66</v>
      </c>
      <c r="E19" s="86">
        <v>0</v>
      </c>
      <c r="F19" s="86">
        <v>0</v>
      </c>
      <c r="G19" s="86">
        <v>0</v>
      </c>
      <c r="H19" s="86">
        <v>0</v>
      </c>
      <c r="I19" s="86">
        <v>0</v>
      </c>
      <c r="J19" s="86">
        <v>0</v>
      </c>
      <c r="K19" s="86">
        <v>0</v>
      </c>
      <c r="L19" s="86">
        <f t="shared" si="2"/>
        <v>1</v>
      </c>
      <c r="M19" s="257">
        <v>0</v>
      </c>
      <c r="N19" s="257">
        <v>0</v>
      </c>
      <c r="O19" s="257">
        <f t="shared" si="3"/>
        <v>1</v>
      </c>
      <c r="P19" s="257">
        <v>30</v>
      </c>
      <c r="R19" s="256" t="s">
        <v>2266</v>
      </c>
      <c r="S19" s="256">
        <v>99</v>
      </c>
      <c r="T19" s="256">
        <v>50</v>
      </c>
      <c r="U19" s="226"/>
      <c r="BU19"/>
    </row>
    <row r="20" spans="1:241" ht="14.1" customHeight="1" thickBot="1">
      <c r="A20" s="74" t="s">
        <v>2267</v>
      </c>
      <c r="B20" s="75">
        <v>3.44753</v>
      </c>
      <c r="C20" s="73">
        <f t="shared" si="0"/>
        <v>10</v>
      </c>
      <c r="D20" s="86">
        <f t="shared" si="1"/>
        <v>196</v>
      </c>
      <c r="E20" s="86">
        <v>0</v>
      </c>
      <c r="F20" s="86">
        <v>0</v>
      </c>
      <c r="G20" s="86">
        <v>0</v>
      </c>
      <c r="H20" s="86">
        <v>0</v>
      </c>
      <c r="I20" s="86">
        <v>0</v>
      </c>
      <c r="J20" s="86">
        <v>0</v>
      </c>
      <c r="K20" s="86">
        <v>0</v>
      </c>
      <c r="L20" s="86">
        <f t="shared" si="2"/>
        <v>1</v>
      </c>
      <c r="M20" s="257">
        <v>0</v>
      </c>
      <c r="N20" s="257">
        <v>0</v>
      </c>
      <c r="O20" s="257">
        <f t="shared" si="3"/>
        <v>0</v>
      </c>
      <c r="P20" s="257">
        <v>0</v>
      </c>
      <c r="R20" s="256" t="s">
        <v>2268</v>
      </c>
      <c r="S20" s="256">
        <v>97</v>
      </c>
      <c r="T20" s="256">
        <v>49</v>
      </c>
      <c r="U20" s="226"/>
    </row>
    <row r="21" spans="1:241" ht="14.1" customHeight="1" thickBot="1">
      <c r="A21" s="74" t="s">
        <v>2269</v>
      </c>
      <c r="B21" s="75">
        <v>1912.507392</v>
      </c>
      <c r="C21" s="73">
        <f t="shared" si="0"/>
        <v>32</v>
      </c>
      <c r="D21" s="86">
        <f t="shared" si="1"/>
        <v>72</v>
      </c>
      <c r="E21" s="86">
        <v>0</v>
      </c>
      <c r="F21" s="86">
        <v>0</v>
      </c>
      <c r="G21" s="86">
        <v>0</v>
      </c>
      <c r="H21" s="86">
        <v>0</v>
      </c>
      <c r="I21" s="86">
        <v>0</v>
      </c>
      <c r="J21" s="86">
        <v>0</v>
      </c>
      <c r="K21" s="86">
        <v>0</v>
      </c>
      <c r="L21" s="86">
        <f t="shared" si="2"/>
        <v>1</v>
      </c>
      <c r="M21" s="257">
        <v>0</v>
      </c>
      <c r="N21" s="257">
        <v>0</v>
      </c>
      <c r="O21" s="257">
        <f t="shared" si="3"/>
        <v>1</v>
      </c>
      <c r="P21" s="257">
        <v>15</v>
      </c>
      <c r="R21" s="256" t="s">
        <v>2270</v>
      </c>
      <c r="S21" s="256">
        <v>95</v>
      </c>
      <c r="T21" s="256">
        <v>48</v>
      </c>
      <c r="U21" s="226"/>
    </row>
    <row r="22" spans="1:241" ht="14.1" customHeight="1" thickBot="1">
      <c r="A22" s="74" t="s">
        <v>2271</v>
      </c>
      <c r="B22" s="75">
        <v>1.2973049999999999</v>
      </c>
      <c r="C22" s="73">
        <f t="shared" si="0"/>
        <v>10</v>
      </c>
      <c r="D22" s="86">
        <f t="shared" si="1"/>
        <v>213</v>
      </c>
      <c r="E22" s="86">
        <v>0</v>
      </c>
      <c r="F22" s="86">
        <v>0</v>
      </c>
      <c r="G22" s="86">
        <v>0</v>
      </c>
      <c r="H22" s="86">
        <v>0</v>
      </c>
      <c r="I22" s="86">
        <v>0</v>
      </c>
      <c r="J22" s="86">
        <v>0</v>
      </c>
      <c r="K22" s="86">
        <v>0</v>
      </c>
      <c r="L22" s="86">
        <f t="shared" si="2"/>
        <v>1</v>
      </c>
      <c r="M22" s="257">
        <v>0</v>
      </c>
      <c r="N22" s="257">
        <v>0</v>
      </c>
      <c r="O22" s="257">
        <f t="shared" si="3"/>
        <v>0</v>
      </c>
      <c r="P22" s="257">
        <v>0</v>
      </c>
      <c r="R22" s="256" t="s">
        <v>2272</v>
      </c>
      <c r="S22" s="256">
        <v>93</v>
      </c>
      <c r="T22" s="256">
        <v>47</v>
      </c>
      <c r="U22" s="22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6"/>
      <c r="BI22" s="76"/>
      <c r="BJ22" s="76"/>
      <c r="BK22" s="76"/>
      <c r="BL22" s="76"/>
      <c r="BM22" s="76"/>
      <c r="BN22" s="76"/>
      <c r="BO22" s="76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  <c r="CB22" s="76"/>
      <c r="CC22" s="76"/>
      <c r="CD22" s="76"/>
      <c r="CE22" s="76"/>
      <c r="CF22" s="76"/>
      <c r="CG22" s="76"/>
      <c r="CH22" s="76"/>
      <c r="CI22" s="76"/>
      <c r="CJ22" s="76"/>
      <c r="CK22" s="76"/>
      <c r="CL22" s="76"/>
      <c r="CM22" s="76"/>
      <c r="CN22" s="76"/>
      <c r="CO22" s="76"/>
      <c r="CP22" s="76"/>
      <c r="CQ22" s="76"/>
      <c r="CR22" s="76"/>
      <c r="CS22" s="76"/>
      <c r="CT22" s="76"/>
      <c r="CU22" s="76"/>
      <c r="CV22" s="76"/>
      <c r="CW22" s="76"/>
      <c r="CX22" s="76"/>
      <c r="CY22" s="76"/>
      <c r="CZ22" s="76"/>
      <c r="DA22" s="76"/>
      <c r="DB22" s="76"/>
      <c r="DC22" s="76"/>
      <c r="DD22" s="76"/>
      <c r="DE22" s="76"/>
      <c r="DF22" s="76"/>
      <c r="DG22" s="76"/>
      <c r="DH22" s="76"/>
      <c r="DI22" s="76"/>
      <c r="DJ22" s="76"/>
      <c r="DK22" s="76"/>
      <c r="DL22" s="76"/>
      <c r="DM22" s="76"/>
      <c r="DN22" s="76"/>
      <c r="DO22" s="76"/>
      <c r="DP22" s="76"/>
      <c r="DQ22" s="76"/>
      <c r="DR22" s="76"/>
      <c r="DS22" s="76"/>
      <c r="DT22" s="76"/>
      <c r="DU22" s="76"/>
      <c r="DV22" s="76"/>
      <c r="DW22" s="76"/>
      <c r="DX22" s="76"/>
      <c r="DY22" s="76"/>
      <c r="DZ22" s="76"/>
      <c r="EA22" s="76"/>
      <c r="EB22" s="76"/>
      <c r="EC22" s="76"/>
      <c r="ED22" s="76"/>
      <c r="EE22" s="76"/>
      <c r="EF22" s="76"/>
      <c r="EG22" s="76"/>
      <c r="EH22" s="76"/>
      <c r="EI22" s="76"/>
      <c r="EJ22" s="76"/>
      <c r="EK22" s="76"/>
      <c r="EL22" s="76"/>
      <c r="EM22" s="76"/>
      <c r="EN22" s="76"/>
      <c r="EO22" s="76"/>
      <c r="EP22" s="76"/>
      <c r="EQ22" s="76"/>
      <c r="ER22" s="76"/>
      <c r="ES22" s="76"/>
      <c r="ET22" s="76"/>
      <c r="EU22" s="76"/>
      <c r="EV22" s="76"/>
      <c r="EW22" s="76"/>
      <c r="EX22" s="76"/>
      <c r="EY22" s="76"/>
      <c r="EZ22" s="76"/>
      <c r="FA22" s="76"/>
      <c r="FB22" s="76"/>
      <c r="FC22" s="76"/>
      <c r="FD22" s="76"/>
      <c r="FE22" s="76"/>
      <c r="FF22" s="76"/>
      <c r="FG22" s="76"/>
      <c r="FH22" s="76"/>
      <c r="FI22" s="76"/>
      <c r="FJ22" s="76"/>
      <c r="FK22" s="76"/>
      <c r="FL22" s="76"/>
      <c r="FM22" s="76"/>
      <c r="FN22" s="76"/>
      <c r="FO22" s="76"/>
      <c r="FP22" s="76"/>
      <c r="FQ22" s="76"/>
      <c r="FR22" s="76"/>
      <c r="FS22" s="76"/>
      <c r="FT22" s="76"/>
      <c r="FU22" s="76"/>
      <c r="FV22" s="76"/>
      <c r="FW22" s="76"/>
      <c r="FX22" s="76"/>
      <c r="FY22" s="76"/>
      <c r="FZ22" s="76"/>
      <c r="GA22" s="76"/>
      <c r="GB22" s="76"/>
      <c r="GC22" s="76"/>
      <c r="GD22" s="76"/>
      <c r="GE22" s="76"/>
      <c r="GF22" s="76"/>
      <c r="GG22" s="76"/>
      <c r="GH22" s="76"/>
      <c r="GI22" s="76"/>
      <c r="GJ22" s="76"/>
      <c r="GK22" s="76"/>
      <c r="GL22" s="76"/>
      <c r="GM22" s="76"/>
      <c r="GN22" s="76"/>
      <c r="GO22" s="76"/>
      <c r="GP22" s="76"/>
      <c r="GQ22" s="76"/>
      <c r="GR22" s="76"/>
      <c r="GS22" s="76"/>
      <c r="GT22" s="76"/>
      <c r="GU22" s="76"/>
      <c r="GV22" s="76"/>
      <c r="GW22" s="76"/>
      <c r="GX22" s="76"/>
      <c r="GY22" s="76"/>
      <c r="GZ22" s="76"/>
      <c r="HA22" s="76"/>
      <c r="HB22" s="76"/>
      <c r="HC22" s="76"/>
      <c r="HD22" s="76"/>
      <c r="HE22" s="76"/>
      <c r="HF22" s="76"/>
      <c r="HG22" s="76"/>
      <c r="HH22" s="76"/>
      <c r="HI22" s="76"/>
      <c r="HJ22" s="76"/>
      <c r="HK22" s="76"/>
      <c r="HL22" s="76"/>
      <c r="HM22" s="76"/>
      <c r="HN22" s="76"/>
      <c r="HO22" s="76"/>
      <c r="HP22" s="76"/>
      <c r="HQ22" s="76"/>
      <c r="HR22" s="76"/>
      <c r="HS22" s="76"/>
      <c r="HT22" s="76"/>
      <c r="HU22" s="76"/>
      <c r="HV22" s="76"/>
      <c r="HW22" s="76"/>
      <c r="HX22" s="76"/>
      <c r="HY22" s="76"/>
      <c r="HZ22" s="76"/>
      <c r="IA22" s="76"/>
      <c r="IB22" s="76"/>
      <c r="IC22" s="76"/>
      <c r="ID22" s="76"/>
      <c r="IE22" s="76"/>
      <c r="IF22" s="76"/>
      <c r="IG22" s="76"/>
    </row>
    <row r="23" spans="1:241" ht="14.1" customHeight="1" thickBot="1">
      <c r="A23" s="74" t="s">
        <v>2273</v>
      </c>
      <c r="B23" s="75">
        <v>24.035914999999999</v>
      </c>
      <c r="C23" s="73">
        <f t="shared" si="0"/>
        <v>10</v>
      </c>
      <c r="D23" s="86">
        <f t="shared" si="1"/>
        <v>157</v>
      </c>
      <c r="E23" s="86">
        <v>0</v>
      </c>
      <c r="F23" s="86">
        <v>0</v>
      </c>
      <c r="G23" s="86">
        <v>0</v>
      </c>
      <c r="H23" s="86">
        <v>0</v>
      </c>
      <c r="I23" s="86">
        <v>0</v>
      </c>
      <c r="J23" s="86">
        <v>0</v>
      </c>
      <c r="K23" s="86">
        <v>0</v>
      </c>
      <c r="L23" s="86">
        <f t="shared" si="2"/>
        <v>1</v>
      </c>
      <c r="M23" s="257">
        <v>0</v>
      </c>
      <c r="N23" s="257">
        <v>0</v>
      </c>
      <c r="O23" s="257">
        <f t="shared" si="3"/>
        <v>0</v>
      </c>
      <c r="P23" s="257">
        <v>0</v>
      </c>
      <c r="R23" s="256" t="s">
        <v>2274</v>
      </c>
      <c r="S23" s="256">
        <v>90</v>
      </c>
      <c r="T23" s="256">
        <v>46</v>
      </c>
      <c r="U23" s="226"/>
    </row>
    <row r="24" spans="1:241" ht="14.1" customHeight="1" thickBot="1">
      <c r="A24" s="74" t="s">
        <v>2275</v>
      </c>
      <c r="B24" s="75">
        <v>7410.751389</v>
      </c>
      <c r="C24" s="73">
        <f t="shared" si="0"/>
        <v>10</v>
      </c>
      <c r="D24" s="86">
        <f t="shared" si="1"/>
        <v>47</v>
      </c>
      <c r="E24" s="86">
        <v>0</v>
      </c>
      <c r="F24" s="86">
        <v>0</v>
      </c>
      <c r="G24" s="86">
        <v>0</v>
      </c>
      <c r="H24" s="86">
        <v>0</v>
      </c>
      <c r="I24" s="86">
        <v>0</v>
      </c>
      <c r="J24" s="86">
        <v>0</v>
      </c>
      <c r="K24" s="86">
        <v>0</v>
      </c>
      <c r="L24" s="86">
        <f t="shared" si="2"/>
        <v>1</v>
      </c>
      <c r="M24" s="257">
        <v>0</v>
      </c>
      <c r="N24" s="257">
        <v>0</v>
      </c>
      <c r="O24" s="257">
        <f t="shared" si="3"/>
        <v>0</v>
      </c>
      <c r="P24" s="257">
        <v>0</v>
      </c>
      <c r="R24" s="256" t="s">
        <v>2276</v>
      </c>
      <c r="S24" s="256">
        <v>88</v>
      </c>
      <c r="T24" s="256">
        <v>44</v>
      </c>
      <c r="U24" s="226"/>
    </row>
    <row r="25" spans="1:241" ht="14.1" customHeight="1" thickBot="1">
      <c r="A25" s="74" t="s">
        <v>2277</v>
      </c>
      <c r="B25" s="75">
        <v>129.04093599999999</v>
      </c>
      <c r="C25" s="73">
        <f t="shared" si="0"/>
        <v>10</v>
      </c>
      <c r="D25" s="86">
        <f t="shared" si="1"/>
        <v>126</v>
      </c>
      <c r="E25" s="86">
        <v>0</v>
      </c>
      <c r="F25" s="86">
        <v>0</v>
      </c>
      <c r="G25" s="86">
        <v>0</v>
      </c>
      <c r="H25" s="86">
        <v>0</v>
      </c>
      <c r="I25" s="86">
        <v>0</v>
      </c>
      <c r="J25" s="86">
        <v>0</v>
      </c>
      <c r="K25" s="86">
        <v>0</v>
      </c>
      <c r="L25" s="86">
        <f t="shared" si="2"/>
        <v>1</v>
      </c>
      <c r="M25" s="257">
        <v>0</v>
      </c>
      <c r="N25" s="257">
        <v>0</v>
      </c>
      <c r="O25" s="257">
        <f t="shared" si="3"/>
        <v>0</v>
      </c>
      <c r="P25" s="257">
        <v>0</v>
      </c>
      <c r="R25" s="256" t="s">
        <v>2278</v>
      </c>
      <c r="S25" s="256">
        <v>88</v>
      </c>
      <c r="T25" s="256">
        <v>44</v>
      </c>
      <c r="U25" s="226"/>
    </row>
    <row r="26" spans="1:241" ht="14.1" customHeight="1" thickBot="1">
      <c r="A26" s="74" t="s">
        <v>2279</v>
      </c>
      <c r="B26" s="75">
        <v>10.942625</v>
      </c>
      <c r="C26" s="73">
        <f t="shared" si="0"/>
        <v>10</v>
      </c>
      <c r="D26" s="86">
        <f t="shared" si="1"/>
        <v>173</v>
      </c>
      <c r="E26" s="86">
        <v>0</v>
      </c>
      <c r="F26" s="86">
        <v>0</v>
      </c>
      <c r="G26" s="86">
        <v>0</v>
      </c>
      <c r="H26" s="86">
        <v>0</v>
      </c>
      <c r="I26" s="86">
        <v>0</v>
      </c>
      <c r="J26" s="86">
        <v>0</v>
      </c>
      <c r="K26" s="86">
        <v>0</v>
      </c>
      <c r="L26" s="86">
        <f t="shared" si="2"/>
        <v>1</v>
      </c>
      <c r="M26" s="257">
        <v>0</v>
      </c>
      <c r="N26" s="257">
        <v>0</v>
      </c>
      <c r="O26" s="257">
        <f t="shared" si="3"/>
        <v>0</v>
      </c>
      <c r="P26" s="257">
        <v>0</v>
      </c>
      <c r="R26" s="256" t="s">
        <v>2280</v>
      </c>
      <c r="S26" s="256">
        <v>82</v>
      </c>
      <c r="T26" s="256">
        <v>41</v>
      </c>
      <c r="U26" s="226"/>
    </row>
    <row r="27" spans="1:241" ht="14.1" customHeight="1" thickBot="1">
      <c r="A27" s="74" t="s">
        <v>2281</v>
      </c>
      <c r="B27" s="75">
        <v>17061.338145999998</v>
      </c>
      <c r="C27" s="73">
        <f t="shared" si="0"/>
        <v>10</v>
      </c>
      <c r="D27" s="86">
        <f t="shared" si="1"/>
        <v>29</v>
      </c>
      <c r="E27" s="86">
        <v>0</v>
      </c>
      <c r="F27" s="86">
        <v>0</v>
      </c>
      <c r="G27" s="86">
        <v>0</v>
      </c>
      <c r="H27" s="86">
        <v>0</v>
      </c>
      <c r="I27" s="86">
        <v>0</v>
      </c>
      <c r="J27" s="86">
        <v>0</v>
      </c>
      <c r="K27" s="86">
        <v>1</v>
      </c>
      <c r="L27" s="86">
        <f t="shared" si="2"/>
        <v>0</v>
      </c>
      <c r="M27" s="257">
        <v>0</v>
      </c>
      <c r="N27" s="257">
        <v>0</v>
      </c>
      <c r="O27" s="257">
        <f t="shared" si="3"/>
        <v>0</v>
      </c>
      <c r="P27" s="257">
        <v>0</v>
      </c>
      <c r="R27" s="256" t="s">
        <v>2282</v>
      </c>
      <c r="S27" s="256">
        <v>80</v>
      </c>
      <c r="T27" s="256">
        <v>40</v>
      </c>
      <c r="U27" s="226"/>
      <c r="AC27"/>
    </row>
    <row r="28" spans="1:241" ht="14.1" customHeight="1" thickBot="1">
      <c r="A28" s="74" t="s">
        <v>2283</v>
      </c>
      <c r="B28" s="75">
        <v>17964.936390999999</v>
      </c>
      <c r="C28" s="73">
        <v>20</v>
      </c>
      <c r="D28" s="86">
        <f t="shared" si="1"/>
        <v>26</v>
      </c>
      <c r="E28" s="86">
        <v>0</v>
      </c>
      <c r="F28" s="86">
        <v>0</v>
      </c>
      <c r="G28" s="86">
        <v>1</v>
      </c>
      <c r="H28" s="86">
        <v>0</v>
      </c>
      <c r="I28" s="86">
        <v>0</v>
      </c>
      <c r="J28" s="86">
        <v>0</v>
      </c>
      <c r="K28" s="86">
        <v>0</v>
      </c>
      <c r="L28" s="86">
        <f t="shared" si="2"/>
        <v>0</v>
      </c>
      <c r="M28" s="257">
        <v>0</v>
      </c>
      <c r="N28" s="257">
        <v>0</v>
      </c>
      <c r="O28" s="257">
        <f t="shared" si="3"/>
        <v>0</v>
      </c>
      <c r="P28" s="257">
        <v>0</v>
      </c>
      <c r="R28" s="256" t="s">
        <v>2284</v>
      </c>
      <c r="S28" s="256">
        <v>78</v>
      </c>
      <c r="T28" s="256">
        <v>39</v>
      </c>
      <c r="U28" s="226"/>
    </row>
    <row r="29" spans="1:241" ht="13.7" customHeight="1" thickBot="1">
      <c r="A29" s="74" t="s">
        <v>2285</v>
      </c>
      <c r="B29" s="75">
        <v>162.75954400000001</v>
      </c>
      <c r="C29" s="73">
        <f t="shared" si="0"/>
        <v>10</v>
      </c>
      <c r="D29" s="86">
        <f t="shared" si="1"/>
        <v>121</v>
      </c>
      <c r="E29" s="86">
        <v>0</v>
      </c>
      <c r="F29" s="86">
        <v>0</v>
      </c>
      <c r="G29" s="86">
        <v>0</v>
      </c>
      <c r="H29" s="86">
        <v>0</v>
      </c>
      <c r="I29" s="86">
        <v>0</v>
      </c>
      <c r="J29" s="86">
        <v>0</v>
      </c>
      <c r="K29" s="86">
        <v>0</v>
      </c>
      <c r="L29" s="86">
        <f t="shared" si="2"/>
        <v>1</v>
      </c>
      <c r="M29" s="257">
        <v>0</v>
      </c>
      <c r="N29" s="257">
        <v>0</v>
      </c>
      <c r="O29" s="257">
        <f t="shared" si="3"/>
        <v>0</v>
      </c>
      <c r="P29" s="257">
        <v>0</v>
      </c>
      <c r="R29" s="256" t="s">
        <v>2286</v>
      </c>
      <c r="S29" s="256">
        <v>76</v>
      </c>
      <c r="T29" s="256">
        <v>38</v>
      </c>
      <c r="U29" s="226"/>
      <c r="AP29"/>
    </row>
    <row r="30" spans="1:241" ht="24" customHeight="1" thickBot="1">
      <c r="A30" s="74" t="s">
        <v>2287</v>
      </c>
      <c r="B30" s="75">
        <v>1839.129647</v>
      </c>
      <c r="C30" s="73">
        <f t="shared" si="0"/>
        <v>10</v>
      </c>
      <c r="D30" s="86">
        <f t="shared" si="1"/>
        <v>74</v>
      </c>
      <c r="E30" s="86">
        <v>0</v>
      </c>
      <c r="F30" s="86">
        <v>0</v>
      </c>
      <c r="G30" s="86">
        <v>0</v>
      </c>
      <c r="H30" s="86">
        <v>0</v>
      </c>
      <c r="I30" s="86">
        <v>0</v>
      </c>
      <c r="J30" s="86">
        <v>0</v>
      </c>
      <c r="K30" s="86">
        <v>0</v>
      </c>
      <c r="L30" s="86">
        <f t="shared" si="2"/>
        <v>1</v>
      </c>
      <c r="M30" s="257">
        <v>0</v>
      </c>
      <c r="N30" s="257">
        <v>0</v>
      </c>
      <c r="O30" s="257">
        <f t="shared" si="3"/>
        <v>0</v>
      </c>
      <c r="P30" s="257">
        <v>0</v>
      </c>
      <c r="R30" s="256" t="s">
        <v>2288</v>
      </c>
      <c r="S30" s="256">
        <v>74</v>
      </c>
      <c r="T30" s="256">
        <v>37</v>
      </c>
      <c r="U30" s="226"/>
      <c r="CG30"/>
    </row>
    <row r="31" spans="1:241" ht="14.25" customHeight="1" thickBot="1">
      <c r="A31" s="74" t="s">
        <v>2289</v>
      </c>
      <c r="B31" s="75">
        <v>1272.281645</v>
      </c>
      <c r="C31" s="73">
        <f t="shared" si="0"/>
        <v>10</v>
      </c>
      <c r="D31" s="86">
        <f t="shared" si="1"/>
        <v>80</v>
      </c>
      <c r="E31" s="86">
        <v>0</v>
      </c>
      <c r="F31" s="86">
        <v>0</v>
      </c>
      <c r="G31" s="86">
        <v>0</v>
      </c>
      <c r="H31" s="86">
        <v>0</v>
      </c>
      <c r="I31" s="86">
        <v>0</v>
      </c>
      <c r="J31" s="86">
        <v>0</v>
      </c>
      <c r="K31" s="86">
        <v>1</v>
      </c>
      <c r="L31" s="86">
        <f t="shared" si="2"/>
        <v>0</v>
      </c>
      <c r="M31" s="257">
        <v>0</v>
      </c>
      <c r="N31" s="257">
        <v>0</v>
      </c>
      <c r="O31" s="257">
        <f t="shared" si="3"/>
        <v>0</v>
      </c>
      <c r="P31" s="257">
        <v>0</v>
      </c>
      <c r="R31" s="256" t="s">
        <v>2290</v>
      </c>
      <c r="S31" s="256">
        <v>74</v>
      </c>
      <c r="T31" s="256">
        <v>37</v>
      </c>
      <c r="U31" s="226"/>
    </row>
    <row r="32" spans="1:241" ht="14.1" customHeight="1" thickBot="1">
      <c r="A32" s="74" t="s">
        <v>2288</v>
      </c>
      <c r="B32" s="75">
        <v>8780.9197669999994</v>
      </c>
      <c r="C32" s="73">
        <f t="shared" si="0"/>
        <v>37</v>
      </c>
      <c r="D32" s="86">
        <f t="shared" si="1"/>
        <v>40</v>
      </c>
      <c r="E32" s="86">
        <v>0</v>
      </c>
      <c r="F32" s="86">
        <v>0</v>
      </c>
      <c r="G32" s="86">
        <v>0</v>
      </c>
      <c r="H32" s="86">
        <v>0</v>
      </c>
      <c r="I32" s="86">
        <v>0</v>
      </c>
      <c r="J32" s="86">
        <v>0</v>
      </c>
      <c r="K32" s="86">
        <v>0</v>
      </c>
      <c r="L32" s="86">
        <f t="shared" si="2"/>
        <v>1</v>
      </c>
      <c r="M32" s="257">
        <v>0</v>
      </c>
      <c r="N32" s="257">
        <v>0</v>
      </c>
      <c r="O32" s="257">
        <f t="shared" si="3"/>
        <v>1</v>
      </c>
      <c r="P32" s="257">
        <v>20</v>
      </c>
      <c r="R32" s="256" t="s">
        <v>2291</v>
      </c>
      <c r="S32" s="256">
        <v>73</v>
      </c>
      <c r="T32" s="256">
        <v>37</v>
      </c>
      <c r="U32" s="226"/>
    </row>
    <row r="33" spans="1:21" ht="14.1" customHeight="1" thickBot="1">
      <c r="A33" s="74" t="s">
        <v>2292</v>
      </c>
      <c r="B33" s="75">
        <v>50.591641000000003</v>
      </c>
      <c r="C33" s="73">
        <f t="shared" si="0"/>
        <v>10</v>
      </c>
      <c r="D33" s="86">
        <f t="shared" si="1"/>
        <v>141</v>
      </c>
      <c r="E33" s="86">
        <v>0</v>
      </c>
      <c r="F33" s="86">
        <v>0</v>
      </c>
      <c r="G33" s="86">
        <v>0</v>
      </c>
      <c r="H33" s="86">
        <v>0</v>
      </c>
      <c r="I33" s="86">
        <v>0</v>
      </c>
      <c r="J33" s="86">
        <v>0</v>
      </c>
      <c r="K33" s="86">
        <v>0</v>
      </c>
      <c r="L33" s="86">
        <f t="shared" si="2"/>
        <v>1</v>
      </c>
      <c r="M33" s="257">
        <v>0</v>
      </c>
      <c r="N33" s="257">
        <v>0</v>
      </c>
      <c r="O33" s="257">
        <f t="shared" si="3"/>
        <v>0</v>
      </c>
      <c r="P33" s="257">
        <v>0</v>
      </c>
      <c r="R33" s="256" t="s">
        <v>2293</v>
      </c>
      <c r="S33" s="256">
        <v>73</v>
      </c>
      <c r="T33" s="256">
        <v>37</v>
      </c>
      <c r="U33" s="226"/>
    </row>
    <row r="34" spans="1:21" ht="14.1" customHeight="1" thickBot="1">
      <c r="A34" s="74" t="s">
        <v>2294</v>
      </c>
      <c r="B34" s="75">
        <v>21.212821999999999</v>
      </c>
      <c r="C34" s="73">
        <f t="shared" si="0"/>
        <v>10</v>
      </c>
      <c r="D34" s="86">
        <f t="shared" si="1"/>
        <v>163</v>
      </c>
      <c r="E34" s="86">
        <v>0</v>
      </c>
      <c r="F34" s="86">
        <v>0</v>
      </c>
      <c r="G34" s="86">
        <v>0</v>
      </c>
      <c r="H34" s="86">
        <v>0</v>
      </c>
      <c r="I34" s="86">
        <v>0</v>
      </c>
      <c r="J34" s="86">
        <v>0</v>
      </c>
      <c r="K34" s="86">
        <v>0</v>
      </c>
      <c r="L34" s="86">
        <f t="shared" si="2"/>
        <v>1</v>
      </c>
      <c r="M34" s="257">
        <v>0</v>
      </c>
      <c r="N34" s="257">
        <v>0</v>
      </c>
      <c r="O34" s="257">
        <f t="shared" si="3"/>
        <v>0</v>
      </c>
      <c r="P34" s="257">
        <v>0</v>
      </c>
      <c r="R34" s="256" t="s">
        <v>2295</v>
      </c>
      <c r="S34" s="256">
        <v>74</v>
      </c>
      <c r="T34" s="256">
        <v>37</v>
      </c>
      <c r="U34" s="226"/>
    </row>
    <row r="35" spans="1:21" ht="14.1" customHeight="1" thickBot="1">
      <c r="A35" s="74" t="s">
        <v>2296</v>
      </c>
      <c r="B35" s="75">
        <v>28274.75073</v>
      </c>
      <c r="C35" s="73">
        <v>20</v>
      </c>
      <c r="D35" s="86">
        <f t="shared" si="1"/>
        <v>21</v>
      </c>
      <c r="E35" s="86">
        <v>0</v>
      </c>
      <c r="F35" s="86">
        <v>0</v>
      </c>
      <c r="G35" s="86">
        <v>1</v>
      </c>
      <c r="H35" s="86">
        <v>0</v>
      </c>
      <c r="I35" s="86">
        <v>0</v>
      </c>
      <c r="J35" s="86">
        <v>0</v>
      </c>
      <c r="K35" s="86">
        <v>0</v>
      </c>
      <c r="L35" s="86">
        <f t="shared" si="2"/>
        <v>0</v>
      </c>
      <c r="M35" s="257">
        <v>0</v>
      </c>
      <c r="N35" s="257">
        <v>0</v>
      </c>
      <c r="O35" s="257">
        <f t="shared" si="3"/>
        <v>0</v>
      </c>
      <c r="P35" s="257">
        <v>0</v>
      </c>
      <c r="R35" s="256" t="s">
        <v>2297</v>
      </c>
      <c r="S35" s="256">
        <v>72</v>
      </c>
      <c r="T35" s="256">
        <v>36</v>
      </c>
      <c r="U35" s="226"/>
    </row>
    <row r="36" spans="1:21" ht="14.1" customHeight="1" thickBot="1">
      <c r="A36" s="74" t="s">
        <v>2298</v>
      </c>
      <c r="B36" s="75">
        <v>86.375433999999998</v>
      </c>
      <c r="C36" s="73">
        <f t="shared" si="0"/>
        <v>10</v>
      </c>
      <c r="D36" s="86">
        <f t="shared" si="1"/>
        <v>132</v>
      </c>
      <c r="E36" s="86">
        <v>0</v>
      </c>
      <c r="F36" s="86">
        <v>0</v>
      </c>
      <c r="G36" s="86">
        <v>0</v>
      </c>
      <c r="H36" s="86">
        <v>0</v>
      </c>
      <c r="I36" s="86">
        <v>0</v>
      </c>
      <c r="J36" s="86">
        <v>0</v>
      </c>
      <c r="K36" s="86">
        <v>0</v>
      </c>
      <c r="L36" s="86">
        <f t="shared" si="2"/>
        <v>1</v>
      </c>
      <c r="M36" s="257">
        <v>0</v>
      </c>
      <c r="N36" s="257">
        <v>0</v>
      </c>
      <c r="O36" s="257">
        <f t="shared" si="3"/>
        <v>0</v>
      </c>
      <c r="P36" s="257">
        <v>0</v>
      </c>
      <c r="R36" s="256" t="s">
        <v>2299</v>
      </c>
      <c r="S36" s="256">
        <v>70</v>
      </c>
      <c r="T36" s="256">
        <v>35</v>
      </c>
      <c r="U36" s="226"/>
    </row>
    <row r="37" spans="1:21" ht="14.1" customHeight="1" thickBot="1">
      <c r="A37" s="74" t="s">
        <v>2300</v>
      </c>
      <c r="B37" s="75">
        <v>53.491866000000002</v>
      </c>
      <c r="C37" s="73">
        <f t="shared" si="0"/>
        <v>10</v>
      </c>
      <c r="D37" s="86">
        <f t="shared" si="1"/>
        <v>139</v>
      </c>
      <c r="E37" s="86">
        <v>0</v>
      </c>
      <c r="F37" s="86">
        <v>0</v>
      </c>
      <c r="G37" s="86">
        <v>0</v>
      </c>
      <c r="H37" s="86">
        <v>0</v>
      </c>
      <c r="I37" s="86">
        <v>0</v>
      </c>
      <c r="J37" s="86">
        <v>0</v>
      </c>
      <c r="K37" s="86">
        <v>0</v>
      </c>
      <c r="L37" s="86">
        <f t="shared" si="2"/>
        <v>1</v>
      </c>
      <c r="M37" s="257">
        <v>0</v>
      </c>
      <c r="N37" s="257">
        <v>0</v>
      </c>
      <c r="O37" s="257">
        <f t="shared" si="3"/>
        <v>0</v>
      </c>
      <c r="P37" s="257">
        <v>0</v>
      </c>
      <c r="R37" s="256" t="s">
        <v>32</v>
      </c>
      <c r="S37" s="256">
        <v>67</v>
      </c>
      <c r="T37" s="256">
        <v>34</v>
      </c>
      <c r="U37" s="226"/>
    </row>
    <row r="38" spans="1:21" ht="14.1" customHeight="1" thickBot="1">
      <c r="A38" s="74" t="s">
        <v>2301</v>
      </c>
      <c r="B38" s="75">
        <v>23.778110000000002</v>
      </c>
      <c r="C38" s="73">
        <f t="shared" si="0"/>
        <v>10</v>
      </c>
      <c r="D38" s="86">
        <f t="shared" si="1"/>
        <v>159</v>
      </c>
      <c r="E38" s="86">
        <v>0</v>
      </c>
      <c r="F38" s="86">
        <v>0</v>
      </c>
      <c r="G38" s="86">
        <v>0</v>
      </c>
      <c r="H38" s="86">
        <v>0</v>
      </c>
      <c r="I38" s="86">
        <v>0</v>
      </c>
      <c r="J38" s="86">
        <v>0</v>
      </c>
      <c r="K38" s="86">
        <v>0</v>
      </c>
      <c r="L38" s="86">
        <f t="shared" si="2"/>
        <v>1</v>
      </c>
      <c r="M38" s="257">
        <v>0</v>
      </c>
      <c r="N38" s="257">
        <v>0</v>
      </c>
      <c r="O38" s="257">
        <f t="shared" si="3"/>
        <v>0</v>
      </c>
      <c r="P38" s="257">
        <v>0</v>
      </c>
      <c r="R38" s="256" t="s">
        <v>2302</v>
      </c>
      <c r="S38" s="256">
        <v>65</v>
      </c>
      <c r="T38" s="256">
        <v>33</v>
      </c>
      <c r="U38" s="226"/>
    </row>
    <row r="39" spans="1:21" ht="14.1" customHeight="1" thickBot="1">
      <c r="A39" s="74" t="s">
        <v>2303</v>
      </c>
      <c r="B39" s="75">
        <v>3.5497390000000002</v>
      </c>
      <c r="C39" s="73">
        <f t="shared" si="0"/>
        <v>10</v>
      </c>
      <c r="D39" s="86">
        <f t="shared" si="1"/>
        <v>195</v>
      </c>
      <c r="E39" s="86">
        <v>0</v>
      </c>
      <c r="F39" s="86">
        <v>0</v>
      </c>
      <c r="G39" s="86">
        <v>0</v>
      </c>
      <c r="H39" s="86">
        <v>0</v>
      </c>
      <c r="I39" s="86">
        <v>0</v>
      </c>
      <c r="J39" s="86">
        <v>0</v>
      </c>
      <c r="K39" s="86">
        <v>0</v>
      </c>
      <c r="L39" s="86">
        <f t="shared" si="2"/>
        <v>1</v>
      </c>
      <c r="M39" s="257">
        <v>0</v>
      </c>
      <c r="N39" s="257">
        <v>0</v>
      </c>
      <c r="O39" s="257">
        <f t="shared" si="3"/>
        <v>0</v>
      </c>
      <c r="P39" s="257">
        <v>0</v>
      </c>
      <c r="R39" s="256" t="s">
        <v>2269</v>
      </c>
      <c r="S39" s="256">
        <v>63</v>
      </c>
      <c r="T39" s="256">
        <v>32</v>
      </c>
      <c r="U39" s="226"/>
    </row>
    <row r="40" spans="1:21" ht="14.1" customHeight="1" thickBot="1">
      <c r="A40" s="74" t="s">
        <v>2304</v>
      </c>
      <c r="B40" s="75">
        <v>515.25207999999998</v>
      </c>
      <c r="C40" s="73">
        <f t="shared" si="0"/>
        <v>10</v>
      </c>
      <c r="D40" s="86">
        <f t="shared" si="1"/>
        <v>97</v>
      </c>
      <c r="E40" s="86">
        <v>0</v>
      </c>
      <c r="F40" s="86">
        <v>0</v>
      </c>
      <c r="G40" s="86">
        <v>0</v>
      </c>
      <c r="H40" s="86">
        <v>0</v>
      </c>
      <c r="I40" s="86">
        <v>0</v>
      </c>
      <c r="J40" s="86">
        <v>0</v>
      </c>
      <c r="K40" s="86">
        <v>0</v>
      </c>
      <c r="L40" s="86">
        <f t="shared" si="2"/>
        <v>1</v>
      </c>
      <c r="M40" s="257">
        <v>0</v>
      </c>
      <c r="N40" s="257">
        <v>0</v>
      </c>
      <c r="O40" s="257">
        <f t="shared" si="3"/>
        <v>1</v>
      </c>
      <c r="P40" s="257">
        <v>15</v>
      </c>
      <c r="R40" s="256" t="s">
        <v>2305</v>
      </c>
      <c r="S40" s="256">
        <v>63</v>
      </c>
      <c r="T40" s="256">
        <v>32</v>
      </c>
      <c r="U40" s="226"/>
    </row>
    <row r="41" spans="1:21" ht="14.1" customHeight="1" thickBot="1">
      <c r="A41" s="74" t="s">
        <v>2299</v>
      </c>
      <c r="B41" s="75">
        <v>186.16601299999999</v>
      </c>
      <c r="C41" s="73">
        <f t="shared" si="0"/>
        <v>35</v>
      </c>
      <c r="D41" s="86">
        <f t="shared" si="1"/>
        <v>116</v>
      </c>
      <c r="E41" s="86">
        <v>0</v>
      </c>
      <c r="F41" s="86">
        <v>0</v>
      </c>
      <c r="G41" s="86">
        <v>0</v>
      </c>
      <c r="H41" s="86">
        <v>0</v>
      </c>
      <c r="I41" s="86">
        <v>0</v>
      </c>
      <c r="J41" s="86">
        <v>0</v>
      </c>
      <c r="K41" s="86">
        <v>0</v>
      </c>
      <c r="L41" s="86">
        <f t="shared" si="2"/>
        <v>1</v>
      </c>
      <c r="M41" s="257">
        <v>0</v>
      </c>
      <c r="N41" s="257">
        <v>0</v>
      </c>
      <c r="O41" s="257">
        <f t="shared" si="3"/>
        <v>1</v>
      </c>
      <c r="P41" s="257">
        <v>30</v>
      </c>
      <c r="R41" s="256" t="s">
        <v>2306</v>
      </c>
      <c r="S41" s="256">
        <v>64</v>
      </c>
      <c r="T41" s="256">
        <v>32</v>
      </c>
      <c r="U41" s="226"/>
    </row>
    <row r="42" spans="1:21" ht="14.1" customHeight="1" thickBot="1">
      <c r="A42" s="74" t="s">
        <v>2290</v>
      </c>
      <c r="B42" s="75">
        <v>415.01409000000001</v>
      </c>
      <c r="C42" s="73">
        <f t="shared" si="0"/>
        <v>37</v>
      </c>
      <c r="D42" s="86">
        <f t="shared" si="1"/>
        <v>99</v>
      </c>
      <c r="E42" s="86">
        <v>0</v>
      </c>
      <c r="F42" s="86">
        <v>0</v>
      </c>
      <c r="G42" s="86">
        <v>0</v>
      </c>
      <c r="H42" s="86">
        <v>0</v>
      </c>
      <c r="I42" s="86">
        <v>0</v>
      </c>
      <c r="J42" s="86">
        <v>0</v>
      </c>
      <c r="K42" s="86">
        <v>0</v>
      </c>
      <c r="L42" s="86">
        <f t="shared" si="2"/>
        <v>1</v>
      </c>
      <c r="M42" s="257">
        <v>0</v>
      </c>
      <c r="N42" s="257">
        <v>0</v>
      </c>
      <c r="O42" s="257">
        <f t="shared" si="3"/>
        <v>1</v>
      </c>
      <c r="P42" s="257">
        <v>15</v>
      </c>
      <c r="R42" s="256" t="s">
        <v>2307</v>
      </c>
      <c r="S42" s="256">
        <v>64</v>
      </c>
      <c r="T42" s="256">
        <v>32</v>
      </c>
      <c r="U42" s="226"/>
    </row>
    <row r="43" spans="1:21" ht="14.1" customHeight="1" thickBot="1">
      <c r="A43" s="74" t="s">
        <v>2308</v>
      </c>
      <c r="B43" s="75">
        <v>44183.152276000001</v>
      </c>
      <c r="C43" s="73">
        <f t="shared" si="0"/>
        <v>10</v>
      </c>
      <c r="D43" s="86">
        <f t="shared" si="1"/>
        <v>17</v>
      </c>
      <c r="E43" s="86">
        <v>0</v>
      </c>
      <c r="F43" s="86">
        <v>0</v>
      </c>
      <c r="G43" s="86">
        <v>0</v>
      </c>
      <c r="H43" s="86">
        <v>0</v>
      </c>
      <c r="I43" s="86">
        <v>0</v>
      </c>
      <c r="J43" s="86">
        <v>0</v>
      </c>
      <c r="K43" s="86">
        <v>0</v>
      </c>
      <c r="L43" s="86">
        <f t="shared" si="2"/>
        <v>1</v>
      </c>
      <c r="M43" s="257">
        <v>0</v>
      </c>
      <c r="N43" s="257">
        <v>0</v>
      </c>
      <c r="O43" s="257">
        <f t="shared" si="3"/>
        <v>1</v>
      </c>
      <c r="P43" s="257">
        <v>50</v>
      </c>
      <c r="R43" s="256" t="s">
        <v>2309</v>
      </c>
      <c r="S43" s="256">
        <v>61</v>
      </c>
      <c r="T43" s="256">
        <v>31</v>
      </c>
      <c r="U43" s="226"/>
    </row>
    <row r="44" spans="1:21" ht="14.1" customHeight="1" thickBot="1">
      <c r="A44" s="74" t="s">
        <v>2310</v>
      </c>
      <c r="B44" s="75">
        <v>0.47311999999999999</v>
      </c>
      <c r="C44" s="73">
        <f t="shared" si="0"/>
        <v>10</v>
      </c>
      <c r="D44" s="86">
        <f t="shared" si="1"/>
        <v>220</v>
      </c>
      <c r="E44" s="86">
        <v>0</v>
      </c>
      <c r="F44" s="86">
        <v>0</v>
      </c>
      <c r="G44" s="86">
        <v>0</v>
      </c>
      <c r="H44" s="86">
        <v>0</v>
      </c>
      <c r="I44" s="86">
        <v>0</v>
      </c>
      <c r="J44" s="86">
        <v>0</v>
      </c>
      <c r="K44" s="86">
        <v>0</v>
      </c>
      <c r="L44" s="86">
        <f t="shared" si="2"/>
        <v>1</v>
      </c>
      <c r="M44" s="257">
        <v>0</v>
      </c>
      <c r="N44" s="257">
        <v>0</v>
      </c>
      <c r="O44" s="257">
        <f t="shared" si="3"/>
        <v>0</v>
      </c>
      <c r="P44" s="257">
        <v>0</v>
      </c>
      <c r="R44" s="256" t="s">
        <v>2311</v>
      </c>
      <c r="S44" s="256">
        <v>61</v>
      </c>
      <c r="T44" s="256">
        <v>31</v>
      </c>
      <c r="U44" s="226"/>
    </row>
    <row r="45" spans="1:21" ht="14.1" customHeight="1" thickBot="1">
      <c r="A45" s="74" t="s">
        <v>2312</v>
      </c>
      <c r="B45" s="75">
        <v>60.433098000000001</v>
      </c>
      <c r="C45" s="73">
        <f t="shared" si="0"/>
        <v>10</v>
      </c>
      <c r="D45" s="86">
        <f t="shared" si="1"/>
        <v>137</v>
      </c>
      <c r="E45" s="86">
        <v>0</v>
      </c>
      <c r="F45" s="86">
        <v>0</v>
      </c>
      <c r="G45" s="86">
        <v>0</v>
      </c>
      <c r="H45" s="86">
        <v>0</v>
      </c>
      <c r="I45" s="86">
        <v>0</v>
      </c>
      <c r="J45" s="86">
        <v>0</v>
      </c>
      <c r="K45" s="86">
        <v>0</v>
      </c>
      <c r="L45" s="86">
        <f t="shared" si="2"/>
        <v>1</v>
      </c>
      <c r="M45" s="257">
        <v>0</v>
      </c>
      <c r="N45" s="257">
        <v>0</v>
      </c>
      <c r="O45" s="257">
        <f t="shared" si="3"/>
        <v>0</v>
      </c>
      <c r="P45" s="257">
        <v>0</v>
      </c>
      <c r="R45" s="256" t="s">
        <v>2313</v>
      </c>
      <c r="S45" s="256">
        <v>61</v>
      </c>
      <c r="T45" s="256">
        <v>31</v>
      </c>
      <c r="U45" s="226"/>
    </row>
    <row r="46" spans="1:21" ht="14.1" customHeight="1" thickBot="1">
      <c r="A46" s="74" t="s">
        <v>2314</v>
      </c>
      <c r="B46" s="75">
        <v>248.560259</v>
      </c>
      <c r="C46" s="73">
        <f t="shared" si="0"/>
        <v>24</v>
      </c>
      <c r="D46" s="86">
        <f t="shared" si="1"/>
        <v>108</v>
      </c>
      <c r="E46" s="86">
        <v>0</v>
      </c>
      <c r="F46" s="86">
        <v>0</v>
      </c>
      <c r="G46" s="86">
        <v>0</v>
      </c>
      <c r="H46" s="86">
        <v>0</v>
      </c>
      <c r="I46" s="86">
        <v>0</v>
      </c>
      <c r="J46" s="86">
        <v>0</v>
      </c>
      <c r="K46" s="86">
        <v>0</v>
      </c>
      <c r="L46" s="86">
        <f t="shared" si="2"/>
        <v>1</v>
      </c>
      <c r="M46" s="257">
        <v>0</v>
      </c>
      <c r="N46" s="257">
        <v>0</v>
      </c>
      <c r="O46" s="257">
        <f t="shared" si="3"/>
        <v>1</v>
      </c>
      <c r="P46" s="257">
        <v>25</v>
      </c>
      <c r="R46" s="256" t="s">
        <v>2265</v>
      </c>
      <c r="S46" s="256">
        <v>59</v>
      </c>
      <c r="T46" s="256">
        <v>30</v>
      </c>
      <c r="U46" s="226"/>
    </row>
    <row r="47" spans="1:21" ht="14.1" customHeight="1" thickBot="1">
      <c r="A47" s="74" t="s">
        <v>2315</v>
      </c>
      <c r="B47" s="75">
        <v>1545.6903870000001</v>
      </c>
      <c r="C47" s="73">
        <v>20</v>
      </c>
      <c r="D47" s="86">
        <f t="shared" si="1"/>
        <v>76</v>
      </c>
      <c r="E47" s="86">
        <v>0</v>
      </c>
      <c r="F47" s="86">
        <v>0</v>
      </c>
      <c r="G47" s="86">
        <v>1</v>
      </c>
      <c r="H47" s="86">
        <v>0</v>
      </c>
      <c r="I47" s="86">
        <v>0</v>
      </c>
      <c r="J47" s="86">
        <v>0</v>
      </c>
      <c r="K47" s="86">
        <v>0</v>
      </c>
      <c r="L47" s="86">
        <f t="shared" si="2"/>
        <v>0</v>
      </c>
      <c r="M47" s="257">
        <v>0</v>
      </c>
      <c r="N47" s="257">
        <v>0</v>
      </c>
      <c r="O47" s="257">
        <f t="shared" si="3"/>
        <v>0</v>
      </c>
      <c r="P47" s="257">
        <v>0</v>
      </c>
      <c r="R47" s="256" t="s">
        <v>2316</v>
      </c>
      <c r="S47" s="256">
        <v>59</v>
      </c>
      <c r="T47" s="256">
        <v>30</v>
      </c>
      <c r="U47" s="226"/>
    </row>
    <row r="48" spans="1:21" ht="14.1" customHeight="1" thickBot="1">
      <c r="A48" s="74" t="s">
        <v>2317</v>
      </c>
      <c r="B48" s="75">
        <v>4.687036</v>
      </c>
      <c r="C48" s="73">
        <f t="shared" si="0"/>
        <v>10</v>
      </c>
      <c r="D48" s="86">
        <f t="shared" si="1"/>
        <v>190</v>
      </c>
      <c r="E48" s="86">
        <v>0</v>
      </c>
      <c r="F48" s="86">
        <v>0</v>
      </c>
      <c r="G48" s="86">
        <v>0</v>
      </c>
      <c r="H48" s="86">
        <v>0</v>
      </c>
      <c r="I48" s="86">
        <v>0</v>
      </c>
      <c r="J48" s="86">
        <v>0</v>
      </c>
      <c r="K48" s="86">
        <v>0</v>
      </c>
      <c r="L48" s="86">
        <f t="shared" si="2"/>
        <v>1</v>
      </c>
      <c r="M48" s="257">
        <v>0</v>
      </c>
      <c r="N48" s="257">
        <v>0</v>
      </c>
      <c r="O48" s="257">
        <f t="shared" si="3"/>
        <v>0</v>
      </c>
      <c r="P48" s="257">
        <v>0</v>
      </c>
      <c r="R48" s="256" t="s">
        <v>2318</v>
      </c>
      <c r="S48" s="256">
        <v>60</v>
      </c>
      <c r="T48" s="256">
        <v>30</v>
      </c>
      <c r="U48" s="226"/>
    </row>
    <row r="49" spans="1:21" ht="14.1" customHeight="1" thickBot="1">
      <c r="A49" s="74" t="s">
        <v>2319</v>
      </c>
      <c r="B49" s="75">
        <v>683.24594999999999</v>
      </c>
      <c r="C49" s="73">
        <f t="shared" si="0"/>
        <v>10</v>
      </c>
      <c r="D49" s="86">
        <f t="shared" si="1"/>
        <v>93</v>
      </c>
      <c r="E49" s="86">
        <v>0</v>
      </c>
      <c r="F49" s="86">
        <v>0</v>
      </c>
      <c r="G49" s="86">
        <v>0</v>
      </c>
      <c r="H49" s="86">
        <v>0</v>
      </c>
      <c r="I49" s="86">
        <v>0</v>
      </c>
      <c r="J49" s="86">
        <v>0</v>
      </c>
      <c r="K49" s="86">
        <v>0</v>
      </c>
      <c r="L49" s="86">
        <f t="shared" si="2"/>
        <v>1</v>
      </c>
      <c r="M49" s="257">
        <v>0</v>
      </c>
      <c r="N49" s="257">
        <v>0</v>
      </c>
      <c r="O49" s="257">
        <f t="shared" si="3"/>
        <v>1</v>
      </c>
      <c r="P49" s="257">
        <v>40</v>
      </c>
      <c r="R49" s="256" t="s">
        <v>2320</v>
      </c>
      <c r="S49" s="256">
        <v>58</v>
      </c>
      <c r="T49" s="256">
        <v>29</v>
      </c>
      <c r="U49" s="226"/>
    </row>
    <row r="50" spans="1:21" ht="14.1" customHeight="1" thickBot="1">
      <c r="A50" s="74" t="s">
        <v>2321</v>
      </c>
      <c r="B50" s="75">
        <v>3.7967979999999999</v>
      </c>
      <c r="C50" s="73">
        <f t="shared" si="0"/>
        <v>10</v>
      </c>
      <c r="D50" s="86">
        <f t="shared" si="1"/>
        <v>193</v>
      </c>
      <c r="E50" s="86">
        <v>0</v>
      </c>
      <c r="F50" s="86">
        <v>0</v>
      </c>
      <c r="G50" s="86">
        <v>0</v>
      </c>
      <c r="H50" s="86">
        <v>0</v>
      </c>
      <c r="I50" s="86">
        <v>0</v>
      </c>
      <c r="J50" s="86">
        <v>0</v>
      </c>
      <c r="K50" s="86">
        <v>0</v>
      </c>
      <c r="L50" s="86">
        <f t="shared" si="2"/>
        <v>1</v>
      </c>
      <c r="M50" s="257">
        <v>0</v>
      </c>
      <c r="N50" s="257">
        <v>0</v>
      </c>
      <c r="O50" s="257">
        <f t="shared" si="3"/>
        <v>0</v>
      </c>
      <c r="P50" s="257">
        <v>0</v>
      </c>
      <c r="R50" s="256" t="s">
        <v>2322</v>
      </c>
      <c r="S50" s="256">
        <v>58</v>
      </c>
      <c r="T50" s="256">
        <v>29</v>
      </c>
      <c r="U50" s="226"/>
    </row>
    <row r="51" spans="1:21" ht="24" customHeight="1" thickBot="1">
      <c r="A51" s="74" t="s">
        <v>2323</v>
      </c>
      <c r="B51" s="75">
        <v>4.6852130000000001</v>
      </c>
      <c r="C51" s="73">
        <f t="shared" si="0"/>
        <v>10</v>
      </c>
      <c r="D51" s="86">
        <f t="shared" si="1"/>
        <v>191</v>
      </c>
      <c r="E51" s="86">
        <v>0</v>
      </c>
      <c r="F51" s="86">
        <v>0</v>
      </c>
      <c r="G51" s="86">
        <v>0</v>
      </c>
      <c r="H51" s="86">
        <v>0</v>
      </c>
      <c r="I51" s="86">
        <v>0</v>
      </c>
      <c r="J51" s="86">
        <v>0</v>
      </c>
      <c r="K51" s="86">
        <v>0</v>
      </c>
      <c r="L51" s="86">
        <f t="shared" si="2"/>
        <v>1</v>
      </c>
      <c r="M51" s="257">
        <v>0</v>
      </c>
      <c r="N51" s="257">
        <v>0</v>
      </c>
      <c r="O51" s="257">
        <f t="shared" si="3"/>
        <v>0</v>
      </c>
      <c r="P51" s="257">
        <v>0</v>
      </c>
      <c r="R51" s="256" t="s">
        <v>2324</v>
      </c>
      <c r="S51" s="256">
        <v>55</v>
      </c>
      <c r="T51" s="256">
        <v>28</v>
      </c>
      <c r="U51" s="226"/>
    </row>
    <row r="52" spans="1:21" ht="13.7" customHeight="1" thickBot="1">
      <c r="A52" s="74" t="s">
        <v>2268</v>
      </c>
      <c r="B52" s="75">
        <v>13364.875142999999</v>
      </c>
      <c r="C52" s="73">
        <f t="shared" si="0"/>
        <v>49</v>
      </c>
      <c r="D52" s="86">
        <f t="shared" si="1"/>
        <v>33</v>
      </c>
      <c r="E52" s="86">
        <v>0</v>
      </c>
      <c r="F52" s="86">
        <v>0</v>
      </c>
      <c r="G52" s="86">
        <v>0</v>
      </c>
      <c r="H52" s="86">
        <v>0</v>
      </c>
      <c r="I52" s="86">
        <v>0</v>
      </c>
      <c r="J52" s="86">
        <v>0</v>
      </c>
      <c r="K52" s="86">
        <v>0</v>
      </c>
      <c r="L52" s="86">
        <f t="shared" si="2"/>
        <v>1</v>
      </c>
      <c r="M52" s="257">
        <v>0</v>
      </c>
      <c r="N52" s="257">
        <v>0</v>
      </c>
      <c r="O52" s="257">
        <f t="shared" si="3"/>
        <v>1</v>
      </c>
      <c r="P52" s="257">
        <v>19</v>
      </c>
      <c r="R52" s="256" t="s">
        <v>2325</v>
      </c>
      <c r="S52" s="256">
        <v>54</v>
      </c>
      <c r="T52" s="256">
        <v>27</v>
      </c>
      <c r="U52" s="226"/>
    </row>
    <row r="53" spans="1:21" ht="14.1" customHeight="1" thickBot="1">
      <c r="A53" s="74" t="s">
        <v>2326</v>
      </c>
      <c r="B53" s="75">
        <v>260.34965099999999</v>
      </c>
      <c r="C53" s="73">
        <f t="shared" si="0"/>
        <v>11</v>
      </c>
      <c r="D53" s="86">
        <f t="shared" si="1"/>
        <v>107</v>
      </c>
      <c r="E53" s="86">
        <v>0</v>
      </c>
      <c r="F53" s="86">
        <v>0</v>
      </c>
      <c r="G53" s="86">
        <v>0</v>
      </c>
      <c r="H53" s="86">
        <v>0</v>
      </c>
      <c r="I53" s="86">
        <v>0</v>
      </c>
      <c r="J53" s="86">
        <v>0</v>
      </c>
      <c r="K53" s="86">
        <v>0</v>
      </c>
      <c r="L53" s="86">
        <f t="shared" si="2"/>
        <v>1</v>
      </c>
      <c r="M53" s="257">
        <v>0</v>
      </c>
      <c r="N53" s="257">
        <v>0</v>
      </c>
      <c r="O53" s="257">
        <f t="shared" si="3"/>
        <v>1</v>
      </c>
      <c r="P53" s="257">
        <v>15</v>
      </c>
      <c r="R53" s="256" t="s">
        <v>2327</v>
      </c>
      <c r="S53" s="256">
        <v>52</v>
      </c>
      <c r="T53" s="256">
        <v>26</v>
      </c>
      <c r="U53" s="226"/>
    </row>
    <row r="54" spans="1:21" ht="14.1" customHeight="1" thickBot="1">
      <c r="A54" s="74" t="s">
        <v>2328</v>
      </c>
      <c r="B54" s="75">
        <v>422170.02869900002</v>
      </c>
      <c r="C54" s="73">
        <v>0</v>
      </c>
      <c r="D54" s="86">
        <f t="shared" si="1"/>
        <v>3</v>
      </c>
      <c r="E54" s="86">
        <v>0</v>
      </c>
      <c r="F54" s="86">
        <v>0</v>
      </c>
      <c r="G54" s="86">
        <v>0</v>
      </c>
      <c r="H54" s="86">
        <v>1</v>
      </c>
      <c r="I54" s="86">
        <v>0</v>
      </c>
      <c r="J54" s="86">
        <v>0</v>
      </c>
      <c r="K54" s="86">
        <v>0</v>
      </c>
      <c r="L54" s="86">
        <f t="shared" si="2"/>
        <v>0</v>
      </c>
      <c r="M54" s="257">
        <v>0</v>
      </c>
      <c r="N54" s="257">
        <v>0</v>
      </c>
      <c r="O54" s="257">
        <f t="shared" si="3"/>
        <v>0</v>
      </c>
      <c r="P54" s="257">
        <v>0</v>
      </c>
      <c r="R54" s="256" t="s">
        <v>2329</v>
      </c>
      <c r="S54" s="256">
        <v>50</v>
      </c>
      <c r="T54" s="256">
        <v>25</v>
      </c>
      <c r="U54" s="226"/>
    </row>
    <row r="55" spans="1:21" ht="14.1" customHeight="1" thickBot="1">
      <c r="A55" s="74" t="s">
        <v>2330</v>
      </c>
      <c r="B55" s="75">
        <v>51.016320999999998</v>
      </c>
      <c r="C55" s="73">
        <f t="shared" si="0"/>
        <v>10</v>
      </c>
      <c r="D55" s="86">
        <f t="shared" si="1"/>
        <v>140</v>
      </c>
      <c r="E55" s="86">
        <v>0</v>
      </c>
      <c r="F55" s="86">
        <v>0</v>
      </c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f t="shared" si="2"/>
        <v>1</v>
      </c>
      <c r="M55" s="257">
        <v>0</v>
      </c>
      <c r="N55" s="257">
        <v>0</v>
      </c>
      <c r="O55" s="257">
        <f t="shared" si="3"/>
        <v>0</v>
      </c>
      <c r="P55" s="257">
        <v>0</v>
      </c>
      <c r="R55" s="256" t="s">
        <v>2314</v>
      </c>
      <c r="S55" s="256">
        <v>47</v>
      </c>
      <c r="T55" s="256">
        <v>24</v>
      </c>
      <c r="U55" s="226"/>
    </row>
    <row r="56" spans="1:21" ht="14.1" customHeight="1" thickBot="1">
      <c r="A56" s="74" t="s">
        <v>2331</v>
      </c>
      <c r="B56" s="75">
        <v>1.468418</v>
      </c>
      <c r="C56" s="73">
        <f t="shared" si="0"/>
        <v>10</v>
      </c>
      <c r="D56" s="86">
        <f t="shared" si="1"/>
        <v>212</v>
      </c>
      <c r="E56" s="86">
        <v>0</v>
      </c>
      <c r="F56" s="86">
        <v>0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f t="shared" si="2"/>
        <v>1</v>
      </c>
      <c r="M56" s="257">
        <v>0</v>
      </c>
      <c r="N56" s="257">
        <v>0</v>
      </c>
      <c r="O56" s="257">
        <f t="shared" si="3"/>
        <v>0</v>
      </c>
      <c r="P56" s="257">
        <v>0</v>
      </c>
      <c r="R56" s="256" t="s">
        <v>37</v>
      </c>
      <c r="S56" s="256">
        <v>46</v>
      </c>
      <c r="T56" s="256">
        <v>24</v>
      </c>
      <c r="U56" s="226"/>
    </row>
    <row r="57" spans="1:21" ht="14.1" customHeight="1" thickBot="1">
      <c r="A57" s="74" t="s">
        <v>2332</v>
      </c>
      <c r="B57" s="75">
        <v>82.757050000000007</v>
      </c>
      <c r="C57" s="73">
        <f t="shared" si="0"/>
        <v>13</v>
      </c>
      <c r="D57" s="86">
        <f t="shared" si="1"/>
        <v>133</v>
      </c>
      <c r="E57" s="86">
        <v>0</v>
      </c>
      <c r="F57" s="86">
        <v>0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f t="shared" si="2"/>
        <v>1</v>
      </c>
      <c r="M57" s="257">
        <v>0</v>
      </c>
      <c r="N57" s="257">
        <v>0</v>
      </c>
      <c r="O57" s="257">
        <f t="shared" si="3"/>
        <v>1</v>
      </c>
      <c r="P57" s="257">
        <v>15</v>
      </c>
      <c r="R57" s="256" t="s">
        <v>2333</v>
      </c>
      <c r="S57" s="256">
        <v>47</v>
      </c>
      <c r="T57" s="256">
        <v>24</v>
      </c>
      <c r="U57" s="226"/>
    </row>
    <row r="58" spans="1:21" ht="14.1" customHeight="1" thickBot="1">
      <c r="A58" s="74" t="s">
        <v>2334</v>
      </c>
      <c r="B58" s="75">
        <v>17413.081979999999</v>
      </c>
      <c r="C58" s="73">
        <f t="shared" si="0"/>
        <v>10</v>
      </c>
      <c r="D58" s="86">
        <f t="shared" si="1"/>
        <v>28</v>
      </c>
      <c r="E58" s="86">
        <v>0</v>
      </c>
      <c r="F58" s="86">
        <v>0</v>
      </c>
      <c r="G58" s="86">
        <v>0</v>
      </c>
      <c r="H58" s="86">
        <v>0</v>
      </c>
      <c r="I58" s="86">
        <v>0</v>
      </c>
      <c r="J58" s="86">
        <v>0</v>
      </c>
      <c r="K58" s="86">
        <v>1</v>
      </c>
      <c r="L58" s="86">
        <f t="shared" si="2"/>
        <v>0</v>
      </c>
      <c r="M58" s="257">
        <v>0</v>
      </c>
      <c r="N58" s="257">
        <v>0</v>
      </c>
      <c r="O58" s="257">
        <f t="shared" si="3"/>
        <v>0</v>
      </c>
      <c r="P58" s="257">
        <v>0</v>
      </c>
      <c r="R58" s="256" t="s">
        <v>2335</v>
      </c>
      <c r="S58" s="256">
        <v>41</v>
      </c>
      <c r="T58" s="256">
        <v>21</v>
      </c>
      <c r="U58" s="226"/>
    </row>
    <row r="59" spans="1:21" ht="14.1" customHeight="1" thickBot="1">
      <c r="A59" s="74" t="s">
        <v>32</v>
      </c>
      <c r="B59" s="75">
        <v>462638.75242999999</v>
      </c>
      <c r="C59" s="73">
        <f t="shared" si="0"/>
        <v>34</v>
      </c>
      <c r="D59" s="86">
        <f t="shared" si="1"/>
        <v>2</v>
      </c>
      <c r="E59" s="86">
        <v>0</v>
      </c>
      <c r="F59" s="86">
        <v>0</v>
      </c>
      <c r="G59" s="86">
        <v>0</v>
      </c>
      <c r="H59" s="86">
        <v>0</v>
      </c>
      <c r="I59" s="86">
        <v>0</v>
      </c>
      <c r="J59" s="86">
        <v>1</v>
      </c>
      <c r="K59" s="86">
        <v>0</v>
      </c>
      <c r="L59" s="86">
        <f t="shared" si="2"/>
        <v>0</v>
      </c>
      <c r="M59" s="257">
        <v>0</v>
      </c>
      <c r="N59" s="257">
        <v>0</v>
      </c>
      <c r="O59" s="257">
        <f t="shared" si="3"/>
        <v>0</v>
      </c>
      <c r="P59" s="257">
        <v>0</v>
      </c>
      <c r="R59" s="256" t="s">
        <v>2336</v>
      </c>
      <c r="S59" s="256">
        <v>42</v>
      </c>
      <c r="T59" s="256">
        <v>21</v>
      </c>
      <c r="U59" s="226"/>
    </row>
    <row r="60" spans="1:21" ht="14.1" customHeight="1" thickBot="1">
      <c r="A60" s="74" t="s">
        <v>2337</v>
      </c>
      <c r="B60" s="75">
        <v>1.836055</v>
      </c>
      <c r="C60" s="73">
        <f t="shared" si="0"/>
        <v>10</v>
      </c>
      <c r="D60" s="86">
        <f t="shared" si="1"/>
        <v>210</v>
      </c>
      <c r="E60" s="86">
        <v>0</v>
      </c>
      <c r="F60" s="86">
        <v>0</v>
      </c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f t="shared" si="2"/>
        <v>1</v>
      </c>
      <c r="M60" s="257">
        <v>0</v>
      </c>
      <c r="N60" s="257">
        <v>0</v>
      </c>
      <c r="O60" s="257">
        <f t="shared" si="3"/>
        <v>0</v>
      </c>
      <c r="P60" s="257">
        <v>0</v>
      </c>
      <c r="R60" s="256" t="s">
        <v>2338</v>
      </c>
      <c r="S60" s="256">
        <v>39</v>
      </c>
      <c r="T60" s="256">
        <v>20</v>
      </c>
      <c r="U60" s="226"/>
    </row>
    <row r="61" spans="1:21" ht="14.1" customHeight="1" thickBot="1">
      <c r="A61" s="74" t="s">
        <v>2339</v>
      </c>
      <c r="B61" s="75">
        <v>1.1347959999999999</v>
      </c>
      <c r="C61" s="73">
        <f t="shared" si="0"/>
        <v>10</v>
      </c>
      <c r="D61" s="86">
        <f t="shared" si="1"/>
        <v>214</v>
      </c>
      <c r="E61" s="86">
        <v>0</v>
      </c>
      <c r="F61" s="86">
        <v>0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f t="shared" si="2"/>
        <v>1</v>
      </c>
      <c r="M61" s="257">
        <v>0</v>
      </c>
      <c r="N61" s="257">
        <v>0</v>
      </c>
      <c r="O61" s="257">
        <f t="shared" si="3"/>
        <v>0</v>
      </c>
      <c r="P61" s="257">
        <v>0</v>
      </c>
      <c r="R61" s="256" t="s">
        <v>2340</v>
      </c>
      <c r="S61" s="256">
        <v>40</v>
      </c>
      <c r="T61" s="256">
        <v>20</v>
      </c>
      <c r="U61" s="226"/>
    </row>
    <row r="62" spans="1:21" ht="14.1" customHeight="1" thickBot="1">
      <c r="A62" s="74" t="s">
        <v>2341</v>
      </c>
      <c r="B62" s="75">
        <v>18433.588950000001</v>
      </c>
      <c r="C62" s="73">
        <f t="shared" si="0"/>
        <v>10</v>
      </c>
      <c r="D62" s="86">
        <f t="shared" si="1"/>
        <v>25</v>
      </c>
      <c r="E62" s="86">
        <v>0</v>
      </c>
      <c r="F62" s="86">
        <v>0</v>
      </c>
      <c r="G62" s="86">
        <v>0</v>
      </c>
      <c r="H62" s="86">
        <v>0</v>
      </c>
      <c r="I62" s="86">
        <v>0</v>
      </c>
      <c r="J62" s="86">
        <v>0</v>
      </c>
      <c r="K62" s="86">
        <v>1</v>
      </c>
      <c r="L62" s="86">
        <f t="shared" si="2"/>
        <v>0</v>
      </c>
      <c r="M62" s="257">
        <v>0</v>
      </c>
      <c r="N62" s="257">
        <v>0</v>
      </c>
      <c r="O62" s="257">
        <f t="shared" si="3"/>
        <v>0</v>
      </c>
      <c r="P62" s="257">
        <v>0</v>
      </c>
      <c r="R62" s="256" t="s">
        <v>2342</v>
      </c>
      <c r="S62" s="256">
        <v>36</v>
      </c>
      <c r="T62" s="256">
        <v>18</v>
      </c>
      <c r="U62" s="226"/>
    </row>
    <row r="63" spans="1:21" ht="14.1" customHeight="1" thickBot="1">
      <c r="A63" s="74" t="s">
        <v>2343</v>
      </c>
      <c r="B63" s="75">
        <v>1.870433</v>
      </c>
      <c r="C63" s="73">
        <f t="shared" si="0"/>
        <v>10</v>
      </c>
      <c r="D63" s="86">
        <f t="shared" si="1"/>
        <v>208</v>
      </c>
      <c r="E63" s="86">
        <v>0</v>
      </c>
      <c r="F63" s="86">
        <v>0</v>
      </c>
      <c r="G63" s="86">
        <v>0</v>
      </c>
      <c r="H63" s="86">
        <v>0</v>
      </c>
      <c r="I63" s="86">
        <v>0</v>
      </c>
      <c r="J63" s="86">
        <v>0</v>
      </c>
      <c r="K63" s="86">
        <v>0</v>
      </c>
      <c r="L63" s="86">
        <f t="shared" si="2"/>
        <v>1</v>
      </c>
      <c r="M63" s="257">
        <v>0</v>
      </c>
      <c r="N63" s="257">
        <v>0</v>
      </c>
      <c r="O63" s="257">
        <f t="shared" si="3"/>
        <v>0</v>
      </c>
      <c r="P63" s="257">
        <v>0</v>
      </c>
      <c r="R63" s="256" t="s">
        <v>2344</v>
      </c>
      <c r="S63" s="256">
        <v>33</v>
      </c>
      <c r="T63" s="256">
        <v>17</v>
      </c>
      <c r="U63" s="226"/>
    </row>
    <row r="64" spans="1:21" ht="14.1" customHeight="1" thickBot="1">
      <c r="A64" s="74" t="s">
        <v>2345</v>
      </c>
      <c r="B64" s="75">
        <v>41.639834999999998</v>
      </c>
      <c r="C64" s="73">
        <f t="shared" si="0"/>
        <v>10</v>
      </c>
      <c r="D64" s="86">
        <f t="shared" si="1"/>
        <v>147</v>
      </c>
      <c r="E64" s="86">
        <v>0</v>
      </c>
      <c r="F64" s="86">
        <v>0</v>
      </c>
      <c r="G64" s="86">
        <v>0</v>
      </c>
      <c r="H64" s="86">
        <v>0</v>
      </c>
      <c r="I64" s="86">
        <v>0</v>
      </c>
      <c r="J64" s="86">
        <v>0</v>
      </c>
      <c r="K64" s="86">
        <v>0</v>
      </c>
      <c r="L64" s="86">
        <f t="shared" si="2"/>
        <v>1</v>
      </c>
      <c r="M64" s="257">
        <v>0</v>
      </c>
      <c r="N64" s="257">
        <v>0</v>
      </c>
      <c r="O64" s="257">
        <f t="shared" si="3"/>
        <v>0</v>
      </c>
      <c r="P64" s="257">
        <v>0</v>
      </c>
      <c r="R64" s="256" t="s">
        <v>2346</v>
      </c>
      <c r="S64" s="256">
        <v>34</v>
      </c>
      <c r="T64" s="256">
        <v>17</v>
      </c>
      <c r="U64" s="226"/>
    </row>
    <row r="65" spans="1:21" ht="14.1" customHeight="1" thickBot="1">
      <c r="A65" t="s">
        <v>2347</v>
      </c>
      <c r="B65" s="75">
        <v>327.43240100000003</v>
      </c>
      <c r="C65" s="73">
        <f t="shared" si="0"/>
        <v>11</v>
      </c>
      <c r="D65" s="86">
        <f t="shared" si="1"/>
        <v>103</v>
      </c>
      <c r="E65" s="86">
        <v>0</v>
      </c>
      <c r="F65" s="86">
        <v>0</v>
      </c>
      <c r="G65" s="86">
        <v>0</v>
      </c>
      <c r="H65" s="86">
        <v>0</v>
      </c>
      <c r="I65" s="86">
        <v>0</v>
      </c>
      <c r="J65" s="86">
        <v>0</v>
      </c>
      <c r="K65" s="86">
        <v>0</v>
      </c>
      <c r="L65" s="86">
        <f t="shared" si="2"/>
        <v>1</v>
      </c>
      <c r="M65" s="257">
        <v>0</v>
      </c>
      <c r="N65" s="257">
        <v>0</v>
      </c>
      <c r="O65" s="257">
        <f t="shared" si="3"/>
        <v>1</v>
      </c>
      <c r="P65" s="257">
        <v>15</v>
      </c>
      <c r="R65" s="256" t="s">
        <v>2348</v>
      </c>
      <c r="S65" s="256">
        <v>33</v>
      </c>
      <c r="T65" s="256">
        <v>17</v>
      </c>
      <c r="U65" s="226"/>
    </row>
    <row r="66" spans="1:21" ht="14.1" customHeight="1" thickBot="1">
      <c r="A66" s="74" t="s">
        <v>2349</v>
      </c>
      <c r="B66" s="75">
        <v>0.90317099999999995</v>
      </c>
      <c r="C66" s="73">
        <f t="shared" si="0"/>
        <v>10</v>
      </c>
      <c r="D66" s="86">
        <f t="shared" si="1"/>
        <v>216</v>
      </c>
      <c r="E66" s="86">
        <v>0</v>
      </c>
      <c r="F66" s="86">
        <v>0</v>
      </c>
      <c r="G66" s="86">
        <v>0</v>
      </c>
      <c r="H66" s="86">
        <v>0</v>
      </c>
      <c r="I66" s="86">
        <v>0</v>
      </c>
      <c r="J66" s="86">
        <v>0</v>
      </c>
      <c r="K66" s="86">
        <v>0</v>
      </c>
      <c r="L66" s="86">
        <f t="shared" si="2"/>
        <v>1</v>
      </c>
      <c r="M66" s="257">
        <v>0</v>
      </c>
      <c r="N66" s="257">
        <v>0</v>
      </c>
      <c r="O66" s="257">
        <f t="shared" si="3"/>
        <v>0</v>
      </c>
      <c r="P66" s="257">
        <v>0</v>
      </c>
      <c r="R66" s="256" t="s">
        <v>2350</v>
      </c>
      <c r="S66" s="256">
        <v>31</v>
      </c>
      <c r="T66" s="256">
        <v>16</v>
      </c>
      <c r="U66" s="226"/>
    </row>
    <row r="67" spans="1:21" ht="14.1" customHeight="1" thickBot="1">
      <c r="A67" s="74" t="s">
        <v>2351</v>
      </c>
      <c r="B67" s="75">
        <v>12005.935144999999</v>
      </c>
      <c r="C67" s="73">
        <f t="shared" si="0"/>
        <v>10</v>
      </c>
      <c r="D67" s="86">
        <f t="shared" si="1"/>
        <v>36</v>
      </c>
      <c r="E67" s="86">
        <v>0</v>
      </c>
      <c r="F67" s="86">
        <v>0</v>
      </c>
      <c r="G67" s="86">
        <v>0</v>
      </c>
      <c r="H67" s="86">
        <v>0</v>
      </c>
      <c r="I67" s="86">
        <v>0</v>
      </c>
      <c r="J67" s="86">
        <v>0</v>
      </c>
      <c r="K67" s="86">
        <v>1</v>
      </c>
      <c r="L67" s="86">
        <f t="shared" si="2"/>
        <v>0</v>
      </c>
      <c r="M67" s="257">
        <v>1</v>
      </c>
      <c r="N67" s="257">
        <v>15</v>
      </c>
      <c r="O67" s="257">
        <f t="shared" si="3"/>
        <v>0</v>
      </c>
      <c r="P67" s="257">
        <v>0</v>
      </c>
      <c r="R67" s="256" t="s">
        <v>2352</v>
      </c>
      <c r="S67" s="256">
        <v>30</v>
      </c>
      <c r="T67" s="256">
        <v>15</v>
      </c>
      <c r="U67" s="226"/>
    </row>
    <row r="68" spans="1:21" ht="14.1" customHeight="1" thickBot="1">
      <c r="A68" t="s">
        <v>2335</v>
      </c>
      <c r="B68" s="75">
        <v>1052.9572020000001</v>
      </c>
      <c r="C68" s="73">
        <f t="shared" si="0"/>
        <v>21</v>
      </c>
      <c r="D68" s="86">
        <f t="shared" si="1"/>
        <v>86</v>
      </c>
      <c r="E68" s="86">
        <v>0</v>
      </c>
      <c r="F68" s="86">
        <v>0</v>
      </c>
      <c r="G68" s="86">
        <v>0</v>
      </c>
      <c r="H68" s="86">
        <v>0</v>
      </c>
      <c r="I68" s="86">
        <v>0</v>
      </c>
      <c r="J68" s="86">
        <v>0</v>
      </c>
      <c r="K68" s="86">
        <v>0</v>
      </c>
      <c r="L68" s="86">
        <f t="shared" si="2"/>
        <v>1</v>
      </c>
      <c r="M68" s="257">
        <v>0</v>
      </c>
      <c r="N68" s="257">
        <v>0</v>
      </c>
      <c r="O68" s="257">
        <f t="shared" si="3"/>
        <v>1</v>
      </c>
      <c r="P68" s="257">
        <v>15</v>
      </c>
      <c r="R68" s="256" t="s">
        <v>2353</v>
      </c>
      <c r="S68" s="256">
        <v>29</v>
      </c>
      <c r="T68" s="256">
        <v>15</v>
      </c>
      <c r="U68" s="226"/>
    </row>
    <row r="69" spans="1:21" ht="14.1" customHeight="1" thickBot="1">
      <c r="A69" s="74" t="s">
        <v>2354</v>
      </c>
      <c r="B69" s="75">
        <v>1032.3993350000001</v>
      </c>
      <c r="C69" s="73">
        <v>20</v>
      </c>
      <c r="D69" s="86">
        <f t="shared" si="1"/>
        <v>87</v>
      </c>
      <c r="E69" s="86">
        <v>0</v>
      </c>
      <c r="F69" s="86">
        <v>0</v>
      </c>
      <c r="G69" s="86">
        <v>1</v>
      </c>
      <c r="H69" s="86">
        <v>0</v>
      </c>
      <c r="I69" s="86">
        <v>0</v>
      </c>
      <c r="J69" s="86">
        <v>0</v>
      </c>
      <c r="K69" s="86">
        <v>0</v>
      </c>
      <c r="L69" s="86">
        <f t="shared" si="2"/>
        <v>0</v>
      </c>
      <c r="M69" s="257">
        <v>0</v>
      </c>
      <c r="N69" s="257">
        <v>0</v>
      </c>
      <c r="O69" s="257">
        <f t="shared" si="3"/>
        <v>0</v>
      </c>
      <c r="P69" s="257">
        <v>0</v>
      </c>
      <c r="R69" s="256" t="s">
        <v>2355</v>
      </c>
      <c r="S69" s="256">
        <v>27</v>
      </c>
      <c r="T69" s="256">
        <v>14</v>
      </c>
      <c r="U69" s="226"/>
    </row>
    <row r="70" spans="1:21" ht="14.1" customHeight="1" thickBot="1">
      <c r="A70" s="74" t="s">
        <v>2356</v>
      </c>
      <c r="B70" s="75">
        <v>4.8854340000000001</v>
      </c>
      <c r="C70" s="73">
        <f t="shared" si="0"/>
        <v>10</v>
      </c>
      <c r="D70" s="86">
        <f t="shared" si="1"/>
        <v>188</v>
      </c>
      <c r="E70" s="86">
        <v>0</v>
      </c>
      <c r="F70" s="86">
        <v>0</v>
      </c>
      <c r="G70" s="86">
        <v>0</v>
      </c>
      <c r="H70" s="86">
        <v>0</v>
      </c>
      <c r="I70" s="86">
        <v>0</v>
      </c>
      <c r="J70" s="86">
        <v>0</v>
      </c>
      <c r="K70" s="86">
        <v>0</v>
      </c>
      <c r="L70" s="86">
        <f t="shared" si="2"/>
        <v>1</v>
      </c>
      <c r="M70" s="257">
        <v>0</v>
      </c>
      <c r="N70" s="257">
        <v>0</v>
      </c>
      <c r="O70" s="257">
        <f t="shared" si="3"/>
        <v>0</v>
      </c>
      <c r="P70" s="257">
        <v>0</v>
      </c>
      <c r="R70" s="256" t="s">
        <v>2332</v>
      </c>
      <c r="S70" s="256">
        <v>26</v>
      </c>
      <c r="T70" s="256">
        <v>13</v>
      </c>
      <c r="U70" s="226"/>
    </row>
    <row r="71" spans="1:21" ht="14.1" customHeight="1" thickBot="1">
      <c r="A71" s="74" t="s">
        <v>2357</v>
      </c>
      <c r="B71" s="75">
        <v>34.423017000000002</v>
      </c>
      <c r="C71" s="73">
        <f t="shared" si="0"/>
        <v>10</v>
      </c>
      <c r="D71" s="86">
        <f t="shared" si="1"/>
        <v>151</v>
      </c>
      <c r="E71" s="86">
        <v>0</v>
      </c>
      <c r="F71" s="86">
        <v>0</v>
      </c>
      <c r="G71" s="86">
        <v>0</v>
      </c>
      <c r="H71" s="86">
        <v>0</v>
      </c>
      <c r="I71" s="86">
        <v>0</v>
      </c>
      <c r="J71" s="86">
        <v>0</v>
      </c>
      <c r="K71" s="86">
        <v>0</v>
      </c>
      <c r="L71" s="86">
        <f t="shared" si="2"/>
        <v>1</v>
      </c>
      <c r="M71" s="257">
        <v>0</v>
      </c>
      <c r="N71" s="257">
        <v>0</v>
      </c>
      <c r="O71" s="257">
        <f t="shared" si="3"/>
        <v>0</v>
      </c>
      <c r="P71" s="257">
        <v>0</v>
      </c>
      <c r="R71" s="256" t="s">
        <v>2358</v>
      </c>
      <c r="S71" s="256">
        <v>25</v>
      </c>
      <c r="T71" s="256">
        <v>13</v>
      </c>
      <c r="U71" s="226"/>
    </row>
    <row r="72" spans="1:21" ht="14.1" customHeight="1" thickBot="1">
      <c r="A72" s="74" t="s">
        <v>2359</v>
      </c>
      <c r="B72" s="75">
        <v>60.392547999999998</v>
      </c>
      <c r="C72" s="73">
        <v>20</v>
      </c>
      <c r="D72" s="86">
        <f t="shared" si="1"/>
        <v>138</v>
      </c>
      <c r="E72" s="86">
        <v>0</v>
      </c>
      <c r="F72" s="86">
        <v>0</v>
      </c>
      <c r="G72" s="86">
        <v>1</v>
      </c>
      <c r="H72" s="86">
        <v>0</v>
      </c>
      <c r="I72" s="86">
        <v>0</v>
      </c>
      <c r="J72" s="86">
        <v>0</v>
      </c>
      <c r="K72" s="86">
        <v>0</v>
      </c>
      <c r="L72" s="86">
        <f t="shared" si="2"/>
        <v>0</v>
      </c>
      <c r="M72" s="257">
        <v>0</v>
      </c>
      <c r="N72" s="257">
        <v>0</v>
      </c>
      <c r="O72" s="257">
        <f t="shared" si="3"/>
        <v>0</v>
      </c>
      <c r="P72" s="257">
        <v>0</v>
      </c>
      <c r="R72" s="256" t="s">
        <v>2326</v>
      </c>
      <c r="S72" s="256">
        <v>22</v>
      </c>
      <c r="T72" s="256">
        <v>11</v>
      </c>
      <c r="U72" s="226"/>
    </row>
    <row r="73" spans="1:21" ht="14.1" customHeight="1" thickBot="1">
      <c r="A73" s="74" t="s">
        <v>2360</v>
      </c>
      <c r="B73" s="75">
        <v>8312.7348480000001</v>
      </c>
      <c r="C73" s="73">
        <v>20</v>
      </c>
      <c r="D73" s="86">
        <f t="shared" si="1"/>
        <v>41</v>
      </c>
      <c r="E73" s="86">
        <v>0</v>
      </c>
      <c r="F73" s="86">
        <v>0</v>
      </c>
      <c r="G73" s="86">
        <v>1</v>
      </c>
      <c r="H73" s="86">
        <v>0</v>
      </c>
      <c r="I73" s="86">
        <v>0</v>
      </c>
      <c r="J73" s="86">
        <v>0</v>
      </c>
      <c r="K73" s="86">
        <v>0</v>
      </c>
      <c r="L73" s="86">
        <f t="shared" si="2"/>
        <v>0</v>
      </c>
      <c r="M73" s="257">
        <v>0</v>
      </c>
      <c r="N73" s="257">
        <v>0</v>
      </c>
      <c r="O73" s="257">
        <f t="shared" si="3"/>
        <v>0</v>
      </c>
      <c r="P73" s="257">
        <v>0</v>
      </c>
      <c r="R73" s="256" t="s">
        <v>2347</v>
      </c>
      <c r="S73" s="256">
        <v>22</v>
      </c>
      <c r="T73" s="256">
        <v>11</v>
      </c>
      <c r="U73" s="226"/>
    </row>
    <row r="74" spans="1:21" ht="24" customHeight="1" thickBot="1">
      <c r="A74" s="74" t="s">
        <v>2361</v>
      </c>
      <c r="B74" s="75">
        <v>10242.832039999999</v>
      </c>
      <c r="C74" s="73">
        <v>20</v>
      </c>
      <c r="D74" s="86">
        <f t="shared" si="1"/>
        <v>37</v>
      </c>
      <c r="E74" s="86">
        <v>0</v>
      </c>
      <c r="F74" s="86">
        <v>0</v>
      </c>
      <c r="G74" s="86">
        <v>1</v>
      </c>
      <c r="H74" s="86">
        <v>0</v>
      </c>
      <c r="I74" s="86">
        <v>0</v>
      </c>
      <c r="J74" s="86">
        <v>0</v>
      </c>
      <c r="K74" s="86">
        <v>0</v>
      </c>
      <c r="L74" s="86">
        <f t="shared" si="2"/>
        <v>0</v>
      </c>
      <c r="M74" s="257">
        <v>0</v>
      </c>
      <c r="N74" s="257">
        <v>0</v>
      </c>
      <c r="O74" s="257">
        <f t="shared" si="3"/>
        <v>0</v>
      </c>
      <c r="P74" s="257">
        <v>0</v>
      </c>
      <c r="R74" s="256" t="s">
        <v>2263</v>
      </c>
      <c r="S74" s="256">
        <v>10</v>
      </c>
      <c r="T74" s="256">
        <v>10</v>
      </c>
      <c r="U74" s="226"/>
    </row>
    <row r="75" spans="1:21" ht="13.7" customHeight="1" thickBot="1">
      <c r="A75" s="74" t="s">
        <v>2362</v>
      </c>
      <c r="B75" s="75">
        <v>40.570236999999999</v>
      </c>
      <c r="C75" s="73">
        <f t="shared" si="0"/>
        <v>10</v>
      </c>
      <c r="D75" s="86">
        <f t="shared" si="1"/>
        <v>148</v>
      </c>
      <c r="E75" s="86">
        <v>0</v>
      </c>
      <c r="F75" s="86">
        <v>0</v>
      </c>
      <c r="G75" s="86">
        <v>0</v>
      </c>
      <c r="H75" s="86">
        <v>0</v>
      </c>
      <c r="I75" s="86">
        <v>0</v>
      </c>
      <c r="J75" s="86">
        <v>0</v>
      </c>
      <c r="K75" s="86">
        <v>0</v>
      </c>
      <c r="L75" s="86">
        <f t="shared" si="2"/>
        <v>1</v>
      </c>
      <c r="M75" s="257">
        <v>0</v>
      </c>
      <c r="N75" s="257">
        <v>0</v>
      </c>
      <c r="O75" s="257">
        <f t="shared" si="3"/>
        <v>0</v>
      </c>
      <c r="P75" s="257">
        <v>0</v>
      </c>
      <c r="R75" s="256" t="s">
        <v>2267</v>
      </c>
      <c r="S75" s="256">
        <v>10</v>
      </c>
      <c r="T75" s="256">
        <v>10</v>
      </c>
      <c r="U75" s="226"/>
    </row>
    <row r="76" spans="1:21" ht="14.1" customHeight="1" thickBot="1">
      <c r="A76" s="74" t="s">
        <v>2363</v>
      </c>
      <c r="B76" s="75">
        <v>2.3861859999999999</v>
      </c>
      <c r="C76" s="73">
        <f t="shared" si="0"/>
        <v>10</v>
      </c>
      <c r="D76" s="86">
        <f t="shared" si="1"/>
        <v>203</v>
      </c>
      <c r="E76" s="86">
        <v>0</v>
      </c>
      <c r="F76" s="86">
        <v>0</v>
      </c>
      <c r="G76" s="86">
        <v>0</v>
      </c>
      <c r="H76" s="86">
        <v>0</v>
      </c>
      <c r="I76" s="86">
        <v>0</v>
      </c>
      <c r="J76" s="86">
        <v>0</v>
      </c>
      <c r="K76" s="86">
        <v>0</v>
      </c>
      <c r="L76" s="86">
        <f t="shared" si="2"/>
        <v>1</v>
      </c>
      <c r="M76" s="257">
        <v>0</v>
      </c>
      <c r="N76" s="257">
        <v>0</v>
      </c>
      <c r="O76" s="257">
        <f t="shared" si="3"/>
        <v>0</v>
      </c>
      <c r="P76" s="257">
        <v>0</v>
      </c>
      <c r="R76" s="256" t="s">
        <v>2271</v>
      </c>
      <c r="S76" s="256">
        <v>10</v>
      </c>
      <c r="T76" s="256">
        <v>10</v>
      </c>
      <c r="U76" s="226"/>
    </row>
    <row r="77" spans="1:21" ht="14.1" customHeight="1" thickBot="1">
      <c r="A77" s="74" t="s">
        <v>2364</v>
      </c>
      <c r="B77" s="75">
        <v>7726.3138440000002</v>
      </c>
      <c r="C77" s="73">
        <f t="shared" si="0"/>
        <v>10</v>
      </c>
      <c r="D77" s="86">
        <f t="shared" si="1"/>
        <v>45</v>
      </c>
      <c r="E77" s="86">
        <v>0</v>
      </c>
      <c r="F77" s="86">
        <v>0</v>
      </c>
      <c r="G77" s="86">
        <v>0</v>
      </c>
      <c r="H77" s="86">
        <v>0</v>
      </c>
      <c r="I77" s="86">
        <v>0</v>
      </c>
      <c r="J77" s="86">
        <v>0</v>
      </c>
      <c r="K77" s="86">
        <v>1</v>
      </c>
      <c r="L77" s="86">
        <f t="shared" si="2"/>
        <v>0</v>
      </c>
      <c r="M77" s="257">
        <v>0</v>
      </c>
      <c r="N77" s="257">
        <v>0</v>
      </c>
      <c r="O77" s="257">
        <f t="shared" si="3"/>
        <v>0</v>
      </c>
      <c r="P77" s="257">
        <v>0</v>
      </c>
      <c r="R77" s="256" t="s">
        <v>2275</v>
      </c>
      <c r="S77" s="256">
        <v>10</v>
      </c>
      <c r="T77" s="256">
        <v>10</v>
      </c>
      <c r="U77" s="226"/>
    </row>
    <row r="78" spans="1:21" ht="24" customHeight="1" thickBot="1">
      <c r="A78" s="74" t="s">
        <v>2365</v>
      </c>
      <c r="B78" s="75">
        <v>9095.4024630000004</v>
      </c>
      <c r="C78" s="73">
        <f t="shared" si="0"/>
        <v>10</v>
      </c>
      <c r="D78" s="86">
        <f t="shared" si="1"/>
        <v>39</v>
      </c>
      <c r="E78" s="86">
        <v>0</v>
      </c>
      <c r="F78" s="86">
        <v>0</v>
      </c>
      <c r="G78" s="86">
        <v>0</v>
      </c>
      <c r="H78" s="86">
        <v>0</v>
      </c>
      <c r="I78" s="86">
        <v>0</v>
      </c>
      <c r="J78" s="86">
        <v>0</v>
      </c>
      <c r="K78" s="86">
        <v>0</v>
      </c>
      <c r="L78" s="86">
        <f t="shared" si="2"/>
        <v>1</v>
      </c>
      <c r="M78" s="257">
        <v>0</v>
      </c>
      <c r="N78" s="257">
        <v>0</v>
      </c>
      <c r="O78" s="257">
        <f t="shared" si="3"/>
        <v>1</v>
      </c>
      <c r="P78" s="257">
        <v>15</v>
      </c>
      <c r="R78" s="256" t="s">
        <v>2277</v>
      </c>
      <c r="S78" s="256">
        <v>10</v>
      </c>
      <c r="T78" s="256">
        <v>10</v>
      </c>
      <c r="U78" s="226"/>
    </row>
    <row r="79" spans="1:21" ht="13.7" customHeight="1" thickBot="1">
      <c r="A79" s="74" t="s">
        <v>2366</v>
      </c>
      <c r="B79" s="75">
        <v>2718.2867110000002</v>
      </c>
      <c r="C79" s="73">
        <f t="shared" si="0"/>
        <v>10</v>
      </c>
      <c r="D79" s="86">
        <f t="shared" si="1"/>
        <v>65</v>
      </c>
      <c r="E79" s="86">
        <v>0</v>
      </c>
      <c r="F79" s="86">
        <v>0</v>
      </c>
      <c r="G79" s="86">
        <v>0</v>
      </c>
      <c r="H79" s="86">
        <v>0</v>
      </c>
      <c r="I79" s="86">
        <v>0</v>
      </c>
      <c r="J79" s="86">
        <v>0</v>
      </c>
      <c r="K79" s="86">
        <v>1</v>
      </c>
      <c r="L79" s="86">
        <f t="shared" si="2"/>
        <v>0</v>
      </c>
      <c r="M79" s="257">
        <v>0</v>
      </c>
      <c r="N79" s="257">
        <v>0</v>
      </c>
      <c r="O79" s="257">
        <f t="shared" si="3"/>
        <v>0</v>
      </c>
      <c r="P79" s="257">
        <v>0</v>
      </c>
      <c r="R79" s="256" t="s">
        <v>2279</v>
      </c>
      <c r="S79" s="256">
        <v>10</v>
      </c>
      <c r="T79" s="256">
        <v>10</v>
      </c>
      <c r="U79" s="226"/>
    </row>
    <row r="80" spans="1:21" ht="14.1" customHeight="1" thickBot="1">
      <c r="A80" s="74" t="s">
        <v>2367</v>
      </c>
      <c r="B80" s="75">
        <v>2409.5398690000002</v>
      </c>
      <c r="C80" s="73">
        <f t="shared" si="0"/>
        <v>10</v>
      </c>
      <c r="D80" s="86">
        <f t="shared" si="1"/>
        <v>68</v>
      </c>
      <c r="E80" s="86">
        <v>0</v>
      </c>
      <c r="F80" s="86">
        <v>0</v>
      </c>
      <c r="G80" s="86">
        <v>0</v>
      </c>
      <c r="H80" s="86">
        <v>0</v>
      </c>
      <c r="I80" s="86">
        <v>0</v>
      </c>
      <c r="J80" s="86">
        <v>0</v>
      </c>
      <c r="K80" s="86">
        <v>0</v>
      </c>
      <c r="L80" s="86">
        <f t="shared" si="2"/>
        <v>1</v>
      </c>
      <c r="M80" s="257">
        <v>0</v>
      </c>
      <c r="N80" s="257">
        <v>0</v>
      </c>
      <c r="O80" s="257">
        <f t="shared" si="3"/>
        <v>0</v>
      </c>
      <c r="P80" s="257">
        <v>0</v>
      </c>
      <c r="R80" s="256" t="s">
        <v>2368</v>
      </c>
      <c r="S80" s="256">
        <v>10</v>
      </c>
      <c r="T80" s="256">
        <v>10</v>
      </c>
      <c r="U80" s="226"/>
    </row>
    <row r="81" spans="1:241" ht="14.1" customHeight="1" thickBot="1">
      <c r="A81" s="74" t="s">
        <v>2358</v>
      </c>
      <c r="B81" s="75">
        <v>137.845483</v>
      </c>
      <c r="C81" s="73">
        <f t="shared" si="0"/>
        <v>13</v>
      </c>
      <c r="D81" s="86">
        <f t="shared" si="1"/>
        <v>124</v>
      </c>
      <c r="E81" s="86">
        <v>0</v>
      </c>
      <c r="F81" s="86">
        <v>0</v>
      </c>
      <c r="G81" s="86">
        <v>0</v>
      </c>
      <c r="H81" s="86">
        <v>0</v>
      </c>
      <c r="I81" s="86">
        <v>0</v>
      </c>
      <c r="J81" s="86">
        <v>0</v>
      </c>
      <c r="K81" s="86">
        <v>0</v>
      </c>
      <c r="L81" s="86">
        <f t="shared" si="2"/>
        <v>1</v>
      </c>
      <c r="M81" s="257">
        <v>0</v>
      </c>
      <c r="N81" s="257">
        <v>0</v>
      </c>
      <c r="O81" s="257">
        <f t="shared" si="3"/>
        <v>1</v>
      </c>
      <c r="P81" s="257">
        <v>15</v>
      </c>
      <c r="R81" s="256" t="s">
        <v>2285</v>
      </c>
      <c r="S81" s="256">
        <v>10</v>
      </c>
      <c r="T81" s="256">
        <v>10</v>
      </c>
      <c r="U81" s="226"/>
    </row>
    <row r="82" spans="1:241" ht="14.1" customHeight="1" thickBot="1">
      <c r="A82" s="74" t="s">
        <v>2369</v>
      </c>
      <c r="B82" s="75">
        <v>0.88547900000000002</v>
      </c>
      <c r="C82" s="73">
        <f t="shared" ref="C82:C145" si="4">IF(SUMIFS($T$18:$T$177,$R$18:$R$177,A82)=0,10,SUMIFS($T$18:$T$177,$R$18:$R$177,A82))</f>
        <v>10</v>
      </c>
      <c r="D82" s="86">
        <f t="shared" ref="D82:D145" si="5">RANK(B82,$B$17:$B$249)</f>
        <v>217</v>
      </c>
      <c r="E82" s="86">
        <v>0</v>
      </c>
      <c r="F82" s="86">
        <v>0</v>
      </c>
      <c r="G82" s="86">
        <v>0</v>
      </c>
      <c r="H82" s="86">
        <v>0</v>
      </c>
      <c r="I82" s="86">
        <v>0</v>
      </c>
      <c r="J82" s="86">
        <v>0</v>
      </c>
      <c r="K82" s="86">
        <v>0</v>
      </c>
      <c r="L82" s="86">
        <f t="shared" ref="L82:L145" si="6">1-SUM(E82:K82)</f>
        <v>1</v>
      </c>
      <c r="M82" s="257">
        <v>0</v>
      </c>
      <c r="N82" s="257">
        <v>0</v>
      </c>
      <c r="O82" s="257">
        <f t="shared" ref="O82:O145" si="7">IF(P82&gt;0,1,0)</f>
        <v>0</v>
      </c>
      <c r="P82" s="257">
        <v>0</v>
      </c>
      <c r="R82" s="256" t="s">
        <v>2287</v>
      </c>
      <c r="S82" s="256">
        <v>10</v>
      </c>
      <c r="T82" s="256">
        <v>10</v>
      </c>
      <c r="U82" s="226"/>
    </row>
    <row r="83" spans="1:241" ht="14.1" customHeight="1" thickBot="1">
      <c r="A83" s="74" t="s">
        <v>2370</v>
      </c>
      <c r="B83" s="75">
        <v>1097.2427379999999</v>
      </c>
      <c r="C83" s="73">
        <v>20</v>
      </c>
      <c r="D83" s="86">
        <f t="shared" si="5"/>
        <v>85</v>
      </c>
      <c r="E83" s="86">
        <v>0</v>
      </c>
      <c r="F83" s="86">
        <v>0</v>
      </c>
      <c r="G83" s="86">
        <v>1</v>
      </c>
      <c r="H83" s="86">
        <v>0</v>
      </c>
      <c r="I83" s="86">
        <v>0</v>
      </c>
      <c r="J83" s="86">
        <v>0</v>
      </c>
      <c r="K83" s="86">
        <v>0</v>
      </c>
      <c r="L83" s="86">
        <f t="shared" si="6"/>
        <v>0</v>
      </c>
      <c r="M83" s="257">
        <v>0</v>
      </c>
      <c r="N83" s="257">
        <v>0</v>
      </c>
      <c r="O83" s="257">
        <f t="shared" si="7"/>
        <v>0</v>
      </c>
      <c r="P83" s="257">
        <v>0</v>
      </c>
      <c r="R83" s="256" t="s">
        <v>2289</v>
      </c>
      <c r="S83" s="256">
        <v>10</v>
      </c>
      <c r="T83" s="256">
        <v>10</v>
      </c>
      <c r="U83" s="226"/>
    </row>
    <row r="84" spans="1:241" ht="14.1" customHeight="1" thickBot="1">
      <c r="A84" s="74" t="s">
        <v>2371</v>
      </c>
      <c r="B84" s="75">
        <v>23.309481000000002</v>
      </c>
      <c r="C84" s="73">
        <f t="shared" si="4"/>
        <v>10</v>
      </c>
      <c r="D84" s="86">
        <f t="shared" si="5"/>
        <v>161</v>
      </c>
      <c r="E84" s="86">
        <v>0</v>
      </c>
      <c r="F84" s="86">
        <v>0</v>
      </c>
      <c r="G84" s="86">
        <v>0</v>
      </c>
      <c r="H84" s="86">
        <v>0</v>
      </c>
      <c r="I84" s="86">
        <v>0</v>
      </c>
      <c r="J84" s="86">
        <v>0</v>
      </c>
      <c r="K84" s="86">
        <v>0</v>
      </c>
      <c r="L84" s="86">
        <f t="shared" si="6"/>
        <v>1</v>
      </c>
      <c r="M84" s="257">
        <v>0</v>
      </c>
      <c r="N84" s="257">
        <v>0</v>
      </c>
      <c r="O84" s="257">
        <f t="shared" si="7"/>
        <v>0</v>
      </c>
      <c r="P84" s="257">
        <v>0</v>
      </c>
      <c r="R84" s="256" t="s">
        <v>2298</v>
      </c>
      <c r="S84" s="256">
        <v>10</v>
      </c>
      <c r="T84" s="256">
        <v>10</v>
      </c>
      <c r="U84" s="226"/>
    </row>
    <row r="85" spans="1:241" ht="14.25" customHeight="1" thickBot="1">
      <c r="A85" s="74" t="s">
        <v>2372</v>
      </c>
      <c r="B85" s="75">
        <v>488.73177299999998</v>
      </c>
      <c r="C85" s="73">
        <f t="shared" si="4"/>
        <v>10</v>
      </c>
      <c r="D85" s="86">
        <f t="shared" si="5"/>
        <v>98</v>
      </c>
      <c r="E85" s="86">
        <v>0</v>
      </c>
      <c r="F85" s="86">
        <v>0</v>
      </c>
      <c r="G85" s="86">
        <v>0</v>
      </c>
      <c r="H85" s="86">
        <v>0</v>
      </c>
      <c r="I85" s="86">
        <v>0</v>
      </c>
      <c r="J85" s="86">
        <v>0</v>
      </c>
      <c r="K85" s="86">
        <v>0</v>
      </c>
      <c r="L85" s="86">
        <f t="shared" si="6"/>
        <v>1</v>
      </c>
      <c r="M85" s="257">
        <v>0</v>
      </c>
      <c r="N85" s="257">
        <v>0</v>
      </c>
      <c r="O85" s="257">
        <f t="shared" si="7"/>
        <v>0</v>
      </c>
      <c r="P85" s="257">
        <v>0</v>
      </c>
      <c r="R85" s="256" t="s">
        <v>2303</v>
      </c>
      <c r="S85" s="256">
        <v>10</v>
      </c>
      <c r="T85" s="256">
        <v>10</v>
      </c>
      <c r="U85" s="226"/>
    </row>
    <row r="86" spans="1:241" ht="23.25" customHeight="1" thickBot="1">
      <c r="A86" s="74" t="s">
        <v>2280</v>
      </c>
      <c r="B86" s="75">
        <v>23.327392</v>
      </c>
      <c r="C86" s="73">
        <f t="shared" si="4"/>
        <v>41</v>
      </c>
      <c r="D86" s="86">
        <f t="shared" si="5"/>
        <v>160</v>
      </c>
      <c r="E86" s="86">
        <v>0</v>
      </c>
      <c r="F86" s="86">
        <v>0</v>
      </c>
      <c r="G86" s="86">
        <v>0</v>
      </c>
      <c r="H86" s="86">
        <v>0</v>
      </c>
      <c r="I86" s="86">
        <v>0</v>
      </c>
      <c r="J86" s="86">
        <v>0</v>
      </c>
      <c r="K86" s="86">
        <v>0</v>
      </c>
      <c r="L86" s="86">
        <f t="shared" si="6"/>
        <v>1</v>
      </c>
      <c r="M86" s="257">
        <v>0</v>
      </c>
      <c r="N86" s="257">
        <v>0</v>
      </c>
      <c r="O86" s="257">
        <f t="shared" si="7"/>
        <v>1</v>
      </c>
      <c r="P86" s="257">
        <v>10</v>
      </c>
      <c r="R86" s="256" t="s">
        <v>2304</v>
      </c>
      <c r="S86" s="256">
        <v>20</v>
      </c>
      <c r="T86" s="256">
        <v>10</v>
      </c>
      <c r="U86" s="226"/>
    </row>
    <row r="87" spans="1:241" ht="12.75" customHeight="1" thickBot="1">
      <c r="A87" s="74" t="s">
        <v>2373</v>
      </c>
      <c r="B87" s="75">
        <v>286.23243300000001</v>
      </c>
      <c r="C87" s="73">
        <f t="shared" si="4"/>
        <v>10</v>
      </c>
      <c r="D87" s="86">
        <f t="shared" si="5"/>
        <v>104</v>
      </c>
      <c r="E87" s="86">
        <v>0</v>
      </c>
      <c r="F87" s="86">
        <v>0</v>
      </c>
      <c r="G87" s="86">
        <v>0</v>
      </c>
      <c r="H87" s="86">
        <v>0</v>
      </c>
      <c r="I87" s="86">
        <v>0</v>
      </c>
      <c r="J87" s="86">
        <v>0</v>
      </c>
      <c r="K87" s="86">
        <v>0</v>
      </c>
      <c r="L87" s="86">
        <f t="shared" si="6"/>
        <v>1</v>
      </c>
      <c r="M87" s="257">
        <v>0</v>
      </c>
      <c r="N87" s="257">
        <v>0</v>
      </c>
      <c r="O87" s="257">
        <f t="shared" si="7"/>
        <v>0</v>
      </c>
      <c r="P87" s="257">
        <v>0</v>
      </c>
      <c r="R87" s="256" t="s">
        <v>2308</v>
      </c>
      <c r="S87" s="256">
        <v>10</v>
      </c>
      <c r="T87" s="256">
        <v>10</v>
      </c>
      <c r="U87" s="226"/>
    </row>
    <row r="88" spans="1:241" ht="14.1" customHeight="1" thickBot="1">
      <c r="A88" s="74" t="s">
        <v>2305</v>
      </c>
      <c r="B88" s="75">
        <v>347.47295000000003</v>
      </c>
      <c r="C88" s="73">
        <f t="shared" si="4"/>
        <v>32</v>
      </c>
      <c r="D88" s="86">
        <f t="shared" si="5"/>
        <v>102</v>
      </c>
      <c r="E88" s="86">
        <v>0</v>
      </c>
      <c r="F88" s="86">
        <v>0</v>
      </c>
      <c r="G88" s="86">
        <v>0</v>
      </c>
      <c r="H88" s="86">
        <v>0</v>
      </c>
      <c r="I88" s="86">
        <v>0</v>
      </c>
      <c r="J88" s="86">
        <v>0</v>
      </c>
      <c r="K88" s="86">
        <v>0</v>
      </c>
      <c r="L88" s="86">
        <f t="shared" si="6"/>
        <v>1</v>
      </c>
      <c r="M88" s="257">
        <v>0</v>
      </c>
      <c r="N88" s="257">
        <v>0</v>
      </c>
      <c r="O88" s="257">
        <f t="shared" si="7"/>
        <v>1</v>
      </c>
      <c r="P88" s="257">
        <v>15</v>
      </c>
      <c r="R88" s="256" t="s">
        <v>2374</v>
      </c>
      <c r="S88" s="256">
        <v>10</v>
      </c>
      <c r="T88" s="256">
        <v>10</v>
      </c>
      <c r="U88" s="226"/>
    </row>
    <row r="89" spans="1:241" ht="14.1" customHeight="1" thickBot="1">
      <c r="A89" s="74" t="s">
        <v>2375</v>
      </c>
      <c r="B89" s="75">
        <v>8246.9571570000007</v>
      </c>
      <c r="C89" s="73">
        <v>20</v>
      </c>
      <c r="D89" s="86">
        <f t="shared" si="5"/>
        <v>43</v>
      </c>
      <c r="E89" s="86">
        <v>0</v>
      </c>
      <c r="F89" s="86">
        <v>0</v>
      </c>
      <c r="G89" s="86">
        <v>1</v>
      </c>
      <c r="H89" s="86">
        <v>0</v>
      </c>
      <c r="I89" s="86">
        <v>0</v>
      </c>
      <c r="J89" s="86">
        <v>0</v>
      </c>
      <c r="K89" s="86">
        <v>0</v>
      </c>
      <c r="L89" s="86">
        <f t="shared" si="6"/>
        <v>0</v>
      </c>
      <c r="M89" s="257">
        <v>0</v>
      </c>
      <c r="N89" s="257">
        <v>0</v>
      </c>
      <c r="O89" s="257">
        <f t="shared" si="7"/>
        <v>0</v>
      </c>
      <c r="P89" s="257">
        <v>0</v>
      </c>
      <c r="R89" s="256" t="s">
        <v>2321</v>
      </c>
      <c r="S89" s="256">
        <v>10</v>
      </c>
      <c r="T89" s="256">
        <v>10</v>
      </c>
      <c r="U89" s="226"/>
    </row>
    <row r="90" spans="1:241" ht="14.1" customHeight="1" thickBot="1">
      <c r="A90" s="74" t="s">
        <v>2376</v>
      </c>
      <c r="B90" s="75">
        <v>61052.880988999997</v>
      </c>
      <c r="C90" s="73">
        <v>20</v>
      </c>
      <c r="D90" s="86">
        <f t="shared" si="5"/>
        <v>15</v>
      </c>
      <c r="E90" s="86">
        <v>0</v>
      </c>
      <c r="F90" s="86">
        <v>0</v>
      </c>
      <c r="G90" s="86">
        <v>1</v>
      </c>
      <c r="H90" s="86">
        <v>0</v>
      </c>
      <c r="I90" s="86">
        <v>0</v>
      </c>
      <c r="J90" s="86">
        <v>0</v>
      </c>
      <c r="K90" s="86">
        <v>0</v>
      </c>
      <c r="L90" s="86">
        <f t="shared" si="6"/>
        <v>0</v>
      </c>
      <c r="M90" s="257">
        <v>0</v>
      </c>
      <c r="N90" s="257">
        <v>0</v>
      </c>
      <c r="O90" s="257">
        <f t="shared" si="7"/>
        <v>0</v>
      </c>
      <c r="P90" s="257">
        <v>0</v>
      </c>
      <c r="R90" s="256" t="s">
        <v>2323</v>
      </c>
      <c r="S90" s="256">
        <v>10</v>
      </c>
      <c r="T90" s="256">
        <v>10</v>
      </c>
      <c r="U90" s="226"/>
    </row>
    <row r="91" spans="1:241" ht="14.1" customHeight="1" thickBot="1">
      <c r="A91" s="74" t="s">
        <v>2377</v>
      </c>
      <c r="B91" s="75">
        <v>1.8681179999999999</v>
      </c>
      <c r="C91" s="73">
        <f t="shared" si="4"/>
        <v>10</v>
      </c>
      <c r="D91" s="86">
        <f t="shared" si="5"/>
        <v>209</v>
      </c>
      <c r="E91" s="86">
        <v>0</v>
      </c>
      <c r="F91" s="86">
        <v>0</v>
      </c>
      <c r="G91" s="86">
        <v>0</v>
      </c>
      <c r="H91" s="86">
        <v>0</v>
      </c>
      <c r="I91" s="86">
        <v>0</v>
      </c>
      <c r="J91" s="86">
        <v>0</v>
      </c>
      <c r="K91" s="86">
        <v>0</v>
      </c>
      <c r="L91" s="86">
        <f t="shared" si="6"/>
        <v>1</v>
      </c>
      <c r="M91" s="257">
        <v>0</v>
      </c>
      <c r="N91" s="257">
        <v>0</v>
      </c>
      <c r="O91" s="257">
        <f t="shared" si="7"/>
        <v>0</v>
      </c>
      <c r="P91" s="257">
        <v>0</v>
      </c>
      <c r="R91" s="256" t="s">
        <v>2331</v>
      </c>
      <c r="S91" s="256">
        <v>10</v>
      </c>
      <c r="T91" s="256">
        <v>10</v>
      </c>
      <c r="U91" s="226"/>
    </row>
    <row r="92" spans="1:241" ht="14.1" customHeight="1" thickBot="1">
      <c r="A92" s="74" t="s">
        <v>2378</v>
      </c>
      <c r="B92" s="75">
        <v>43.603650999999999</v>
      </c>
      <c r="C92" s="73">
        <f t="shared" si="4"/>
        <v>10</v>
      </c>
      <c r="D92" s="86">
        <f t="shared" si="5"/>
        <v>145</v>
      </c>
      <c r="E92" s="86">
        <v>0</v>
      </c>
      <c r="F92" s="86">
        <v>0</v>
      </c>
      <c r="G92" s="86">
        <v>0</v>
      </c>
      <c r="H92" s="86">
        <v>0</v>
      </c>
      <c r="I92" s="86">
        <v>0</v>
      </c>
      <c r="J92" s="86">
        <v>0</v>
      </c>
      <c r="K92" s="86">
        <v>0</v>
      </c>
      <c r="L92" s="86">
        <f t="shared" si="6"/>
        <v>1</v>
      </c>
      <c r="M92" s="257">
        <v>0</v>
      </c>
      <c r="N92" s="257">
        <v>0</v>
      </c>
      <c r="O92" s="257">
        <f t="shared" si="7"/>
        <v>0</v>
      </c>
      <c r="P92" s="257">
        <v>0</v>
      </c>
      <c r="R92" s="256" t="s">
        <v>2379</v>
      </c>
      <c r="S92" s="256">
        <v>10</v>
      </c>
      <c r="T92" s="256">
        <v>10</v>
      </c>
      <c r="U92" s="226"/>
    </row>
    <row r="93" spans="1:241" ht="14.25" customHeight="1" thickBot="1">
      <c r="A93" s="74" t="s">
        <v>2380</v>
      </c>
      <c r="B93" s="75" t="s">
        <v>2381</v>
      </c>
      <c r="C93" s="73">
        <f t="shared" si="4"/>
        <v>10</v>
      </c>
      <c r="D93" s="86" t="e">
        <f t="shared" si="5"/>
        <v>#VALUE!</v>
      </c>
      <c r="E93" s="86">
        <v>0</v>
      </c>
      <c r="F93" s="86">
        <v>0</v>
      </c>
      <c r="G93" s="86">
        <v>0</v>
      </c>
      <c r="H93" s="86">
        <v>0</v>
      </c>
      <c r="I93" s="86">
        <v>0</v>
      </c>
      <c r="J93" s="86">
        <v>0</v>
      </c>
      <c r="K93" s="86">
        <v>0</v>
      </c>
      <c r="L93" s="86">
        <f t="shared" si="6"/>
        <v>1</v>
      </c>
      <c r="M93" s="257">
        <v>0</v>
      </c>
      <c r="N93" s="257">
        <v>0</v>
      </c>
      <c r="O93" s="257">
        <f t="shared" si="7"/>
        <v>0</v>
      </c>
      <c r="P93" s="257">
        <v>0</v>
      </c>
      <c r="R93" s="256" t="s">
        <v>2337</v>
      </c>
      <c r="S93" s="256">
        <v>10</v>
      </c>
      <c r="T93" s="256">
        <v>10</v>
      </c>
      <c r="U93" s="226"/>
    </row>
    <row r="94" spans="1:241" ht="23.25" customHeight="1" thickBot="1">
      <c r="A94" s="74" t="s">
        <v>2382</v>
      </c>
      <c r="B94" s="75">
        <v>183.209867</v>
      </c>
      <c r="C94" s="73">
        <f t="shared" si="4"/>
        <v>10</v>
      </c>
      <c r="D94" s="86">
        <f t="shared" si="5"/>
        <v>117</v>
      </c>
      <c r="E94" s="86">
        <v>0</v>
      </c>
      <c r="F94" s="86">
        <v>0</v>
      </c>
      <c r="G94" s="86">
        <v>0</v>
      </c>
      <c r="H94" s="86">
        <v>0</v>
      </c>
      <c r="I94" s="86">
        <v>0</v>
      </c>
      <c r="J94" s="86">
        <v>0</v>
      </c>
      <c r="K94" s="86">
        <v>0</v>
      </c>
      <c r="L94" s="86">
        <f t="shared" si="6"/>
        <v>1</v>
      </c>
      <c r="M94" s="257">
        <v>0</v>
      </c>
      <c r="N94" s="257">
        <v>0</v>
      </c>
      <c r="O94" s="257">
        <f t="shared" si="7"/>
        <v>0</v>
      </c>
      <c r="P94" s="257">
        <v>0</v>
      </c>
      <c r="R94" s="256" t="s">
        <v>2339</v>
      </c>
      <c r="S94" s="256">
        <v>10</v>
      </c>
      <c r="T94" s="256">
        <v>10</v>
      </c>
      <c r="U94" s="226"/>
    </row>
    <row r="95" spans="1:241" ht="13.7" customHeight="1" thickBot="1">
      <c r="A95" s="74" t="s">
        <v>2383</v>
      </c>
      <c r="B95" s="75">
        <v>2.1666400000000001</v>
      </c>
      <c r="C95" s="73">
        <f t="shared" si="4"/>
        <v>10</v>
      </c>
      <c r="D95" s="86">
        <f t="shared" si="5"/>
        <v>206</v>
      </c>
      <c r="E95" s="86">
        <v>0</v>
      </c>
      <c r="F95" s="86">
        <v>0</v>
      </c>
      <c r="G95" s="86">
        <v>0</v>
      </c>
      <c r="H95" s="86">
        <v>0</v>
      </c>
      <c r="I95" s="86">
        <v>0</v>
      </c>
      <c r="J95" s="86">
        <v>0</v>
      </c>
      <c r="K95" s="86">
        <v>0</v>
      </c>
      <c r="L95" s="86">
        <f t="shared" si="6"/>
        <v>1</v>
      </c>
      <c r="M95" s="257">
        <v>0</v>
      </c>
      <c r="N95" s="257">
        <v>0</v>
      </c>
      <c r="O95" s="257">
        <f t="shared" si="7"/>
        <v>0</v>
      </c>
      <c r="P95" s="257">
        <v>0</v>
      </c>
      <c r="R95" s="256" t="s">
        <v>2384</v>
      </c>
      <c r="S95" s="256">
        <v>10</v>
      </c>
      <c r="T95" s="256">
        <v>10</v>
      </c>
      <c r="U95" s="226"/>
    </row>
    <row r="96" spans="1:241" ht="14.1" customHeight="1" thickBot="1">
      <c r="A96" s="74" t="s">
        <v>2385</v>
      </c>
      <c r="B96" s="75">
        <v>0.21426400000000001</v>
      </c>
      <c r="C96" s="73">
        <f t="shared" si="4"/>
        <v>10</v>
      </c>
      <c r="D96" s="86">
        <f t="shared" si="5"/>
        <v>223</v>
      </c>
      <c r="E96" s="86">
        <v>0</v>
      </c>
      <c r="F96" s="86">
        <v>0</v>
      </c>
      <c r="G96" s="86">
        <v>0</v>
      </c>
      <c r="H96" s="86">
        <v>0</v>
      </c>
      <c r="I96" s="86">
        <v>0</v>
      </c>
      <c r="J96" s="86">
        <v>0</v>
      </c>
      <c r="K96" s="86">
        <v>0</v>
      </c>
      <c r="L96" s="86">
        <f t="shared" si="6"/>
        <v>1</v>
      </c>
      <c r="M96" s="257">
        <v>0</v>
      </c>
      <c r="N96" s="257">
        <v>0</v>
      </c>
      <c r="O96" s="257">
        <f t="shared" si="7"/>
        <v>0</v>
      </c>
      <c r="P96" s="257">
        <v>0</v>
      </c>
      <c r="R96" s="256" t="s">
        <v>2343</v>
      </c>
      <c r="S96" s="256">
        <v>10</v>
      </c>
      <c r="T96" s="256">
        <v>10</v>
      </c>
      <c r="U96" s="22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76"/>
      <c r="BK96" s="76"/>
      <c r="BL96" s="76"/>
      <c r="BM96" s="76"/>
      <c r="BN96" s="76"/>
      <c r="BO96" s="76"/>
      <c r="BP96" s="76"/>
      <c r="BQ96" s="76"/>
      <c r="BR96" s="76"/>
      <c r="BS96" s="76"/>
      <c r="BT96" s="76"/>
      <c r="BU96" s="76"/>
      <c r="BV96" s="76"/>
      <c r="BW96" s="76"/>
      <c r="BX96" s="76"/>
      <c r="BY96" s="76"/>
      <c r="BZ96" s="76"/>
      <c r="CA96" s="76"/>
      <c r="CB96" s="76"/>
      <c r="CC96" s="76"/>
      <c r="CD96" s="76"/>
      <c r="CE96" s="76"/>
      <c r="CF96" s="76"/>
      <c r="CG96" s="76"/>
      <c r="CH96" s="76"/>
      <c r="CI96" s="76"/>
      <c r="CJ96" s="76"/>
      <c r="CK96" s="76"/>
      <c r="CL96" s="76"/>
      <c r="CM96" s="76"/>
      <c r="CN96" s="76"/>
      <c r="CO96" s="76"/>
      <c r="CP96" s="76"/>
      <c r="CQ96" s="76"/>
      <c r="CR96" s="76"/>
      <c r="CS96" s="76"/>
      <c r="CT96" s="76"/>
      <c r="CU96" s="76"/>
      <c r="CV96" s="76"/>
      <c r="CW96" s="76"/>
      <c r="CX96" s="76"/>
      <c r="CY96" s="76"/>
      <c r="CZ96" s="76"/>
      <c r="DA96" s="76"/>
      <c r="DB96" s="76"/>
      <c r="DC96" s="76"/>
      <c r="DD96" s="76"/>
      <c r="DE96" s="76"/>
      <c r="DF96" s="76"/>
      <c r="DG96" s="76"/>
      <c r="DH96" s="76"/>
      <c r="DI96" s="76"/>
      <c r="DJ96" s="76"/>
      <c r="DK96" s="76"/>
      <c r="DL96" s="76"/>
      <c r="DM96" s="76"/>
      <c r="DN96" s="76"/>
      <c r="DO96" s="76"/>
      <c r="DP96" s="76"/>
      <c r="DQ96" s="76"/>
      <c r="DR96" s="76"/>
      <c r="DS96" s="76"/>
      <c r="DT96" s="76"/>
      <c r="DU96" s="76"/>
      <c r="DV96" s="76"/>
      <c r="DW96" s="76"/>
      <c r="DX96" s="76"/>
      <c r="DY96" s="76"/>
      <c r="DZ96" s="76"/>
      <c r="EA96" s="76"/>
      <c r="EB96" s="76"/>
      <c r="EC96" s="76"/>
      <c r="ED96" s="76"/>
      <c r="EE96" s="76"/>
      <c r="EF96" s="76"/>
      <c r="EG96" s="76"/>
      <c r="EH96" s="76"/>
      <c r="EI96" s="76"/>
      <c r="EJ96" s="76"/>
      <c r="EK96" s="76"/>
      <c r="EL96" s="76"/>
      <c r="EM96" s="76"/>
      <c r="EN96" s="76"/>
      <c r="EO96" s="76"/>
      <c r="EP96" s="76"/>
      <c r="EQ96" s="76"/>
      <c r="ER96" s="76"/>
      <c r="ES96" s="76"/>
      <c r="ET96" s="76"/>
      <c r="EU96" s="76"/>
      <c r="EV96" s="76"/>
      <c r="EW96" s="76"/>
      <c r="EX96" s="76"/>
      <c r="EY96" s="76"/>
      <c r="EZ96" s="76"/>
      <c r="FA96" s="76"/>
      <c r="FB96" s="76"/>
      <c r="FC96" s="76"/>
      <c r="FD96" s="76"/>
      <c r="FE96" s="76"/>
      <c r="FF96" s="76"/>
      <c r="FG96" s="76"/>
      <c r="FH96" s="76"/>
      <c r="FI96" s="76"/>
      <c r="FJ96" s="76"/>
      <c r="FK96" s="76"/>
      <c r="FL96" s="76"/>
      <c r="FM96" s="76"/>
      <c r="FN96" s="76"/>
      <c r="FO96" s="76"/>
      <c r="FP96" s="76"/>
      <c r="FQ96" s="76"/>
      <c r="FR96" s="76"/>
      <c r="FS96" s="76"/>
      <c r="FT96" s="76"/>
      <c r="FU96" s="76"/>
      <c r="FV96" s="76"/>
      <c r="FW96" s="76"/>
      <c r="FX96" s="76"/>
      <c r="FY96" s="76"/>
      <c r="FZ96" s="76"/>
      <c r="GA96" s="76"/>
      <c r="GB96" s="76"/>
      <c r="GC96" s="76"/>
      <c r="GD96" s="76"/>
      <c r="GE96" s="76"/>
      <c r="GF96" s="76"/>
      <c r="GG96" s="76"/>
      <c r="GH96" s="76"/>
      <c r="GI96" s="76"/>
      <c r="GJ96" s="76"/>
      <c r="GK96" s="76"/>
      <c r="GL96" s="76"/>
      <c r="GM96" s="76"/>
      <c r="GN96" s="76"/>
      <c r="GO96" s="76"/>
      <c r="GP96" s="76"/>
      <c r="GQ96" s="76"/>
      <c r="GR96" s="76"/>
      <c r="GS96" s="76"/>
      <c r="GT96" s="76"/>
      <c r="GU96" s="76"/>
      <c r="GV96" s="76"/>
      <c r="GW96" s="76"/>
      <c r="GX96" s="76"/>
      <c r="GY96" s="76"/>
      <c r="GZ96" s="76"/>
      <c r="HA96" s="76"/>
      <c r="HB96" s="76"/>
      <c r="HC96" s="76"/>
      <c r="HD96" s="76"/>
      <c r="HE96" s="76"/>
      <c r="HF96" s="76"/>
      <c r="HG96" s="76"/>
      <c r="HH96" s="76"/>
      <c r="HI96" s="76"/>
      <c r="HJ96" s="76"/>
      <c r="HK96" s="76"/>
      <c r="HL96" s="76"/>
      <c r="HM96" s="76"/>
      <c r="HN96" s="76"/>
      <c r="HO96" s="76"/>
      <c r="HP96" s="76"/>
      <c r="HQ96" s="76"/>
      <c r="HR96" s="76"/>
      <c r="HS96" s="76"/>
      <c r="HT96" s="76"/>
      <c r="HU96" s="76"/>
      <c r="HV96" s="76"/>
      <c r="HW96" s="76"/>
      <c r="HX96" s="76"/>
      <c r="HY96" s="76"/>
      <c r="HZ96" s="76"/>
      <c r="IA96" s="76"/>
      <c r="IB96" s="76"/>
      <c r="IC96" s="76"/>
      <c r="ID96" s="76"/>
      <c r="IE96" s="76"/>
      <c r="IF96" s="76"/>
      <c r="IG96" s="76"/>
    </row>
    <row r="97" spans="1:71" ht="14.1" customHeight="1" thickBot="1">
      <c r="A97" s="74" t="s">
        <v>2386</v>
      </c>
      <c r="B97" s="75">
        <v>176.709508</v>
      </c>
      <c r="C97" s="73">
        <f t="shared" si="4"/>
        <v>10</v>
      </c>
      <c r="D97" s="86">
        <f t="shared" si="5"/>
        <v>119</v>
      </c>
      <c r="E97" s="86">
        <v>0</v>
      </c>
      <c r="F97" s="86">
        <v>0</v>
      </c>
      <c r="G97" s="86">
        <v>0</v>
      </c>
      <c r="H97" s="86">
        <v>0</v>
      </c>
      <c r="I97" s="86">
        <v>0</v>
      </c>
      <c r="J97" s="86">
        <v>0</v>
      </c>
      <c r="K97" s="86">
        <v>0</v>
      </c>
      <c r="L97" s="86">
        <f t="shared" si="6"/>
        <v>1</v>
      </c>
      <c r="M97" s="257">
        <v>0</v>
      </c>
      <c r="N97" s="257">
        <v>0</v>
      </c>
      <c r="O97" s="257">
        <f t="shared" si="7"/>
        <v>0</v>
      </c>
      <c r="P97" s="257">
        <v>0</v>
      </c>
      <c r="R97" s="256" t="s">
        <v>2349</v>
      </c>
      <c r="S97" s="256">
        <v>10</v>
      </c>
      <c r="T97" s="256">
        <v>10</v>
      </c>
      <c r="U97" s="226"/>
    </row>
    <row r="98" spans="1:71" ht="14.1" customHeight="1" thickBot="1">
      <c r="A98" s="74" t="s">
        <v>2387</v>
      </c>
      <c r="B98" s="75">
        <v>163546.205017</v>
      </c>
      <c r="C98" s="73">
        <v>20</v>
      </c>
      <c r="D98" s="86">
        <f t="shared" si="5"/>
        <v>4</v>
      </c>
      <c r="E98" s="86">
        <v>0</v>
      </c>
      <c r="F98" s="86">
        <v>0</v>
      </c>
      <c r="G98" s="86">
        <v>1</v>
      </c>
      <c r="H98" s="86">
        <v>0</v>
      </c>
      <c r="I98" s="86">
        <v>0</v>
      </c>
      <c r="J98" s="86">
        <v>0</v>
      </c>
      <c r="K98" s="86">
        <v>0</v>
      </c>
      <c r="L98" s="86">
        <f t="shared" si="6"/>
        <v>0</v>
      </c>
      <c r="M98" s="257">
        <v>0</v>
      </c>
      <c r="N98" s="257">
        <v>0</v>
      </c>
      <c r="O98" s="257">
        <f t="shared" si="7"/>
        <v>0</v>
      </c>
      <c r="P98" s="257">
        <v>0</v>
      </c>
      <c r="R98" s="256" t="s">
        <v>2388</v>
      </c>
      <c r="S98" s="256">
        <v>17</v>
      </c>
      <c r="T98" s="256">
        <v>10</v>
      </c>
      <c r="U98" s="226"/>
    </row>
    <row r="99" spans="1:71" ht="14.1" customHeight="1" thickBot="1">
      <c r="A99" s="74" t="s">
        <v>2389</v>
      </c>
      <c r="B99" s="75">
        <v>1211.925587</v>
      </c>
      <c r="C99" s="73">
        <f t="shared" si="4"/>
        <v>10</v>
      </c>
      <c r="D99" s="86">
        <f t="shared" si="5"/>
        <v>82</v>
      </c>
      <c r="E99" s="86">
        <v>0</v>
      </c>
      <c r="F99" s="86">
        <v>0</v>
      </c>
      <c r="G99" s="86">
        <v>0</v>
      </c>
      <c r="H99" s="86">
        <v>0</v>
      </c>
      <c r="I99" s="86">
        <v>0</v>
      </c>
      <c r="J99" s="86">
        <v>0</v>
      </c>
      <c r="K99" s="86">
        <v>0</v>
      </c>
      <c r="L99" s="86">
        <f t="shared" si="6"/>
        <v>1</v>
      </c>
      <c r="M99" s="257">
        <v>0</v>
      </c>
      <c r="N99" s="257">
        <v>0</v>
      </c>
      <c r="O99" s="257">
        <f t="shared" si="7"/>
        <v>1</v>
      </c>
      <c r="P99" s="257">
        <v>15</v>
      </c>
      <c r="R99" s="256" t="s">
        <v>2363</v>
      </c>
      <c r="S99" s="256">
        <v>10</v>
      </c>
      <c r="T99" s="256">
        <v>10</v>
      </c>
      <c r="U99" s="226"/>
    </row>
    <row r="100" spans="1:71" ht="14.1" customHeight="1" thickBot="1">
      <c r="A100" s="74" t="s">
        <v>2390</v>
      </c>
      <c r="B100" s="75">
        <v>0.435367</v>
      </c>
      <c r="C100" s="73">
        <f t="shared" si="4"/>
        <v>10</v>
      </c>
      <c r="D100" s="86">
        <f t="shared" si="5"/>
        <v>221</v>
      </c>
      <c r="E100" s="86">
        <v>0</v>
      </c>
      <c r="F100" s="86">
        <v>0</v>
      </c>
      <c r="G100" s="86">
        <v>0</v>
      </c>
      <c r="H100" s="86">
        <v>0</v>
      </c>
      <c r="I100" s="86">
        <v>0</v>
      </c>
      <c r="J100" s="86">
        <v>0</v>
      </c>
      <c r="K100" s="86">
        <v>0</v>
      </c>
      <c r="L100" s="86">
        <f t="shared" si="6"/>
        <v>1</v>
      </c>
      <c r="M100" s="257">
        <v>0</v>
      </c>
      <c r="N100" s="257">
        <v>0</v>
      </c>
      <c r="O100" s="257">
        <f t="shared" si="7"/>
        <v>0</v>
      </c>
      <c r="P100" s="257">
        <v>0</v>
      </c>
      <c r="R100" s="256" t="s">
        <v>2364</v>
      </c>
      <c r="S100" s="256">
        <v>10</v>
      </c>
      <c r="T100" s="256">
        <v>10</v>
      </c>
      <c r="U100" s="226"/>
    </row>
    <row r="101" spans="1:71" ht="14.1" customHeight="1" thickBot="1">
      <c r="A101" s="74" t="s">
        <v>2391</v>
      </c>
      <c r="B101" s="75">
        <v>2401.1348389999998</v>
      </c>
      <c r="C101" s="73">
        <v>20</v>
      </c>
      <c r="D101" s="86">
        <f t="shared" si="5"/>
        <v>69</v>
      </c>
      <c r="E101" s="86">
        <v>0</v>
      </c>
      <c r="F101" s="86">
        <v>0</v>
      </c>
      <c r="G101" s="86">
        <v>1</v>
      </c>
      <c r="H101" s="86">
        <v>0</v>
      </c>
      <c r="I101" s="86">
        <v>0</v>
      </c>
      <c r="J101" s="86">
        <v>0</v>
      </c>
      <c r="K101" s="86">
        <v>0</v>
      </c>
      <c r="L101" s="86">
        <f t="shared" si="6"/>
        <v>0</v>
      </c>
      <c r="M101" s="257">
        <v>0</v>
      </c>
      <c r="N101" s="257">
        <v>0</v>
      </c>
      <c r="O101" s="257">
        <f t="shared" si="7"/>
        <v>0</v>
      </c>
      <c r="P101" s="257">
        <v>0</v>
      </c>
      <c r="R101" s="256" t="s">
        <v>2365</v>
      </c>
      <c r="S101" s="256">
        <v>12</v>
      </c>
      <c r="T101" s="256">
        <v>10</v>
      </c>
      <c r="U101" s="226"/>
    </row>
    <row r="102" spans="1:71" ht="14.1" customHeight="1" thickBot="1">
      <c r="A102" s="74" t="s">
        <v>2392</v>
      </c>
      <c r="B102" s="75">
        <v>33.195869000000002</v>
      </c>
      <c r="C102" s="73">
        <f t="shared" si="4"/>
        <v>10</v>
      </c>
      <c r="D102" s="86">
        <f t="shared" si="5"/>
        <v>152</v>
      </c>
      <c r="E102" s="86">
        <v>0</v>
      </c>
      <c r="F102" s="86">
        <v>0</v>
      </c>
      <c r="G102" s="86">
        <v>0</v>
      </c>
      <c r="H102" s="86">
        <v>0</v>
      </c>
      <c r="I102" s="86">
        <v>0</v>
      </c>
      <c r="J102" s="86">
        <v>0</v>
      </c>
      <c r="K102" s="86">
        <v>0</v>
      </c>
      <c r="L102" s="86">
        <f t="shared" si="6"/>
        <v>1</v>
      </c>
      <c r="M102" s="257">
        <v>0</v>
      </c>
      <c r="N102" s="257">
        <v>0</v>
      </c>
      <c r="O102" s="257">
        <f t="shared" si="7"/>
        <v>0</v>
      </c>
      <c r="P102" s="257">
        <v>0</v>
      </c>
      <c r="R102" s="256" t="s">
        <v>2366</v>
      </c>
      <c r="S102" s="256">
        <v>10</v>
      </c>
      <c r="T102" s="256">
        <v>10</v>
      </c>
      <c r="U102" s="226"/>
    </row>
    <row r="103" spans="1:71" ht="14.1" customHeight="1" thickBot="1">
      <c r="A103" s="74" t="s">
        <v>2393</v>
      </c>
      <c r="B103" s="75">
        <v>15.897546</v>
      </c>
      <c r="C103" s="73">
        <f t="shared" si="4"/>
        <v>10</v>
      </c>
      <c r="D103" s="86">
        <f t="shared" si="5"/>
        <v>166</v>
      </c>
      <c r="E103" s="86">
        <v>0</v>
      </c>
      <c r="F103" s="86">
        <v>0</v>
      </c>
      <c r="G103" s="86">
        <v>0</v>
      </c>
      <c r="H103" s="86">
        <v>0</v>
      </c>
      <c r="I103" s="86">
        <v>0</v>
      </c>
      <c r="J103" s="86">
        <v>0</v>
      </c>
      <c r="K103" s="86">
        <v>0</v>
      </c>
      <c r="L103" s="86">
        <f t="shared" si="6"/>
        <v>1</v>
      </c>
      <c r="M103" s="257">
        <v>0</v>
      </c>
      <c r="N103" s="257">
        <v>0</v>
      </c>
      <c r="O103" s="257">
        <f t="shared" si="7"/>
        <v>0</v>
      </c>
      <c r="P103" s="257">
        <v>0</v>
      </c>
      <c r="R103" s="256" t="s">
        <v>2394</v>
      </c>
      <c r="S103" s="256">
        <v>10</v>
      </c>
      <c r="T103" s="256">
        <v>10</v>
      </c>
      <c r="U103" s="226"/>
    </row>
    <row r="104" spans="1:71" ht="14.1" customHeight="1" thickBot="1">
      <c r="A104" s="74" t="s">
        <v>2395</v>
      </c>
      <c r="B104" s="75">
        <v>3.6510630000000002</v>
      </c>
      <c r="C104" s="73">
        <f t="shared" si="4"/>
        <v>10</v>
      </c>
      <c r="D104" s="86">
        <f t="shared" si="5"/>
        <v>194</v>
      </c>
      <c r="E104" s="86">
        <v>0</v>
      </c>
      <c r="F104" s="86">
        <v>0</v>
      </c>
      <c r="G104" s="86">
        <v>0</v>
      </c>
      <c r="H104" s="86">
        <v>0</v>
      </c>
      <c r="I104" s="86">
        <v>0</v>
      </c>
      <c r="J104" s="86">
        <v>0</v>
      </c>
      <c r="K104" s="86">
        <v>0</v>
      </c>
      <c r="L104" s="86">
        <f t="shared" si="6"/>
        <v>1</v>
      </c>
      <c r="M104" s="257">
        <v>0</v>
      </c>
      <c r="N104" s="257">
        <v>0</v>
      </c>
      <c r="O104" s="257">
        <f t="shared" si="7"/>
        <v>0</v>
      </c>
      <c r="P104" s="257">
        <v>0</v>
      </c>
      <c r="R104" s="256" t="s">
        <v>2369</v>
      </c>
      <c r="S104" s="256">
        <v>10</v>
      </c>
      <c r="T104" s="256">
        <v>10</v>
      </c>
      <c r="U104" s="226"/>
    </row>
    <row r="105" spans="1:71" ht="14.1" customHeight="1" thickBot="1">
      <c r="A105" s="74" t="s">
        <v>2396</v>
      </c>
      <c r="B105" s="75">
        <v>5464.6617859999997</v>
      </c>
      <c r="C105" s="73">
        <f t="shared" si="4"/>
        <v>10</v>
      </c>
      <c r="D105" s="86">
        <f t="shared" si="5"/>
        <v>58</v>
      </c>
      <c r="E105" s="86">
        <v>0</v>
      </c>
      <c r="F105" s="86">
        <v>0</v>
      </c>
      <c r="G105" s="86">
        <v>0</v>
      </c>
      <c r="H105" s="86">
        <v>0</v>
      </c>
      <c r="I105" s="86">
        <v>0</v>
      </c>
      <c r="J105" s="86">
        <v>0</v>
      </c>
      <c r="K105" s="86">
        <v>1</v>
      </c>
      <c r="L105" s="86">
        <f t="shared" si="6"/>
        <v>0</v>
      </c>
      <c r="M105" s="257">
        <v>0</v>
      </c>
      <c r="N105" s="257">
        <v>0</v>
      </c>
      <c r="O105" s="257">
        <f t="shared" si="7"/>
        <v>0</v>
      </c>
      <c r="P105" s="257">
        <v>0</v>
      </c>
      <c r="R105" s="256" t="s">
        <v>2372</v>
      </c>
      <c r="S105" s="256">
        <v>10</v>
      </c>
      <c r="T105" s="256">
        <v>10</v>
      </c>
      <c r="U105" s="226"/>
    </row>
    <row r="106" spans="1:71" ht="14.1" customHeight="1" thickBot="1">
      <c r="A106" s="74" t="s">
        <v>2397</v>
      </c>
      <c r="B106" s="75">
        <v>6.5760110000000003</v>
      </c>
      <c r="C106" s="73">
        <f t="shared" si="4"/>
        <v>10</v>
      </c>
      <c r="D106" s="86">
        <f t="shared" si="5"/>
        <v>181</v>
      </c>
      <c r="E106" s="86">
        <v>0</v>
      </c>
      <c r="F106" s="86">
        <v>0</v>
      </c>
      <c r="G106" s="86">
        <v>0</v>
      </c>
      <c r="H106" s="86">
        <v>0</v>
      </c>
      <c r="I106" s="86">
        <v>0</v>
      </c>
      <c r="J106" s="86">
        <v>0</v>
      </c>
      <c r="K106" s="86">
        <v>0</v>
      </c>
      <c r="L106" s="86">
        <f t="shared" si="6"/>
        <v>1</v>
      </c>
      <c r="M106" s="257">
        <v>0</v>
      </c>
      <c r="N106" s="257">
        <v>0</v>
      </c>
      <c r="O106" s="257">
        <f t="shared" si="7"/>
        <v>0</v>
      </c>
      <c r="P106" s="257">
        <v>0</v>
      </c>
      <c r="R106" s="256" t="s">
        <v>2377</v>
      </c>
      <c r="S106" s="256">
        <v>10</v>
      </c>
      <c r="T106" s="256">
        <v>10</v>
      </c>
      <c r="U106" s="226"/>
    </row>
    <row r="107" spans="1:71" ht="14.1" customHeight="1" thickBot="1">
      <c r="A107" s="74" t="s">
        <v>2398</v>
      </c>
      <c r="B107" s="75">
        <v>0.13023499999999999</v>
      </c>
      <c r="C107" s="73">
        <f t="shared" si="4"/>
        <v>10</v>
      </c>
      <c r="D107" s="86">
        <f t="shared" si="5"/>
        <v>227</v>
      </c>
      <c r="E107" s="86">
        <v>0</v>
      </c>
      <c r="F107" s="86">
        <v>0</v>
      </c>
      <c r="G107" s="86">
        <v>0</v>
      </c>
      <c r="H107" s="86">
        <v>0</v>
      </c>
      <c r="I107" s="86">
        <v>0</v>
      </c>
      <c r="J107" s="86">
        <v>0</v>
      </c>
      <c r="K107" s="86">
        <v>0</v>
      </c>
      <c r="L107" s="86">
        <f t="shared" si="6"/>
        <v>1</v>
      </c>
      <c r="M107" s="257">
        <v>0</v>
      </c>
      <c r="N107" s="257">
        <v>0</v>
      </c>
      <c r="O107" s="257">
        <f t="shared" si="7"/>
        <v>0</v>
      </c>
      <c r="P107" s="257">
        <v>0</v>
      </c>
      <c r="R107" s="256" t="s">
        <v>2382</v>
      </c>
      <c r="S107" s="256">
        <v>10</v>
      </c>
      <c r="T107" s="256">
        <v>10</v>
      </c>
      <c r="U107" s="226"/>
    </row>
    <row r="108" spans="1:71" ht="14.25" customHeight="1" thickBot="1">
      <c r="A108" s="74" t="s">
        <v>2286</v>
      </c>
      <c r="B108" s="75">
        <v>5510.4055630000003</v>
      </c>
      <c r="C108" s="73">
        <f t="shared" si="4"/>
        <v>38</v>
      </c>
      <c r="D108" s="86">
        <f t="shared" si="5"/>
        <v>56</v>
      </c>
      <c r="E108" s="86">
        <v>0</v>
      </c>
      <c r="F108" s="86">
        <v>0</v>
      </c>
      <c r="G108" s="86">
        <v>0</v>
      </c>
      <c r="H108" s="86">
        <v>0</v>
      </c>
      <c r="I108" s="86">
        <v>0</v>
      </c>
      <c r="J108" s="86">
        <v>0</v>
      </c>
      <c r="K108" s="86">
        <v>0</v>
      </c>
      <c r="L108" s="86">
        <f t="shared" si="6"/>
        <v>1</v>
      </c>
      <c r="M108" s="257">
        <v>0</v>
      </c>
      <c r="N108" s="257">
        <v>0</v>
      </c>
      <c r="O108" s="257">
        <f t="shared" si="7"/>
        <v>1</v>
      </c>
      <c r="P108" s="257">
        <v>15</v>
      </c>
      <c r="R108" s="256" t="s">
        <v>2383</v>
      </c>
      <c r="S108" s="256">
        <v>10</v>
      </c>
      <c r="T108" s="256">
        <v>10</v>
      </c>
      <c r="U108" s="226"/>
    </row>
    <row r="109" spans="1:71" ht="23.25" customHeight="1" thickBot="1">
      <c r="A109" s="74" t="s">
        <v>2399</v>
      </c>
      <c r="B109" s="75">
        <v>641.76895300000001</v>
      </c>
      <c r="C109" s="73">
        <f t="shared" si="4"/>
        <v>10</v>
      </c>
      <c r="D109" s="86">
        <f t="shared" si="5"/>
        <v>95</v>
      </c>
      <c r="E109" s="86">
        <v>0</v>
      </c>
      <c r="F109" s="86">
        <v>0</v>
      </c>
      <c r="G109" s="86">
        <v>0</v>
      </c>
      <c r="H109" s="86">
        <v>0</v>
      </c>
      <c r="I109" s="86">
        <v>0</v>
      </c>
      <c r="J109" s="86">
        <v>0</v>
      </c>
      <c r="K109" s="86">
        <v>0</v>
      </c>
      <c r="L109" s="86">
        <f t="shared" si="6"/>
        <v>1</v>
      </c>
      <c r="M109" s="257">
        <v>0</v>
      </c>
      <c r="N109" s="257">
        <v>0</v>
      </c>
      <c r="O109" s="257">
        <f t="shared" si="7"/>
        <v>0</v>
      </c>
      <c r="P109" s="257">
        <v>0</v>
      </c>
      <c r="R109" s="256" t="s">
        <v>2386</v>
      </c>
      <c r="S109" s="256">
        <v>10</v>
      </c>
      <c r="T109" s="256">
        <v>10</v>
      </c>
      <c r="U109" s="226"/>
    </row>
    <row r="110" spans="1:71" ht="13.7" customHeight="1" thickBot="1">
      <c r="A110" s="74" t="s">
        <v>2400</v>
      </c>
      <c r="B110" s="75" t="s">
        <v>2381</v>
      </c>
      <c r="C110" s="73">
        <f t="shared" si="4"/>
        <v>10</v>
      </c>
      <c r="D110" s="86" t="e">
        <f t="shared" si="5"/>
        <v>#VALUE!</v>
      </c>
      <c r="E110" s="86">
        <v>0</v>
      </c>
      <c r="F110" s="86">
        <v>0</v>
      </c>
      <c r="G110" s="86">
        <v>0</v>
      </c>
      <c r="H110" s="86">
        <v>0</v>
      </c>
      <c r="I110" s="86">
        <v>0</v>
      </c>
      <c r="J110" s="86">
        <v>0</v>
      </c>
      <c r="K110" s="86">
        <v>0</v>
      </c>
      <c r="L110" s="86">
        <f t="shared" si="6"/>
        <v>1</v>
      </c>
      <c r="M110" s="257">
        <v>0</v>
      </c>
      <c r="N110" s="257">
        <v>0</v>
      </c>
      <c r="O110" s="257">
        <f t="shared" si="7"/>
        <v>0</v>
      </c>
      <c r="P110" s="257">
        <v>0</v>
      </c>
      <c r="R110" s="256" t="s">
        <v>2389</v>
      </c>
      <c r="S110" s="256">
        <v>17</v>
      </c>
      <c r="T110" s="256">
        <v>10</v>
      </c>
      <c r="U110" s="226"/>
    </row>
    <row r="111" spans="1:71" ht="14.1" customHeight="1" thickBot="1">
      <c r="A111" s="74" t="s">
        <v>2401</v>
      </c>
      <c r="B111" s="75">
        <v>5799.9352529999996</v>
      </c>
      <c r="C111" s="73">
        <f t="shared" si="4"/>
        <v>10</v>
      </c>
      <c r="D111" s="86">
        <f t="shared" si="5"/>
        <v>55</v>
      </c>
      <c r="E111" s="86">
        <v>0</v>
      </c>
      <c r="F111" s="86">
        <v>0</v>
      </c>
      <c r="G111" s="86">
        <v>0</v>
      </c>
      <c r="H111" s="86">
        <v>0</v>
      </c>
      <c r="I111" s="86">
        <v>0</v>
      </c>
      <c r="J111" s="86">
        <v>0</v>
      </c>
      <c r="K111" s="86">
        <v>1</v>
      </c>
      <c r="L111" s="86">
        <f t="shared" si="6"/>
        <v>0</v>
      </c>
      <c r="M111" s="257">
        <v>0</v>
      </c>
      <c r="N111" s="257">
        <v>0</v>
      </c>
      <c r="O111" s="257">
        <f t="shared" si="7"/>
        <v>0</v>
      </c>
      <c r="P111" s="257">
        <v>0</v>
      </c>
      <c r="R111" s="256" t="s">
        <v>2390</v>
      </c>
      <c r="S111" s="256">
        <v>10</v>
      </c>
      <c r="T111" s="256">
        <v>10</v>
      </c>
      <c r="U111" s="226"/>
    </row>
    <row r="112" spans="1:71" ht="14.1" customHeight="1" thickBot="1">
      <c r="A112" s="74" t="s">
        <v>2402</v>
      </c>
      <c r="B112" s="75">
        <v>6052.6896100000004</v>
      </c>
      <c r="C112" s="73">
        <f>C59</f>
        <v>34</v>
      </c>
      <c r="D112" s="86">
        <f t="shared" si="5"/>
        <v>52</v>
      </c>
      <c r="E112" s="86">
        <v>0</v>
      </c>
      <c r="F112" s="86">
        <v>0</v>
      </c>
      <c r="G112" s="86">
        <v>0</v>
      </c>
      <c r="H112" s="86">
        <v>0</v>
      </c>
      <c r="I112" s="86">
        <v>0</v>
      </c>
      <c r="J112" s="86">
        <v>1</v>
      </c>
      <c r="K112" s="86">
        <v>0</v>
      </c>
      <c r="L112" s="86">
        <f t="shared" si="6"/>
        <v>0</v>
      </c>
      <c r="M112" s="257">
        <v>0</v>
      </c>
      <c r="N112" s="257">
        <v>0</v>
      </c>
      <c r="O112" s="257">
        <f t="shared" si="7"/>
        <v>0</v>
      </c>
      <c r="P112" s="257">
        <v>0</v>
      </c>
      <c r="R112" s="256" t="s">
        <v>2393</v>
      </c>
      <c r="S112" s="256">
        <v>10</v>
      </c>
      <c r="T112" s="256">
        <v>10</v>
      </c>
      <c r="U112" s="226"/>
      <c r="BS112"/>
    </row>
    <row r="113" spans="1:56" ht="14.25" customHeight="1" thickBot="1">
      <c r="A113" s="74" t="s">
        <v>2403</v>
      </c>
      <c r="B113" s="75">
        <v>12848.296963999999</v>
      </c>
      <c r="C113" s="73">
        <v>20</v>
      </c>
      <c r="D113" s="86">
        <f t="shared" si="5"/>
        <v>35</v>
      </c>
      <c r="E113" s="86">
        <v>0</v>
      </c>
      <c r="F113" s="86">
        <v>0</v>
      </c>
      <c r="G113" s="86">
        <v>1</v>
      </c>
      <c r="H113" s="86">
        <v>0</v>
      </c>
      <c r="I113" s="86">
        <v>0</v>
      </c>
      <c r="J113" s="86">
        <v>0</v>
      </c>
      <c r="K113" s="86">
        <v>0</v>
      </c>
      <c r="L113" s="86">
        <f t="shared" si="6"/>
        <v>0</v>
      </c>
      <c r="M113" s="257">
        <v>0</v>
      </c>
      <c r="N113" s="257">
        <v>0</v>
      </c>
      <c r="O113" s="257">
        <f t="shared" si="7"/>
        <v>0</v>
      </c>
      <c r="P113" s="257">
        <v>0</v>
      </c>
      <c r="R113" s="256" t="s">
        <v>2395</v>
      </c>
      <c r="S113" s="256">
        <v>10</v>
      </c>
      <c r="T113" s="256">
        <v>10</v>
      </c>
      <c r="U113" s="226"/>
      <c r="BD113"/>
    </row>
    <row r="114" spans="1:56" ht="23.25" customHeight="1" thickBot="1">
      <c r="A114" s="74" t="s">
        <v>2404</v>
      </c>
      <c r="B114" s="75">
        <v>1114.1715380000001</v>
      </c>
      <c r="C114" s="73">
        <f t="shared" si="4"/>
        <v>10</v>
      </c>
      <c r="D114" s="86">
        <f t="shared" si="5"/>
        <v>84</v>
      </c>
      <c r="E114" s="86">
        <v>0</v>
      </c>
      <c r="F114" s="86">
        <v>0</v>
      </c>
      <c r="G114" s="86">
        <v>0</v>
      </c>
      <c r="H114" s="86">
        <v>0</v>
      </c>
      <c r="I114" s="86">
        <v>0</v>
      </c>
      <c r="J114" s="86">
        <v>0</v>
      </c>
      <c r="K114" s="86">
        <v>0</v>
      </c>
      <c r="L114" s="86">
        <f t="shared" si="6"/>
        <v>1</v>
      </c>
      <c r="M114" s="257">
        <v>0</v>
      </c>
      <c r="N114" s="257">
        <v>0</v>
      </c>
      <c r="O114" s="257">
        <f t="shared" si="7"/>
        <v>1</v>
      </c>
      <c r="P114" s="257">
        <v>15</v>
      </c>
      <c r="R114" s="256" t="s">
        <v>2405</v>
      </c>
      <c r="S114" s="256">
        <v>10</v>
      </c>
      <c r="T114" s="256">
        <v>10</v>
      </c>
      <c r="U114" s="226"/>
    </row>
    <row r="115" spans="1:56" ht="13.7" customHeight="1" thickBot="1">
      <c r="A115" s="74" t="s">
        <v>2327</v>
      </c>
      <c r="B115" s="75">
        <v>91234.523402999999</v>
      </c>
      <c r="C115" s="73">
        <f t="shared" si="4"/>
        <v>26</v>
      </c>
      <c r="D115" s="86">
        <f t="shared" si="5"/>
        <v>10</v>
      </c>
      <c r="E115" s="86">
        <v>0</v>
      </c>
      <c r="F115" s="86">
        <v>0</v>
      </c>
      <c r="G115" s="86">
        <v>0</v>
      </c>
      <c r="H115" s="86">
        <v>0</v>
      </c>
      <c r="I115" s="86">
        <v>0</v>
      </c>
      <c r="J115" s="86">
        <v>0</v>
      </c>
      <c r="K115" s="86">
        <v>0</v>
      </c>
      <c r="L115" s="86">
        <f t="shared" si="6"/>
        <v>1</v>
      </c>
      <c r="M115" s="257">
        <v>0</v>
      </c>
      <c r="N115" s="257">
        <v>0</v>
      </c>
      <c r="O115" s="257">
        <f t="shared" si="7"/>
        <v>1</v>
      </c>
      <c r="P115" s="257">
        <v>50</v>
      </c>
      <c r="R115" s="256" t="s">
        <v>2397</v>
      </c>
      <c r="S115" s="256">
        <v>10</v>
      </c>
      <c r="T115" s="256">
        <v>10</v>
      </c>
      <c r="U115" s="226"/>
    </row>
    <row r="116" spans="1:56" ht="14.1" customHeight="1" thickBot="1">
      <c r="A116" s="74" t="s">
        <v>2306</v>
      </c>
      <c r="B116" s="75">
        <v>29549.440194999999</v>
      </c>
      <c r="C116" s="73">
        <f t="shared" si="4"/>
        <v>32</v>
      </c>
      <c r="D116" s="86">
        <f t="shared" si="5"/>
        <v>20</v>
      </c>
      <c r="E116" s="86">
        <v>0</v>
      </c>
      <c r="F116" s="86">
        <v>0</v>
      </c>
      <c r="G116" s="86">
        <v>0</v>
      </c>
      <c r="H116" s="86">
        <v>0</v>
      </c>
      <c r="I116" s="86">
        <v>0</v>
      </c>
      <c r="J116" s="86">
        <v>0</v>
      </c>
      <c r="K116" s="86">
        <v>0</v>
      </c>
      <c r="L116" s="86">
        <f t="shared" si="6"/>
        <v>1</v>
      </c>
      <c r="M116" s="257">
        <v>0</v>
      </c>
      <c r="N116" s="257">
        <v>0</v>
      </c>
      <c r="O116" s="257">
        <f t="shared" si="7"/>
        <v>1</v>
      </c>
      <c r="P116" s="257">
        <v>19</v>
      </c>
      <c r="R116" s="256" t="s">
        <v>2398</v>
      </c>
      <c r="S116" s="256">
        <v>10</v>
      </c>
      <c r="T116" s="256">
        <v>10</v>
      </c>
      <c r="U116" s="226"/>
      <c r="AQ116"/>
    </row>
    <row r="117" spans="1:56" ht="14.1" customHeight="1" thickBot="1">
      <c r="A117" s="74" t="s">
        <v>2406</v>
      </c>
      <c r="B117" s="75">
        <v>6.2936949999999996</v>
      </c>
      <c r="C117" s="73">
        <f t="shared" si="4"/>
        <v>10</v>
      </c>
      <c r="D117" s="86">
        <f t="shared" si="5"/>
        <v>183</v>
      </c>
      <c r="E117" s="86">
        <v>0</v>
      </c>
      <c r="F117" s="86">
        <v>0</v>
      </c>
      <c r="G117" s="86">
        <v>0</v>
      </c>
      <c r="H117" s="86">
        <v>0</v>
      </c>
      <c r="I117" s="86">
        <v>0</v>
      </c>
      <c r="J117" s="86">
        <v>0</v>
      </c>
      <c r="K117" s="86">
        <v>0</v>
      </c>
      <c r="L117" s="86">
        <f t="shared" si="6"/>
        <v>1</v>
      </c>
      <c r="M117" s="257">
        <v>0</v>
      </c>
      <c r="N117" s="257">
        <v>0</v>
      </c>
      <c r="O117" s="257">
        <f t="shared" si="7"/>
        <v>0</v>
      </c>
      <c r="P117" s="257">
        <v>0</v>
      </c>
      <c r="R117" s="256" t="s">
        <v>2399</v>
      </c>
      <c r="S117" s="256">
        <v>10</v>
      </c>
      <c r="T117" s="256">
        <v>10</v>
      </c>
      <c r="U117" s="226"/>
    </row>
    <row r="118" spans="1:56" ht="14.1" customHeight="1" thickBot="1">
      <c r="A118" s="74" t="s">
        <v>2284</v>
      </c>
      <c r="B118" s="75">
        <v>7689.6086969999997</v>
      </c>
      <c r="C118" s="73">
        <f t="shared" si="4"/>
        <v>39</v>
      </c>
      <c r="D118" s="86">
        <f t="shared" si="5"/>
        <v>46</v>
      </c>
      <c r="E118" s="86">
        <v>0</v>
      </c>
      <c r="F118" s="86">
        <v>0</v>
      </c>
      <c r="G118" s="86">
        <v>0</v>
      </c>
      <c r="H118" s="86">
        <v>0</v>
      </c>
      <c r="I118" s="86">
        <v>0</v>
      </c>
      <c r="J118" s="86">
        <v>0</v>
      </c>
      <c r="K118" s="86">
        <v>0</v>
      </c>
      <c r="L118" s="86">
        <f t="shared" si="6"/>
        <v>1</v>
      </c>
      <c r="M118" s="257">
        <v>0</v>
      </c>
      <c r="N118" s="257">
        <v>0</v>
      </c>
      <c r="O118" s="257">
        <f t="shared" si="7"/>
        <v>1</v>
      </c>
      <c r="P118" s="257">
        <v>35</v>
      </c>
      <c r="R118" s="256" t="s">
        <v>2400</v>
      </c>
      <c r="S118" s="256">
        <v>10</v>
      </c>
      <c r="T118" s="256">
        <v>10</v>
      </c>
      <c r="U118" s="226"/>
    </row>
    <row r="119" spans="1:56" ht="14.1" customHeight="1" thickBot="1">
      <c r="A119" s="74" t="s">
        <v>2407</v>
      </c>
      <c r="B119" s="75">
        <v>103755.091619</v>
      </c>
      <c r="C119" s="73">
        <v>20</v>
      </c>
      <c r="D119" s="86">
        <f t="shared" si="5"/>
        <v>9</v>
      </c>
      <c r="E119" s="86">
        <v>0</v>
      </c>
      <c r="F119" s="86">
        <v>0</v>
      </c>
      <c r="G119" s="86">
        <v>1</v>
      </c>
      <c r="H119" s="86">
        <v>0</v>
      </c>
      <c r="I119" s="86">
        <v>0</v>
      </c>
      <c r="J119" s="86">
        <v>0</v>
      </c>
      <c r="K119" s="86">
        <v>0</v>
      </c>
      <c r="L119" s="86">
        <f t="shared" si="6"/>
        <v>0</v>
      </c>
      <c r="M119" s="257">
        <v>0</v>
      </c>
      <c r="N119" s="257">
        <v>0</v>
      </c>
      <c r="O119" s="257">
        <f t="shared" si="7"/>
        <v>0</v>
      </c>
      <c r="P119" s="257">
        <v>0</v>
      </c>
      <c r="R119" s="256" t="s">
        <v>2401</v>
      </c>
      <c r="S119" s="256">
        <v>10</v>
      </c>
      <c r="T119" s="256">
        <v>10</v>
      </c>
      <c r="U119" s="226"/>
    </row>
    <row r="120" spans="1:56" ht="14.1" customHeight="1" thickBot="1">
      <c r="A120" s="74" t="s">
        <v>2408</v>
      </c>
      <c r="B120" s="75">
        <v>22523.385990999999</v>
      </c>
      <c r="C120" s="73">
        <f t="shared" si="4"/>
        <v>17</v>
      </c>
      <c r="D120" s="86">
        <f t="shared" si="5"/>
        <v>22</v>
      </c>
      <c r="E120" s="86">
        <v>0</v>
      </c>
      <c r="F120" s="86">
        <v>0</v>
      </c>
      <c r="G120" s="86">
        <v>0</v>
      </c>
      <c r="H120" s="86">
        <v>0</v>
      </c>
      <c r="I120" s="86">
        <v>0</v>
      </c>
      <c r="J120" s="86">
        <v>0</v>
      </c>
      <c r="K120" s="86">
        <v>1</v>
      </c>
      <c r="L120" s="86">
        <f t="shared" si="6"/>
        <v>0</v>
      </c>
      <c r="M120" s="257">
        <v>1</v>
      </c>
      <c r="N120" s="257">
        <v>15</v>
      </c>
      <c r="O120" s="257">
        <f t="shared" si="7"/>
        <v>0</v>
      </c>
      <c r="P120" s="257">
        <v>0</v>
      </c>
      <c r="R120" s="256" t="s">
        <v>2404</v>
      </c>
      <c r="S120" s="256">
        <v>10</v>
      </c>
      <c r="T120" s="256">
        <v>10</v>
      </c>
      <c r="U120" s="226"/>
    </row>
    <row r="121" spans="1:56" ht="14.25" customHeight="1" thickBot="1">
      <c r="A121" s="74" t="s">
        <v>2409</v>
      </c>
      <c r="B121" s="75">
        <v>78420.138208999997</v>
      </c>
      <c r="C121" s="73">
        <v>20</v>
      </c>
      <c r="D121" s="86">
        <f t="shared" si="5"/>
        <v>11</v>
      </c>
      <c r="E121" s="86">
        <v>0</v>
      </c>
      <c r="F121" s="86">
        <v>0</v>
      </c>
      <c r="G121" s="86">
        <v>1</v>
      </c>
      <c r="H121" s="86">
        <v>0</v>
      </c>
      <c r="I121" s="86">
        <v>0</v>
      </c>
      <c r="J121" s="86">
        <v>0</v>
      </c>
      <c r="K121" s="86">
        <v>0</v>
      </c>
      <c r="L121" s="86">
        <f t="shared" si="6"/>
        <v>0</v>
      </c>
      <c r="M121" s="257">
        <v>0</v>
      </c>
      <c r="N121" s="257">
        <v>0</v>
      </c>
      <c r="O121" s="257">
        <f t="shared" si="7"/>
        <v>0</v>
      </c>
      <c r="P121" s="257">
        <v>0</v>
      </c>
      <c r="R121" s="256" t="s">
        <v>2406</v>
      </c>
      <c r="S121" s="256">
        <v>10</v>
      </c>
      <c r="T121" s="256">
        <v>10</v>
      </c>
      <c r="U121" s="226"/>
    </row>
    <row r="122" spans="1:56" ht="24" customHeight="1" thickBot="1">
      <c r="A122" s="74" t="s">
        <v>2410</v>
      </c>
      <c r="B122" s="75">
        <v>376.34038800000002</v>
      </c>
      <c r="C122" s="73">
        <f t="shared" si="4"/>
        <v>10</v>
      </c>
      <c r="D122" s="86">
        <f t="shared" si="5"/>
        <v>101</v>
      </c>
      <c r="E122" s="86">
        <v>0</v>
      </c>
      <c r="F122" s="86">
        <v>0</v>
      </c>
      <c r="G122" s="86">
        <v>0</v>
      </c>
      <c r="H122" s="86">
        <v>0</v>
      </c>
      <c r="I122" s="86">
        <v>0</v>
      </c>
      <c r="J122" s="86">
        <v>0</v>
      </c>
      <c r="K122" s="86">
        <v>0</v>
      </c>
      <c r="L122" s="86">
        <f t="shared" si="6"/>
        <v>1</v>
      </c>
      <c r="M122" s="257">
        <v>0</v>
      </c>
      <c r="N122" s="257">
        <v>0</v>
      </c>
      <c r="O122" s="257">
        <f t="shared" si="7"/>
        <v>0</v>
      </c>
      <c r="P122" s="257">
        <v>0</v>
      </c>
      <c r="R122" s="256" t="s">
        <v>2410</v>
      </c>
      <c r="S122" s="256">
        <v>10</v>
      </c>
      <c r="T122" s="256">
        <v>10</v>
      </c>
      <c r="U122" s="226"/>
    </row>
    <row r="123" spans="1:56" ht="13.7" customHeight="1" thickBot="1">
      <c r="A123" s="74" t="s">
        <v>37</v>
      </c>
      <c r="B123" s="75">
        <v>152066.015572</v>
      </c>
      <c r="C123" s="73">
        <f t="shared" si="4"/>
        <v>24</v>
      </c>
      <c r="D123" s="86">
        <f t="shared" si="5"/>
        <v>5</v>
      </c>
      <c r="E123" s="86">
        <v>0</v>
      </c>
      <c r="F123" s="86">
        <v>1</v>
      </c>
      <c r="G123" s="86">
        <v>0</v>
      </c>
      <c r="H123" s="86">
        <v>0</v>
      </c>
      <c r="I123" s="86">
        <v>0</v>
      </c>
      <c r="J123" s="86">
        <v>0</v>
      </c>
      <c r="K123" s="86">
        <v>0</v>
      </c>
      <c r="L123" s="86">
        <f t="shared" si="6"/>
        <v>0</v>
      </c>
      <c r="M123" s="257">
        <v>0</v>
      </c>
      <c r="N123" s="257">
        <v>0</v>
      </c>
      <c r="O123" s="257">
        <f t="shared" si="7"/>
        <v>0</v>
      </c>
      <c r="P123" s="257">
        <v>0</v>
      </c>
      <c r="R123" s="256" t="s">
        <v>2411</v>
      </c>
      <c r="S123" s="256">
        <v>10</v>
      </c>
      <c r="T123" s="256">
        <v>10</v>
      </c>
      <c r="U123" s="226"/>
    </row>
    <row r="124" spans="1:56" ht="14.25" customHeight="1" thickBot="1">
      <c r="A124" s="74" t="s">
        <v>2412</v>
      </c>
      <c r="B124" s="75">
        <v>3443.9256540000001</v>
      </c>
      <c r="C124" s="73">
        <f t="shared" si="4"/>
        <v>20</v>
      </c>
      <c r="D124" s="86">
        <f t="shared" si="5"/>
        <v>62</v>
      </c>
      <c r="E124" s="86">
        <v>0</v>
      </c>
      <c r="F124" s="86">
        <v>0</v>
      </c>
      <c r="G124" s="86">
        <v>0</v>
      </c>
      <c r="H124" s="86">
        <v>0</v>
      </c>
      <c r="I124" s="86">
        <v>0</v>
      </c>
      <c r="J124" s="86">
        <v>0</v>
      </c>
      <c r="K124" s="86">
        <v>1</v>
      </c>
      <c r="L124" s="86">
        <f t="shared" si="6"/>
        <v>0</v>
      </c>
      <c r="M124" s="257">
        <v>1</v>
      </c>
      <c r="N124" s="257">
        <v>15</v>
      </c>
      <c r="O124" s="257">
        <f t="shared" si="7"/>
        <v>0</v>
      </c>
      <c r="P124" s="257">
        <v>0</v>
      </c>
      <c r="R124" s="256" t="s">
        <v>2413</v>
      </c>
      <c r="S124" s="256">
        <v>10</v>
      </c>
      <c r="T124" s="256">
        <v>10</v>
      </c>
      <c r="U124" s="226"/>
    </row>
    <row r="125" spans="1:56" ht="23.25" customHeight="1" thickBot="1">
      <c r="A125" s="74" t="s">
        <v>2325</v>
      </c>
      <c r="B125" s="75">
        <v>2409.6789680000002</v>
      </c>
      <c r="C125" s="73">
        <f t="shared" si="4"/>
        <v>27</v>
      </c>
      <c r="D125" s="86">
        <f t="shared" si="5"/>
        <v>67</v>
      </c>
      <c r="E125" s="86">
        <v>0</v>
      </c>
      <c r="F125" s="86">
        <v>0</v>
      </c>
      <c r="G125" s="86">
        <v>0</v>
      </c>
      <c r="H125" s="86">
        <v>0</v>
      </c>
      <c r="I125" s="86">
        <v>0</v>
      </c>
      <c r="J125" s="86">
        <v>0</v>
      </c>
      <c r="K125" s="86">
        <v>0</v>
      </c>
      <c r="L125" s="86">
        <f t="shared" si="6"/>
        <v>1</v>
      </c>
      <c r="M125" s="257">
        <v>0</v>
      </c>
      <c r="N125" s="257">
        <v>0</v>
      </c>
      <c r="O125" s="257">
        <f t="shared" si="7"/>
        <v>1</v>
      </c>
      <c r="P125" s="257">
        <v>25</v>
      </c>
      <c r="R125" s="256" t="s">
        <v>2414</v>
      </c>
      <c r="S125" s="256">
        <v>10</v>
      </c>
      <c r="T125" s="256">
        <v>10</v>
      </c>
      <c r="U125" s="226"/>
    </row>
    <row r="126" spans="1:56" ht="13.7" customHeight="1" thickBot="1">
      <c r="A126" s="74" t="s">
        <v>2411</v>
      </c>
      <c r="B126" s="75">
        <v>758.90441399999997</v>
      </c>
      <c r="C126" s="73">
        <f t="shared" si="4"/>
        <v>10</v>
      </c>
      <c r="D126" s="86">
        <f t="shared" si="5"/>
        <v>90</v>
      </c>
      <c r="E126" s="86">
        <v>0</v>
      </c>
      <c r="F126" s="86">
        <v>0</v>
      </c>
      <c r="G126" s="86">
        <v>0</v>
      </c>
      <c r="H126" s="86">
        <v>0</v>
      </c>
      <c r="I126" s="86">
        <v>0</v>
      </c>
      <c r="J126" s="86">
        <v>0</v>
      </c>
      <c r="K126" s="86">
        <v>0</v>
      </c>
      <c r="L126" s="86">
        <f t="shared" si="6"/>
        <v>1</v>
      </c>
      <c r="M126" s="257">
        <v>0</v>
      </c>
      <c r="N126" s="257">
        <v>0</v>
      </c>
      <c r="O126" s="257">
        <f t="shared" si="7"/>
        <v>0</v>
      </c>
      <c r="P126" s="257">
        <v>0</v>
      </c>
      <c r="R126" s="256" t="s">
        <v>2415</v>
      </c>
      <c r="S126" s="256">
        <v>10</v>
      </c>
      <c r="T126" s="256">
        <v>10</v>
      </c>
      <c r="U126" s="226"/>
    </row>
    <row r="127" spans="1:56" ht="14.1" customHeight="1" thickBot="1">
      <c r="A127" s="74" t="s">
        <v>2413</v>
      </c>
      <c r="B127" s="75">
        <v>0.95800799999999997</v>
      </c>
      <c r="C127" s="73">
        <f t="shared" si="4"/>
        <v>10</v>
      </c>
      <c r="D127" s="86">
        <f t="shared" si="5"/>
        <v>215</v>
      </c>
      <c r="E127" s="86">
        <v>0</v>
      </c>
      <c r="F127" s="86">
        <v>0</v>
      </c>
      <c r="G127" s="86">
        <v>0</v>
      </c>
      <c r="H127" s="86">
        <v>0</v>
      </c>
      <c r="I127" s="86">
        <v>0</v>
      </c>
      <c r="J127" s="86">
        <v>0</v>
      </c>
      <c r="K127" s="86">
        <v>0</v>
      </c>
      <c r="L127" s="86">
        <f t="shared" si="6"/>
        <v>1</v>
      </c>
      <c r="M127" s="257">
        <v>0</v>
      </c>
      <c r="N127" s="257">
        <v>0</v>
      </c>
      <c r="O127" s="257">
        <f t="shared" si="7"/>
        <v>0</v>
      </c>
      <c r="P127" s="257">
        <v>0</v>
      </c>
      <c r="R127" s="256" t="s">
        <v>2416</v>
      </c>
      <c r="S127" s="256">
        <v>10</v>
      </c>
      <c r="T127" s="256">
        <v>10</v>
      </c>
      <c r="U127" s="226"/>
    </row>
    <row r="128" spans="1:56" ht="14.1" customHeight="1" thickBot="1">
      <c r="A128" s="74" t="s">
        <v>2417</v>
      </c>
      <c r="B128" s="75">
        <v>5.7465000000000002E-2</v>
      </c>
      <c r="C128" s="73">
        <f t="shared" si="4"/>
        <v>10</v>
      </c>
      <c r="D128" s="86">
        <f t="shared" si="5"/>
        <v>228</v>
      </c>
      <c r="E128" s="86">
        <v>0</v>
      </c>
      <c r="F128" s="86">
        <v>0</v>
      </c>
      <c r="G128" s="86">
        <v>0</v>
      </c>
      <c r="H128" s="86">
        <v>0</v>
      </c>
      <c r="I128" s="86">
        <v>0</v>
      </c>
      <c r="J128" s="86">
        <v>0</v>
      </c>
      <c r="K128" s="86">
        <v>0</v>
      </c>
      <c r="L128" s="86">
        <f t="shared" si="6"/>
        <v>1</v>
      </c>
      <c r="M128" s="257">
        <v>0</v>
      </c>
      <c r="N128" s="257">
        <v>0</v>
      </c>
      <c r="O128" s="257">
        <f t="shared" si="7"/>
        <v>0</v>
      </c>
      <c r="P128" s="257">
        <v>0</v>
      </c>
      <c r="R128" s="256" t="s">
        <v>2418</v>
      </c>
      <c r="S128" s="256">
        <v>10</v>
      </c>
      <c r="T128" s="256">
        <v>10</v>
      </c>
      <c r="U128" s="226"/>
    </row>
    <row r="129" spans="1:21" ht="14.1" customHeight="1" thickBot="1">
      <c r="A129" s="74" t="s">
        <v>2329</v>
      </c>
      <c r="B129" s="75">
        <v>135461.350936</v>
      </c>
      <c r="C129" s="73">
        <f t="shared" si="4"/>
        <v>25</v>
      </c>
      <c r="D129" s="86">
        <f t="shared" si="5"/>
        <v>7</v>
      </c>
      <c r="E129" s="86">
        <v>0</v>
      </c>
      <c r="F129" s="86">
        <v>0</v>
      </c>
      <c r="G129" s="86">
        <v>0</v>
      </c>
      <c r="H129" s="86">
        <v>0</v>
      </c>
      <c r="I129" s="86">
        <v>0</v>
      </c>
      <c r="J129" s="86">
        <v>0</v>
      </c>
      <c r="K129" s="86">
        <v>1</v>
      </c>
      <c r="L129" s="86">
        <f t="shared" si="6"/>
        <v>0</v>
      </c>
      <c r="M129" s="257">
        <v>1</v>
      </c>
      <c r="N129" s="257">
        <v>15</v>
      </c>
      <c r="O129" s="257">
        <f t="shared" si="7"/>
        <v>0</v>
      </c>
      <c r="P129" s="257">
        <v>0</v>
      </c>
      <c r="R129" s="256" t="s">
        <v>2419</v>
      </c>
      <c r="S129" s="256">
        <v>10</v>
      </c>
      <c r="T129" s="256">
        <v>10</v>
      </c>
      <c r="U129" s="226"/>
    </row>
    <row r="130" spans="1:21" ht="14.1" customHeight="1" thickBot="1">
      <c r="A130" s="74" t="s">
        <v>2420</v>
      </c>
      <c r="B130" s="75">
        <v>36.519269999999999</v>
      </c>
      <c r="C130" s="73">
        <f t="shared" si="4"/>
        <v>10</v>
      </c>
      <c r="D130" s="86">
        <f t="shared" si="5"/>
        <v>149</v>
      </c>
      <c r="E130" s="86">
        <v>0</v>
      </c>
      <c r="F130" s="86">
        <v>0</v>
      </c>
      <c r="G130" s="86">
        <v>0</v>
      </c>
      <c r="H130" s="86">
        <v>0</v>
      </c>
      <c r="I130" s="86">
        <v>0</v>
      </c>
      <c r="J130" s="86">
        <v>0</v>
      </c>
      <c r="K130" s="86">
        <v>0</v>
      </c>
      <c r="L130" s="86">
        <f t="shared" si="6"/>
        <v>1</v>
      </c>
      <c r="M130" s="257">
        <v>0</v>
      </c>
      <c r="N130" s="257">
        <v>0</v>
      </c>
      <c r="O130" s="257">
        <f t="shared" si="7"/>
        <v>0</v>
      </c>
      <c r="P130" s="257">
        <v>0</v>
      </c>
      <c r="R130" s="256" t="s">
        <v>2421</v>
      </c>
      <c r="S130" s="256">
        <v>10</v>
      </c>
      <c r="T130" s="256">
        <v>10</v>
      </c>
      <c r="U130" s="226"/>
    </row>
    <row r="131" spans="1:21" ht="14.1" customHeight="1" thickBot="1">
      <c r="A131" s="74" t="s">
        <v>2414</v>
      </c>
      <c r="B131" s="75">
        <v>1747.559174</v>
      </c>
      <c r="C131" s="73">
        <f t="shared" si="4"/>
        <v>10</v>
      </c>
      <c r="D131" s="86">
        <f t="shared" si="5"/>
        <v>75</v>
      </c>
      <c r="E131" s="86">
        <v>0</v>
      </c>
      <c r="F131" s="86">
        <v>0</v>
      </c>
      <c r="G131" s="86">
        <v>0</v>
      </c>
      <c r="H131" s="86">
        <v>0</v>
      </c>
      <c r="I131" s="86">
        <v>0</v>
      </c>
      <c r="J131" s="86">
        <v>0</v>
      </c>
      <c r="K131" s="86">
        <v>0</v>
      </c>
      <c r="L131" s="86">
        <f t="shared" si="6"/>
        <v>1</v>
      </c>
      <c r="M131" s="257">
        <v>0</v>
      </c>
      <c r="N131" s="257">
        <v>0</v>
      </c>
      <c r="O131" s="257">
        <f t="shared" si="7"/>
        <v>0</v>
      </c>
      <c r="P131" s="257">
        <v>0</v>
      </c>
      <c r="R131" s="256" t="s">
        <v>2422</v>
      </c>
      <c r="S131" s="256">
        <v>10</v>
      </c>
      <c r="T131" s="256">
        <v>10</v>
      </c>
      <c r="U131" s="226"/>
    </row>
    <row r="132" spans="1:21" ht="14.25" customHeight="1" thickBot="1">
      <c r="A132" s="74" t="s">
        <v>2415</v>
      </c>
      <c r="B132" s="75">
        <v>17.171378000000001</v>
      </c>
      <c r="C132" s="73">
        <f t="shared" si="4"/>
        <v>10</v>
      </c>
      <c r="D132" s="86">
        <f t="shared" si="5"/>
        <v>165</v>
      </c>
      <c r="E132" s="86">
        <v>0</v>
      </c>
      <c r="F132" s="86">
        <v>0</v>
      </c>
      <c r="G132" s="86">
        <v>0</v>
      </c>
      <c r="H132" s="86">
        <v>0</v>
      </c>
      <c r="I132" s="86">
        <v>0</v>
      </c>
      <c r="J132" s="86">
        <v>0</v>
      </c>
      <c r="K132" s="86">
        <v>0</v>
      </c>
      <c r="L132" s="86">
        <f t="shared" si="6"/>
        <v>1</v>
      </c>
      <c r="M132" s="257">
        <v>0</v>
      </c>
      <c r="N132" s="257">
        <v>0</v>
      </c>
      <c r="O132" s="257">
        <f t="shared" si="7"/>
        <v>0</v>
      </c>
      <c r="P132" s="257">
        <v>0</v>
      </c>
      <c r="R132" s="256" t="s">
        <v>2423</v>
      </c>
      <c r="S132" s="256">
        <v>10</v>
      </c>
      <c r="T132" s="256">
        <v>10</v>
      </c>
      <c r="U132" s="226"/>
    </row>
    <row r="133" spans="1:21" ht="23.25" customHeight="1" thickBot="1">
      <c r="A133" s="74" t="s">
        <v>2270</v>
      </c>
      <c r="B133" s="75">
        <v>849.74264300000004</v>
      </c>
      <c r="C133" s="73">
        <f t="shared" si="4"/>
        <v>48</v>
      </c>
      <c r="D133" s="86">
        <f t="shared" si="5"/>
        <v>88</v>
      </c>
      <c r="E133" s="86">
        <v>0</v>
      </c>
      <c r="F133" s="86">
        <v>0</v>
      </c>
      <c r="G133" s="86">
        <v>0</v>
      </c>
      <c r="H133" s="86">
        <v>0</v>
      </c>
      <c r="I133" s="86">
        <v>0</v>
      </c>
      <c r="J133" s="86">
        <v>0</v>
      </c>
      <c r="K133" s="86">
        <v>0</v>
      </c>
      <c r="L133" s="86">
        <f t="shared" si="6"/>
        <v>1</v>
      </c>
      <c r="M133" s="257">
        <v>0</v>
      </c>
      <c r="N133" s="257">
        <v>0</v>
      </c>
      <c r="O133" s="257">
        <f t="shared" si="7"/>
        <v>1</v>
      </c>
      <c r="P133" s="257">
        <v>40</v>
      </c>
      <c r="R133" s="256" t="s">
        <v>2424</v>
      </c>
      <c r="S133" s="256">
        <v>10</v>
      </c>
      <c r="T133" s="256">
        <v>10</v>
      </c>
      <c r="U133" s="226"/>
    </row>
    <row r="134" spans="1:21" ht="13.7" customHeight="1" thickBot="1">
      <c r="A134" s="74" t="s">
        <v>2425</v>
      </c>
      <c r="B134" s="75">
        <v>675.73336800000004</v>
      </c>
      <c r="C134" s="73">
        <v>20</v>
      </c>
      <c r="D134" s="86">
        <f t="shared" si="5"/>
        <v>94</v>
      </c>
      <c r="E134" s="86">
        <v>0</v>
      </c>
      <c r="F134" s="86">
        <v>0</v>
      </c>
      <c r="G134" s="86">
        <v>1</v>
      </c>
      <c r="H134" s="86">
        <v>0</v>
      </c>
      <c r="I134" s="86">
        <v>0</v>
      </c>
      <c r="J134" s="86">
        <v>0</v>
      </c>
      <c r="K134" s="86">
        <v>0</v>
      </c>
      <c r="L134" s="86">
        <f t="shared" si="6"/>
        <v>0</v>
      </c>
      <c r="M134" s="257">
        <v>0</v>
      </c>
      <c r="N134" s="257">
        <v>0</v>
      </c>
      <c r="O134" s="257">
        <f t="shared" si="7"/>
        <v>0</v>
      </c>
      <c r="P134" s="257">
        <v>0</v>
      </c>
      <c r="R134" s="256" t="s">
        <v>2426</v>
      </c>
      <c r="S134" s="256">
        <v>10</v>
      </c>
      <c r="T134" s="256">
        <v>10</v>
      </c>
      <c r="U134" s="226"/>
    </row>
    <row r="135" spans="1:21" ht="14.1" customHeight="1" thickBot="1">
      <c r="A135" s="74" t="s">
        <v>2416</v>
      </c>
      <c r="B135" s="75">
        <v>268.29692599999998</v>
      </c>
      <c r="C135" s="73">
        <f t="shared" si="4"/>
        <v>10</v>
      </c>
      <c r="D135" s="86">
        <f t="shared" si="5"/>
        <v>106</v>
      </c>
      <c r="E135" s="86">
        <v>0</v>
      </c>
      <c r="F135" s="86">
        <v>0</v>
      </c>
      <c r="G135" s="86">
        <v>0</v>
      </c>
      <c r="H135" s="86">
        <v>0</v>
      </c>
      <c r="I135" s="86">
        <v>0</v>
      </c>
      <c r="J135" s="86">
        <v>0</v>
      </c>
      <c r="K135" s="86">
        <v>0</v>
      </c>
      <c r="L135" s="86">
        <f t="shared" si="6"/>
        <v>1</v>
      </c>
      <c r="M135" s="257">
        <v>0</v>
      </c>
      <c r="N135" s="257">
        <v>0</v>
      </c>
      <c r="O135" s="257">
        <f t="shared" si="7"/>
        <v>0</v>
      </c>
      <c r="P135" s="257">
        <v>0</v>
      </c>
      <c r="R135" s="256" t="s">
        <v>2427</v>
      </c>
      <c r="S135" s="256">
        <v>15</v>
      </c>
      <c r="T135" s="256">
        <v>10</v>
      </c>
      <c r="U135" s="226"/>
    </row>
    <row r="136" spans="1:21" ht="14.1" customHeight="1" thickBot="1">
      <c r="A136" s="74" t="s">
        <v>2264</v>
      </c>
      <c r="B136" s="75">
        <v>242.45605800000001</v>
      </c>
      <c r="C136" s="73">
        <f t="shared" si="4"/>
        <v>50</v>
      </c>
      <c r="D136" s="86">
        <f t="shared" si="5"/>
        <v>112</v>
      </c>
      <c r="E136" s="86">
        <v>0</v>
      </c>
      <c r="F136" s="86">
        <v>0</v>
      </c>
      <c r="G136" s="86">
        <v>0</v>
      </c>
      <c r="H136" s="86">
        <v>0</v>
      </c>
      <c r="I136" s="86">
        <v>0</v>
      </c>
      <c r="J136" s="86">
        <v>0</v>
      </c>
      <c r="K136" s="86">
        <v>0</v>
      </c>
      <c r="L136" s="86">
        <f t="shared" si="6"/>
        <v>1</v>
      </c>
      <c r="M136" s="257">
        <v>0</v>
      </c>
      <c r="N136" s="257">
        <v>0</v>
      </c>
      <c r="O136" s="257">
        <f t="shared" si="7"/>
        <v>1</v>
      </c>
      <c r="P136" s="257">
        <v>15</v>
      </c>
      <c r="R136" s="256" t="s">
        <v>2428</v>
      </c>
      <c r="S136" s="256">
        <v>10</v>
      </c>
      <c r="T136" s="256">
        <v>10</v>
      </c>
      <c r="U136" s="226"/>
    </row>
    <row r="137" spans="1:21" ht="14.1" customHeight="1" thickBot="1">
      <c r="A137" s="74" t="s">
        <v>2429</v>
      </c>
      <c r="B137" s="75">
        <v>73.771573000000004</v>
      </c>
      <c r="C137" s="73">
        <f t="shared" si="4"/>
        <v>10</v>
      </c>
      <c r="D137" s="86">
        <f t="shared" si="5"/>
        <v>135</v>
      </c>
      <c r="E137" s="86">
        <v>0</v>
      </c>
      <c r="F137" s="86">
        <v>0</v>
      </c>
      <c r="G137" s="86">
        <v>0</v>
      </c>
      <c r="H137" s="86">
        <v>0</v>
      </c>
      <c r="I137" s="86">
        <v>0</v>
      </c>
      <c r="J137" s="86">
        <v>0</v>
      </c>
      <c r="K137" s="86">
        <v>0</v>
      </c>
      <c r="L137" s="86">
        <f t="shared" si="6"/>
        <v>1</v>
      </c>
      <c r="M137" s="257">
        <v>0</v>
      </c>
      <c r="N137" s="257">
        <v>0</v>
      </c>
      <c r="O137" s="257">
        <f t="shared" si="7"/>
        <v>0</v>
      </c>
      <c r="P137" s="257">
        <v>0</v>
      </c>
      <c r="R137" s="256" t="s">
        <v>2430</v>
      </c>
      <c r="S137" s="256">
        <v>10</v>
      </c>
      <c r="T137" s="256">
        <v>10</v>
      </c>
      <c r="U137" s="226"/>
    </row>
    <row r="138" spans="1:21" ht="14.1" customHeight="1" thickBot="1">
      <c r="A138" s="74" t="s">
        <v>2309</v>
      </c>
      <c r="B138" s="75">
        <v>1492.2466770000001</v>
      </c>
      <c r="C138" s="73">
        <f t="shared" si="4"/>
        <v>31</v>
      </c>
      <c r="D138" s="86">
        <f t="shared" si="5"/>
        <v>77</v>
      </c>
      <c r="E138" s="86">
        <v>0</v>
      </c>
      <c r="F138" s="86">
        <v>0</v>
      </c>
      <c r="G138" s="86">
        <v>0</v>
      </c>
      <c r="H138" s="86">
        <v>0</v>
      </c>
      <c r="I138" s="86">
        <v>0</v>
      </c>
      <c r="J138" s="86">
        <v>0</v>
      </c>
      <c r="K138" s="86">
        <v>0</v>
      </c>
      <c r="L138" s="86">
        <f t="shared" si="6"/>
        <v>1</v>
      </c>
      <c r="M138" s="257">
        <v>0</v>
      </c>
      <c r="N138" s="257">
        <v>0</v>
      </c>
      <c r="O138" s="257">
        <f t="shared" si="7"/>
        <v>1</v>
      </c>
      <c r="P138" s="257">
        <v>30</v>
      </c>
      <c r="R138" s="256" t="s">
        <v>2431</v>
      </c>
      <c r="S138" s="256">
        <v>10</v>
      </c>
      <c r="T138" s="256">
        <v>10</v>
      </c>
      <c r="U138" s="226"/>
    </row>
    <row r="139" spans="1:21" ht="14.1" customHeight="1" thickBot="1">
      <c r="A139" s="74" t="s">
        <v>2291</v>
      </c>
      <c r="B139" s="75">
        <v>246.229229</v>
      </c>
      <c r="C139" s="73">
        <f t="shared" si="4"/>
        <v>37</v>
      </c>
      <c r="D139" s="86">
        <f t="shared" si="5"/>
        <v>109</v>
      </c>
      <c r="E139" s="86">
        <v>0</v>
      </c>
      <c r="F139" s="86">
        <v>0</v>
      </c>
      <c r="G139" s="86">
        <v>0</v>
      </c>
      <c r="H139" s="86">
        <v>0</v>
      </c>
      <c r="I139" s="86">
        <v>0</v>
      </c>
      <c r="J139" s="86">
        <v>0</v>
      </c>
      <c r="K139" s="86">
        <v>0</v>
      </c>
      <c r="L139" s="86">
        <f t="shared" si="6"/>
        <v>1</v>
      </c>
      <c r="M139" s="257">
        <v>0</v>
      </c>
      <c r="N139" s="257">
        <v>0</v>
      </c>
      <c r="O139" s="257">
        <f t="shared" si="7"/>
        <v>1</v>
      </c>
      <c r="P139" s="257">
        <v>15</v>
      </c>
      <c r="R139" s="256" t="s">
        <v>2432</v>
      </c>
      <c r="S139" s="256">
        <v>20</v>
      </c>
      <c r="T139" s="256">
        <v>10</v>
      </c>
      <c r="U139" s="226"/>
    </row>
    <row r="140" spans="1:21" ht="14.1" customHeight="1" thickBot="1">
      <c r="A140" s="74" t="s">
        <v>2433</v>
      </c>
      <c r="B140" s="75">
        <v>2083.8835770000001</v>
      </c>
      <c r="C140" s="73">
        <v>20</v>
      </c>
      <c r="D140" s="86">
        <f t="shared" si="5"/>
        <v>70</v>
      </c>
      <c r="E140" s="86">
        <v>0</v>
      </c>
      <c r="F140" s="86">
        <v>0</v>
      </c>
      <c r="G140" s="86">
        <v>1</v>
      </c>
      <c r="H140" s="86">
        <v>0</v>
      </c>
      <c r="I140" s="86">
        <v>0</v>
      </c>
      <c r="J140" s="86">
        <v>0</v>
      </c>
      <c r="K140" s="86">
        <v>0</v>
      </c>
      <c r="L140" s="86">
        <f t="shared" si="6"/>
        <v>0</v>
      </c>
      <c r="M140" s="257">
        <v>0</v>
      </c>
      <c r="N140" s="257">
        <v>0</v>
      </c>
      <c r="O140" s="257">
        <f t="shared" si="7"/>
        <v>0</v>
      </c>
      <c r="P140" s="257">
        <v>0</v>
      </c>
      <c r="R140" s="256" t="s">
        <v>2434</v>
      </c>
      <c r="S140" s="256">
        <v>10</v>
      </c>
      <c r="T140" s="256">
        <v>10</v>
      </c>
      <c r="U140" s="226"/>
    </row>
    <row r="141" spans="1:21" ht="14.25" customHeight="1" thickBot="1">
      <c r="A141" s="74" t="s">
        <v>2435</v>
      </c>
      <c r="B141" s="75">
        <v>721.85597700000005</v>
      </c>
      <c r="C141" s="73">
        <v>20</v>
      </c>
      <c r="D141" s="86">
        <f t="shared" si="5"/>
        <v>92</v>
      </c>
      <c r="E141" s="86">
        <v>0</v>
      </c>
      <c r="F141" s="86">
        <v>0</v>
      </c>
      <c r="G141" s="86">
        <v>1</v>
      </c>
      <c r="H141" s="86">
        <v>0</v>
      </c>
      <c r="I141" s="86">
        <v>0</v>
      </c>
      <c r="J141" s="86">
        <v>0</v>
      </c>
      <c r="K141" s="86">
        <v>0</v>
      </c>
      <c r="L141" s="86">
        <f t="shared" si="6"/>
        <v>0</v>
      </c>
      <c r="M141" s="257">
        <v>0</v>
      </c>
      <c r="N141" s="257">
        <v>0</v>
      </c>
      <c r="O141" s="257">
        <f t="shared" si="7"/>
        <v>0</v>
      </c>
      <c r="P141" s="257">
        <v>0</v>
      </c>
      <c r="R141" s="256" t="s">
        <v>2436</v>
      </c>
      <c r="S141" s="256">
        <v>10</v>
      </c>
      <c r="T141" s="256">
        <v>10</v>
      </c>
      <c r="U141" s="226"/>
    </row>
    <row r="142" spans="1:21" ht="23.25" customHeight="1" thickBot="1">
      <c r="A142" s="74" t="s">
        <v>2437</v>
      </c>
      <c r="B142" s="75">
        <v>111.944056</v>
      </c>
      <c r="C142" s="73">
        <f t="shared" si="4"/>
        <v>10</v>
      </c>
      <c r="D142" s="86">
        <f t="shared" si="5"/>
        <v>128</v>
      </c>
      <c r="E142" s="86">
        <v>0</v>
      </c>
      <c r="F142" s="86">
        <v>0</v>
      </c>
      <c r="G142" s="86">
        <v>0</v>
      </c>
      <c r="H142" s="86">
        <v>0</v>
      </c>
      <c r="I142" s="86">
        <v>0</v>
      </c>
      <c r="J142" s="86">
        <v>0</v>
      </c>
      <c r="K142" s="86">
        <v>0</v>
      </c>
      <c r="L142" s="86">
        <f t="shared" si="6"/>
        <v>1</v>
      </c>
      <c r="M142" s="257">
        <v>0</v>
      </c>
      <c r="N142" s="257">
        <v>0</v>
      </c>
      <c r="O142" s="257">
        <f t="shared" si="7"/>
        <v>0</v>
      </c>
      <c r="P142" s="257">
        <v>0</v>
      </c>
      <c r="R142" s="256" t="s">
        <v>2438</v>
      </c>
      <c r="S142" s="256">
        <v>10</v>
      </c>
      <c r="T142" s="256">
        <v>10</v>
      </c>
      <c r="U142" s="226"/>
    </row>
    <row r="143" spans="1:21" ht="13.7" customHeight="1" thickBot="1">
      <c r="A143" s="74" t="s">
        <v>2272</v>
      </c>
      <c r="B143" s="75">
        <v>753.23336800000004</v>
      </c>
      <c r="C143" s="73">
        <f t="shared" si="4"/>
        <v>47</v>
      </c>
      <c r="D143" s="86">
        <f t="shared" si="5"/>
        <v>91</v>
      </c>
      <c r="E143" s="86">
        <v>0</v>
      </c>
      <c r="F143" s="86">
        <v>0</v>
      </c>
      <c r="G143" s="86">
        <v>0</v>
      </c>
      <c r="H143" s="86">
        <v>0</v>
      </c>
      <c r="I143" s="86">
        <v>0</v>
      </c>
      <c r="J143" s="86">
        <v>0</v>
      </c>
      <c r="K143" s="86">
        <v>0</v>
      </c>
      <c r="L143" s="86">
        <f t="shared" si="6"/>
        <v>1</v>
      </c>
      <c r="M143" s="257">
        <v>0</v>
      </c>
      <c r="N143" s="257">
        <v>0</v>
      </c>
      <c r="O143" s="257">
        <f t="shared" si="7"/>
        <v>1</v>
      </c>
      <c r="P143" s="257">
        <v>15</v>
      </c>
      <c r="R143" s="256" t="s">
        <v>2439</v>
      </c>
      <c r="S143" s="256">
        <v>10</v>
      </c>
      <c r="T143" s="256">
        <v>10</v>
      </c>
      <c r="U143" s="226"/>
    </row>
    <row r="144" spans="1:21" ht="14.1" customHeight="1" thickBot="1">
      <c r="A144" s="74" t="s">
        <v>2440</v>
      </c>
      <c r="B144" s="75">
        <v>43.010401999999999</v>
      </c>
      <c r="C144" s="73">
        <f t="shared" si="4"/>
        <v>10</v>
      </c>
      <c r="D144" s="86">
        <f t="shared" si="5"/>
        <v>146</v>
      </c>
      <c r="E144" s="86">
        <v>0</v>
      </c>
      <c r="F144" s="86">
        <v>0</v>
      </c>
      <c r="G144" s="86">
        <v>0</v>
      </c>
      <c r="H144" s="86">
        <v>0</v>
      </c>
      <c r="I144" s="86">
        <v>0</v>
      </c>
      <c r="J144" s="86">
        <v>0</v>
      </c>
      <c r="K144" s="86">
        <v>0</v>
      </c>
      <c r="L144" s="86">
        <f t="shared" si="6"/>
        <v>1</v>
      </c>
      <c r="M144" s="257">
        <v>0</v>
      </c>
      <c r="N144" s="257">
        <v>0</v>
      </c>
      <c r="O144" s="257">
        <f t="shared" si="7"/>
        <v>1</v>
      </c>
      <c r="P144" s="257">
        <v>15</v>
      </c>
      <c r="R144" s="256" t="s">
        <v>2441</v>
      </c>
      <c r="S144" s="256">
        <v>10</v>
      </c>
      <c r="T144" s="256">
        <v>10</v>
      </c>
      <c r="U144" s="226"/>
    </row>
    <row r="145" spans="1:21" ht="14.1" customHeight="1" thickBot="1">
      <c r="A145" s="74" t="s">
        <v>2333</v>
      </c>
      <c r="B145" s="75">
        <v>53849.455891999998</v>
      </c>
      <c r="C145" s="73">
        <f t="shared" si="4"/>
        <v>24</v>
      </c>
      <c r="D145" s="86">
        <f t="shared" si="5"/>
        <v>16</v>
      </c>
      <c r="E145" s="86">
        <v>0</v>
      </c>
      <c r="F145" s="86">
        <v>0</v>
      </c>
      <c r="G145" s="86">
        <v>0</v>
      </c>
      <c r="H145" s="86">
        <v>0</v>
      </c>
      <c r="I145" s="86">
        <v>0</v>
      </c>
      <c r="J145" s="86">
        <v>0</v>
      </c>
      <c r="K145" s="86">
        <v>0</v>
      </c>
      <c r="L145" s="86">
        <f t="shared" si="6"/>
        <v>1</v>
      </c>
      <c r="M145" s="257">
        <v>0</v>
      </c>
      <c r="N145" s="257">
        <v>0</v>
      </c>
      <c r="O145" s="257">
        <f t="shared" si="7"/>
        <v>1</v>
      </c>
      <c r="P145" s="257">
        <v>19</v>
      </c>
      <c r="R145" s="256" t="s">
        <v>2442</v>
      </c>
      <c r="S145" s="256">
        <v>10</v>
      </c>
      <c r="T145" s="256">
        <v>10</v>
      </c>
      <c r="U145" s="226"/>
    </row>
    <row r="146" spans="1:21" ht="14.1" customHeight="1" thickBot="1">
      <c r="A146" s="74" t="s">
        <v>2418</v>
      </c>
      <c r="B146" s="75">
        <v>6.362152</v>
      </c>
      <c r="C146" s="73">
        <f t="shared" ref="C146:C209" si="8">IF(SUMIFS($T$18:$T$177,$R$18:$R$177,A146)=0,10,SUMIFS($T$18:$T$177,$R$18:$R$177,A146))</f>
        <v>10</v>
      </c>
      <c r="D146" s="86">
        <f t="shared" ref="D146:D209" si="9">RANK(B146,$B$17:$B$249)</f>
        <v>182</v>
      </c>
      <c r="E146" s="86">
        <v>0</v>
      </c>
      <c r="F146" s="86">
        <v>0</v>
      </c>
      <c r="G146" s="86">
        <v>0</v>
      </c>
      <c r="H146" s="86">
        <v>0</v>
      </c>
      <c r="I146" s="86">
        <v>0</v>
      </c>
      <c r="J146" s="86">
        <v>0</v>
      </c>
      <c r="K146" s="86">
        <v>0</v>
      </c>
      <c r="L146" s="86">
        <f t="shared" ref="L146:L209" si="10">1-SUM(E146:K146)</f>
        <v>1</v>
      </c>
      <c r="M146" s="257">
        <v>0</v>
      </c>
      <c r="N146" s="257">
        <v>0</v>
      </c>
      <c r="O146" s="257">
        <f t="shared" ref="O146:O209" si="11">IF(P146&gt;0,1,0)</f>
        <v>0</v>
      </c>
      <c r="P146" s="257">
        <v>0</v>
      </c>
      <c r="R146" s="256" t="s">
        <v>2443</v>
      </c>
      <c r="S146" s="256">
        <v>10</v>
      </c>
      <c r="T146" s="256">
        <v>10</v>
      </c>
      <c r="U146" s="226"/>
    </row>
    <row r="147" spans="1:21" ht="14.1" customHeight="1" thickBot="1">
      <c r="A147" s="74" t="s">
        <v>2419</v>
      </c>
      <c r="B147" s="75">
        <v>5.6778219999999999</v>
      </c>
      <c r="C147" s="73">
        <f t="shared" si="8"/>
        <v>10</v>
      </c>
      <c r="D147" s="86">
        <f t="shared" si="9"/>
        <v>187</v>
      </c>
      <c r="E147" s="86">
        <v>0</v>
      </c>
      <c r="F147" s="86">
        <v>0</v>
      </c>
      <c r="G147" s="86">
        <v>0</v>
      </c>
      <c r="H147" s="86">
        <v>0</v>
      </c>
      <c r="I147" s="86">
        <v>0</v>
      </c>
      <c r="J147" s="86">
        <v>0</v>
      </c>
      <c r="K147" s="86">
        <v>0</v>
      </c>
      <c r="L147" s="86">
        <f t="shared" si="10"/>
        <v>1</v>
      </c>
      <c r="M147" s="257">
        <v>0</v>
      </c>
      <c r="N147" s="257">
        <v>0</v>
      </c>
      <c r="O147" s="257">
        <f t="shared" si="11"/>
        <v>0</v>
      </c>
      <c r="P147" s="257">
        <v>0</v>
      </c>
      <c r="R147" s="256" t="s">
        <v>2444</v>
      </c>
      <c r="S147" s="256">
        <v>10</v>
      </c>
      <c r="T147" s="256">
        <v>10</v>
      </c>
      <c r="U147" s="226"/>
    </row>
    <row r="148" spans="1:21" ht="14.1" customHeight="1" thickBot="1">
      <c r="A148" s="74" t="s">
        <v>2445</v>
      </c>
      <c r="B148" s="75">
        <v>224.20996700000001</v>
      </c>
      <c r="C148" s="73">
        <v>20</v>
      </c>
      <c r="D148" s="86">
        <f t="shared" si="9"/>
        <v>113</v>
      </c>
      <c r="E148" s="86">
        <v>0</v>
      </c>
      <c r="F148" s="86">
        <v>0</v>
      </c>
      <c r="G148" s="86">
        <v>1</v>
      </c>
      <c r="H148" s="86">
        <v>0</v>
      </c>
      <c r="I148" s="86">
        <v>0</v>
      </c>
      <c r="J148" s="86">
        <v>0</v>
      </c>
      <c r="K148" s="86">
        <v>0</v>
      </c>
      <c r="L148" s="86">
        <f t="shared" si="10"/>
        <v>0</v>
      </c>
      <c r="M148" s="257">
        <v>0</v>
      </c>
      <c r="N148" s="257">
        <v>0</v>
      </c>
      <c r="O148" s="257">
        <f t="shared" si="11"/>
        <v>0</v>
      </c>
      <c r="P148" s="257">
        <v>0</v>
      </c>
      <c r="R148" s="256" t="s">
        <v>2446</v>
      </c>
      <c r="S148" s="256">
        <v>10</v>
      </c>
      <c r="T148" s="256">
        <v>10</v>
      </c>
      <c r="U148" s="226"/>
    </row>
    <row r="149" spans="1:21" ht="14.1" customHeight="1" thickBot="1">
      <c r="A149" s="74" t="s">
        <v>2421</v>
      </c>
      <c r="B149" s="75">
        <v>23.186951000000001</v>
      </c>
      <c r="C149" s="73">
        <f t="shared" si="8"/>
        <v>10</v>
      </c>
      <c r="D149" s="86">
        <f t="shared" si="9"/>
        <v>162</v>
      </c>
      <c r="E149" s="86">
        <v>0</v>
      </c>
      <c r="F149" s="86">
        <v>0</v>
      </c>
      <c r="G149" s="86">
        <v>0</v>
      </c>
      <c r="H149" s="86">
        <v>0</v>
      </c>
      <c r="I149" s="86">
        <v>0</v>
      </c>
      <c r="J149" s="86">
        <v>0</v>
      </c>
      <c r="K149" s="86">
        <v>0</v>
      </c>
      <c r="L149" s="86">
        <f t="shared" si="10"/>
        <v>1</v>
      </c>
      <c r="M149" s="257">
        <v>0</v>
      </c>
      <c r="N149" s="257">
        <v>0</v>
      </c>
      <c r="O149" s="257">
        <f t="shared" si="11"/>
        <v>0</v>
      </c>
      <c r="P149" s="257">
        <v>0</v>
      </c>
      <c r="R149" s="256" t="s">
        <v>2447</v>
      </c>
      <c r="S149" s="256">
        <v>10</v>
      </c>
      <c r="T149" s="256">
        <v>10</v>
      </c>
      <c r="U149" s="226"/>
    </row>
    <row r="150" spans="1:21" ht="14.1" customHeight="1" thickBot="1">
      <c r="A150" s="74" t="s">
        <v>2422</v>
      </c>
      <c r="B150" s="75">
        <v>2.8647610000000001</v>
      </c>
      <c r="C150" s="73">
        <f t="shared" si="8"/>
        <v>10</v>
      </c>
      <c r="D150" s="86">
        <f t="shared" si="9"/>
        <v>200</v>
      </c>
      <c r="E150" s="86">
        <v>0</v>
      </c>
      <c r="F150" s="86">
        <v>0</v>
      </c>
      <c r="G150" s="86">
        <v>0</v>
      </c>
      <c r="H150" s="86">
        <v>0</v>
      </c>
      <c r="I150" s="86">
        <v>0</v>
      </c>
      <c r="J150" s="86">
        <v>0</v>
      </c>
      <c r="K150" s="86">
        <v>0</v>
      </c>
      <c r="L150" s="86">
        <f t="shared" si="10"/>
        <v>1</v>
      </c>
      <c r="M150" s="257">
        <v>0</v>
      </c>
      <c r="N150" s="257">
        <v>0</v>
      </c>
      <c r="O150" s="257">
        <f t="shared" si="11"/>
        <v>0</v>
      </c>
      <c r="P150" s="257">
        <v>0</v>
      </c>
      <c r="R150" s="256" t="s">
        <v>2448</v>
      </c>
      <c r="S150" s="256">
        <v>10</v>
      </c>
      <c r="T150" s="256">
        <v>10</v>
      </c>
      <c r="U150" s="226"/>
    </row>
    <row r="151" spans="1:21" ht="14.1" customHeight="1" thickBot="1">
      <c r="A151" s="74" t="s">
        <v>2423</v>
      </c>
      <c r="B151" s="75">
        <v>2.9213360000000002</v>
      </c>
      <c r="C151" s="73">
        <f t="shared" si="8"/>
        <v>10</v>
      </c>
      <c r="D151" s="86">
        <f t="shared" si="9"/>
        <v>199</v>
      </c>
      <c r="E151" s="86">
        <v>0</v>
      </c>
      <c r="F151" s="86">
        <v>0</v>
      </c>
      <c r="G151" s="86">
        <v>0</v>
      </c>
      <c r="H151" s="86">
        <v>0</v>
      </c>
      <c r="I151" s="86">
        <v>0</v>
      </c>
      <c r="J151" s="86">
        <v>0</v>
      </c>
      <c r="K151" s="86">
        <v>0</v>
      </c>
      <c r="L151" s="86">
        <f t="shared" si="10"/>
        <v>1</v>
      </c>
      <c r="M151" s="257">
        <v>0</v>
      </c>
      <c r="N151" s="257">
        <v>0</v>
      </c>
      <c r="O151" s="257">
        <f t="shared" si="11"/>
        <v>0</v>
      </c>
      <c r="P151" s="257">
        <v>0</v>
      </c>
      <c r="R151" s="256" t="s">
        <v>2449</v>
      </c>
      <c r="S151" s="256">
        <v>10</v>
      </c>
      <c r="T151" s="256">
        <v>10</v>
      </c>
      <c r="U151" s="226"/>
    </row>
    <row r="152" spans="1:21" ht="14.1" customHeight="1" thickBot="1">
      <c r="A152" s="74" t="s">
        <v>2282</v>
      </c>
      <c r="B152" s="75">
        <v>244.787791</v>
      </c>
      <c r="C152" s="73">
        <f t="shared" si="8"/>
        <v>40</v>
      </c>
      <c r="D152" s="86">
        <f t="shared" si="9"/>
        <v>110</v>
      </c>
      <c r="E152" s="86">
        <v>0</v>
      </c>
      <c r="F152" s="86">
        <v>0</v>
      </c>
      <c r="G152" s="86">
        <v>0</v>
      </c>
      <c r="H152" s="86">
        <v>0</v>
      </c>
      <c r="I152" s="86">
        <v>0</v>
      </c>
      <c r="J152" s="86">
        <v>0</v>
      </c>
      <c r="K152" s="86">
        <v>0</v>
      </c>
      <c r="L152" s="86">
        <f t="shared" si="10"/>
        <v>1</v>
      </c>
      <c r="M152" s="257">
        <v>0</v>
      </c>
      <c r="N152" s="257">
        <v>0</v>
      </c>
      <c r="O152" s="257">
        <f t="shared" si="11"/>
        <v>1</v>
      </c>
      <c r="P152" s="257">
        <v>15</v>
      </c>
      <c r="R152" s="256" t="s">
        <v>2450</v>
      </c>
      <c r="S152" s="256">
        <v>10</v>
      </c>
      <c r="T152" s="256">
        <v>10</v>
      </c>
      <c r="U152" s="226"/>
    </row>
    <row r="153" spans="1:21" ht="14.1" customHeight="1" thickBot="1">
      <c r="A153" s="74" t="s">
        <v>2424</v>
      </c>
      <c r="B153" s="75">
        <v>1.907041</v>
      </c>
      <c r="C153" s="73">
        <f t="shared" si="8"/>
        <v>10</v>
      </c>
      <c r="D153" s="86">
        <f t="shared" si="9"/>
        <v>207</v>
      </c>
      <c r="E153" s="86">
        <v>0</v>
      </c>
      <c r="F153" s="86">
        <v>0</v>
      </c>
      <c r="G153" s="86">
        <v>0</v>
      </c>
      <c r="H153" s="86">
        <v>0</v>
      </c>
      <c r="I153" s="86">
        <v>0</v>
      </c>
      <c r="J153" s="86">
        <v>0</v>
      </c>
      <c r="K153" s="86">
        <v>0</v>
      </c>
      <c r="L153" s="86">
        <f t="shared" si="10"/>
        <v>1</v>
      </c>
      <c r="M153" s="257">
        <v>0</v>
      </c>
      <c r="N153" s="257">
        <v>0</v>
      </c>
      <c r="O153" s="257">
        <f t="shared" si="11"/>
        <v>0</v>
      </c>
      <c r="P153" s="257">
        <v>0</v>
      </c>
      <c r="R153" s="256" t="s">
        <v>2451</v>
      </c>
      <c r="S153" s="256">
        <v>10</v>
      </c>
      <c r="T153" s="256">
        <v>10</v>
      </c>
      <c r="U153" s="226"/>
    </row>
    <row r="154" spans="1:21" ht="14.1" customHeight="1" thickBot="1">
      <c r="A154" s="74" t="s">
        <v>2452</v>
      </c>
      <c r="B154" s="75">
        <v>509986.32393299998</v>
      </c>
      <c r="C154" s="73">
        <v>0</v>
      </c>
      <c r="D154" s="86">
        <f t="shared" si="9"/>
        <v>1</v>
      </c>
      <c r="E154" s="86">
        <v>0</v>
      </c>
      <c r="F154" s="86">
        <v>0</v>
      </c>
      <c r="G154" s="86">
        <v>0</v>
      </c>
      <c r="H154" s="86">
        <v>0</v>
      </c>
      <c r="I154" s="86">
        <v>1</v>
      </c>
      <c r="J154" s="86">
        <v>0</v>
      </c>
      <c r="K154" s="86">
        <v>0</v>
      </c>
      <c r="L154" s="86">
        <f t="shared" si="10"/>
        <v>0</v>
      </c>
      <c r="M154" s="257">
        <v>0</v>
      </c>
      <c r="N154" s="257">
        <v>0</v>
      </c>
      <c r="O154" s="257">
        <f t="shared" si="11"/>
        <v>0</v>
      </c>
      <c r="P154" s="257">
        <v>0</v>
      </c>
      <c r="R154" s="256" t="s">
        <v>2453</v>
      </c>
      <c r="S154" s="256">
        <v>10</v>
      </c>
      <c r="T154" s="256">
        <v>10</v>
      </c>
      <c r="U154" s="226"/>
    </row>
    <row r="155" spans="1:21" ht="14.1" customHeight="1" thickBot="1">
      <c r="A155" s="74" t="s">
        <v>2426</v>
      </c>
      <c r="B155" s="75">
        <v>2.4701179999999998</v>
      </c>
      <c r="C155" s="73">
        <f t="shared" si="8"/>
        <v>10</v>
      </c>
      <c r="D155" s="86">
        <f t="shared" si="9"/>
        <v>202</v>
      </c>
      <c r="E155" s="86">
        <v>0</v>
      </c>
      <c r="F155" s="86">
        <v>0</v>
      </c>
      <c r="G155" s="86">
        <v>0</v>
      </c>
      <c r="H155" s="86">
        <v>0</v>
      </c>
      <c r="I155" s="86">
        <v>0</v>
      </c>
      <c r="J155" s="86">
        <v>0</v>
      </c>
      <c r="K155" s="86">
        <v>0</v>
      </c>
      <c r="L155" s="86">
        <f t="shared" si="10"/>
        <v>1</v>
      </c>
      <c r="M155" s="257">
        <v>0</v>
      </c>
      <c r="N155" s="257">
        <v>0</v>
      </c>
      <c r="O155" s="257">
        <f t="shared" si="11"/>
        <v>0</v>
      </c>
      <c r="P155" s="257">
        <v>0</v>
      </c>
      <c r="R155" s="256" t="s">
        <v>2454</v>
      </c>
      <c r="S155" s="256">
        <v>10</v>
      </c>
      <c r="T155" s="256">
        <v>10</v>
      </c>
      <c r="U155" s="226"/>
    </row>
    <row r="156" spans="1:21" ht="14.1" customHeight="1" thickBot="1">
      <c r="A156" s="74" t="s">
        <v>2311</v>
      </c>
      <c r="B156" s="75">
        <v>142.04934600000001</v>
      </c>
      <c r="C156" s="73">
        <f t="shared" si="8"/>
        <v>31</v>
      </c>
      <c r="D156" s="86">
        <f t="shared" si="9"/>
        <v>122</v>
      </c>
      <c r="E156" s="86">
        <v>0</v>
      </c>
      <c r="F156" s="86">
        <v>0</v>
      </c>
      <c r="G156" s="86">
        <v>0</v>
      </c>
      <c r="H156" s="86">
        <v>0</v>
      </c>
      <c r="I156" s="86">
        <v>0</v>
      </c>
      <c r="J156" s="86">
        <v>0</v>
      </c>
      <c r="K156" s="86">
        <v>0</v>
      </c>
      <c r="L156" s="86">
        <f t="shared" si="10"/>
        <v>1</v>
      </c>
      <c r="M156" s="257">
        <v>0</v>
      </c>
      <c r="N156" s="257">
        <v>0</v>
      </c>
      <c r="O156" s="257">
        <f t="shared" si="11"/>
        <v>1</v>
      </c>
      <c r="P156" s="257">
        <v>25</v>
      </c>
      <c r="R156" s="256" t="s">
        <v>2455</v>
      </c>
      <c r="S156" s="256">
        <v>10</v>
      </c>
      <c r="T156" s="256">
        <v>10</v>
      </c>
      <c r="U156" s="226"/>
    </row>
    <row r="157" spans="1:21" ht="14.1" customHeight="1" thickBot="1">
      <c r="A157" s="74" t="s">
        <v>2456</v>
      </c>
      <c r="B157" s="75">
        <v>48.573675999999999</v>
      </c>
      <c r="C157" s="73">
        <f t="shared" si="8"/>
        <v>10</v>
      </c>
      <c r="D157" s="86">
        <f t="shared" si="9"/>
        <v>142</v>
      </c>
      <c r="E157" s="86">
        <v>0</v>
      </c>
      <c r="F157" s="86">
        <v>0</v>
      </c>
      <c r="G157" s="86">
        <v>0</v>
      </c>
      <c r="H157" s="86">
        <v>0</v>
      </c>
      <c r="I157" s="86">
        <v>0</v>
      </c>
      <c r="J157" s="86">
        <v>0</v>
      </c>
      <c r="K157" s="86">
        <v>0</v>
      </c>
      <c r="L157" s="86">
        <f t="shared" si="10"/>
        <v>1</v>
      </c>
      <c r="M157" s="257">
        <v>0</v>
      </c>
      <c r="N157" s="257">
        <v>0</v>
      </c>
      <c r="O157" s="257">
        <f t="shared" si="11"/>
        <v>0</v>
      </c>
      <c r="P157" s="257">
        <v>0</v>
      </c>
      <c r="R157" s="256" t="s">
        <v>2457</v>
      </c>
      <c r="S157" s="256">
        <v>10</v>
      </c>
      <c r="T157" s="256">
        <v>10</v>
      </c>
      <c r="U157" s="226"/>
    </row>
    <row r="158" spans="1:21" ht="14.1" customHeight="1" thickBot="1">
      <c r="A158" s="74" t="s">
        <v>2458</v>
      </c>
      <c r="B158" s="75">
        <v>27.542852</v>
      </c>
      <c r="C158" s="73">
        <f t="shared" si="8"/>
        <v>10</v>
      </c>
      <c r="D158" s="86">
        <f t="shared" si="9"/>
        <v>155</v>
      </c>
      <c r="E158" s="86">
        <v>0</v>
      </c>
      <c r="F158" s="86">
        <v>0</v>
      </c>
      <c r="G158" s="86">
        <v>0</v>
      </c>
      <c r="H158" s="86">
        <v>0</v>
      </c>
      <c r="I158" s="86">
        <v>0</v>
      </c>
      <c r="J158" s="86">
        <v>0</v>
      </c>
      <c r="K158" s="86">
        <v>0</v>
      </c>
      <c r="L158" s="86">
        <f t="shared" si="10"/>
        <v>1</v>
      </c>
      <c r="M158" s="257">
        <v>0</v>
      </c>
      <c r="N158" s="257">
        <v>0</v>
      </c>
      <c r="O158" s="257">
        <f t="shared" si="11"/>
        <v>0</v>
      </c>
      <c r="P158" s="257">
        <v>0</v>
      </c>
      <c r="R158" s="256" t="s">
        <v>2459</v>
      </c>
      <c r="S158" s="256">
        <v>10</v>
      </c>
      <c r="T158" s="256">
        <v>10</v>
      </c>
      <c r="U158" s="226"/>
    </row>
    <row r="159" spans="1:21" ht="14.1" customHeight="1" thickBot="1">
      <c r="A159" s="74" t="s">
        <v>2427</v>
      </c>
      <c r="B159" s="75">
        <v>15.60585</v>
      </c>
      <c r="C159" s="73">
        <f t="shared" si="8"/>
        <v>10</v>
      </c>
      <c r="D159" s="86">
        <f t="shared" si="9"/>
        <v>168</v>
      </c>
      <c r="E159" s="86">
        <v>0</v>
      </c>
      <c r="F159" s="86">
        <v>0</v>
      </c>
      <c r="G159" s="86">
        <v>0</v>
      </c>
      <c r="H159" s="86">
        <v>0</v>
      </c>
      <c r="I159" s="86">
        <v>0</v>
      </c>
      <c r="J159" s="86">
        <v>0</v>
      </c>
      <c r="K159" s="86">
        <v>0</v>
      </c>
      <c r="L159" s="86">
        <f t="shared" si="10"/>
        <v>1</v>
      </c>
      <c r="M159" s="257">
        <v>0</v>
      </c>
      <c r="N159" s="257">
        <v>0</v>
      </c>
      <c r="O159" s="257">
        <f t="shared" si="11"/>
        <v>0</v>
      </c>
      <c r="P159" s="257">
        <v>0</v>
      </c>
      <c r="R159" s="256" t="s">
        <v>2460</v>
      </c>
      <c r="S159" s="256">
        <v>10</v>
      </c>
      <c r="T159" s="256">
        <v>10</v>
      </c>
      <c r="U159" s="226"/>
    </row>
    <row r="160" spans="1:21" ht="14.1" customHeight="1" thickBot="1">
      <c r="A160" s="74" t="s">
        <v>2428</v>
      </c>
      <c r="B160" s="75">
        <v>5.6927589999999997</v>
      </c>
      <c r="C160" s="73">
        <f t="shared" si="8"/>
        <v>10</v>
      </c>
      <c r="D160" s="86">
        <f t="shared" si="9"/>
        <v>186</v>
      </c>
      <c r="E160" s="86">
        <v>0</v>
      </c>
      <c r="F160" s="86">
        <v>0</v>
      </c>
      <c r="G160" s="86">
        <v>0</v>
      </c>
      <c r="H160" s="86">
        <v>0</v>
      </c>
      <c r="I160" s="86">
        <v>0</v>
      </c>
      <c r="J160" s="86">
        <v>0</v>
      </c>
      <c r="K160" s="86">
        <v>0</v>
      </c>
      <c r="L160" s="86">
        <f t="shared" si="10"/>
        <v>1</v>
      </c>
      <c r="M160" s="257">
        <v>0</v>
      </c>
      <c r="N160" s="257">
        <v>0</v>
      </c>
      <c r="O160" s="257">
        <f t="shared" si="11"/>
        <v>0</v>
      </c>
      <c r="P160" s="257">
        <v>0</v>
      </c>
      <c r="R160" s="256" t="s">
        <v>2461</v>
      </c>
      <c r="S160" s="256">
        <v>10</v>
      </c>
      <c r="T160" s="256">
        <v>10</v>
      </c>
      <c r="U160" s="226"/>
    </row>
    <row r="161" spans="1:21" ht="14.1" customHeight="1" thickBot="1">
      <c r="A161" s="74" t="s">
        <v>2462</v>
      </c>
      <c r="B161" s="75">
        <v>1983.1536550000001</v>
      </c>
      <c r="C161" s="73">
        <f t="shared" si="8"/>
        <v>10</v>
      </c>
      <c r="D161" s="86">
        <f t="shared" si="9"/>
        <v>71</v>
      </c>
      <c r="E161" s="86">
        <v>0</v>
      </c>
      <c r="F161" s="86">
        <v>0</v>
      </c>
      <c r="G161" s="86">
        <v>0</v>
      </c>
      <c r="H161" s="86">
        <v>0</v>
      </c>
      <c r="I161" s="86">
        <v>0</v>
      </c>
      <c r="J161" s="86">
        <v>0</v>
      </c>
      <c r="K161" s="86">
        <v>1</v>
      </c>
      <c r="L161" s="86">
        <f t="shared" si="10"/>
        <v>0</v>
      </c>
      <c r="M161" s="257">
        <v>0</v>
      </c>
      <c r="N161" s="257">
        <v>0</v>
      </c>
      <c r="O161" s="257">
        <f t="shared" si="11"/>
        <v>0</v>
      </c>
      <c r="P161" s="257">
        <v>0</v>
      </c>
      <c r="R161" s="256" t="s">
        <v>2463</v>
      </c>
      <c r="S161" s="256">
        <v>10</v>
      </c>
      <c r="T161" s="256">
        <v>10</v>
      </c>
      <c r="U161" s="226"/>
    </row>
    <row r="162" spans="1:21" ht="14.1" customHeight="1" thickBot="1">
      <c r="A162" s="74" t="s">
        <v>2350</v>
      </c>
      <c r="B162" s="75">
        <v>220.29583</v>
      </c>
      <c r="C162" s="73">
        <f t="shared" si="8"/>
        <v>16</v>
      </c>
      <c r="D162" s="86">
        <f t="shared" si="9"/>
        <v>114</v>
      </c>
      <c r="E162" s="86">
        <v>0</v>
      </c>
      <c r="F162" s="86">
        <v>0</v>
      </c>
      <c r="G162" s="86">
        <v>0</v>
      </c>
      <c r="H162" s="86">
        <v>0</v>
      </c>
      <c r="I162" s="86">
        <v>0</v>
      </c>
      <c r="J162" s="86">
        <v>0</v>
      </c>
      <c r="K162" s="86">
        <v>0</v>
      </c>
      <c r="L162" s="86">
        <f t="shared" si="10"/>
        <v>1</v>
      </c>
      <c r="M162" s="257">
        <v>0</v>
      </c>
      <c r="N162" s="257">
        <v>0</v>
      </c>
      <c r="O162" s="257">
        <f t="shared" si="11"/>
        <v>1</v>
      </c>
      <c r="P162" s="257">
        <v>15</v>
      </c>
      <c r="R162" s="256" t="s">
        <v>2464</v>
      </c>
      <c r="S162" s="256">
        <v>10</v>
      </c>
      <c r="T162" s="256">
        <v>10</v>
      </c>
      <c r="U162" s="226"/>
    </row>
    <row r="163" spans="1:21" ht="24" customHeight="1" thickBot="1">
      <c r="A163" s="74" t="s">
        <v>2336</v>
      </c>
      <c r="B163" s="75">
        <v>279.54861799999998</v>
      </c>
      <c r="C163" s="73">
        <f t="shared" si="8"/>
        <v>21</v>
      </c>
      <c r="D163" s="86">
        <f t="shared" si="9"/>
        <v>105</v>
      </c>
      <c r="E163" s="86">
        <v>0</v>
      </c>
      <c r="F163" s="86">
        <v>0</v>
      </c>
      <c r="G163" s="86">
        <v>0</v>
      </c>
      <c r="H163" s="86">
        <v>0</v>
      </c>
      <c r="I163" s="86">
        <v>0</v>
      </c>
      <c r="J163" s="86">
        <v>0</v>
      </c>
      <c r="K163" s="86">
        <v>0</v>
      </c>
      <c r="L163" s="86">
        <f t="shared" si="10"/>
        <v>1</v>
      </c>
      <c r="M163" s="257">
        <v>0</v>
      </c>
      <c r="N163" s="257">
        <v>0</v>
      </c>
      <c r="O163" s="257">
        <f t="shared" si="11"/>
        <v>1</v>
      </c>
      <c r="P163" s="257">
        <v>15</v>
      </c>
      <c r="R163" s="256" t="s">
        <v>2465</v>
      </c>
      <c r="S163" s="256">
        <v>10</v>
      </c>
      <c r="T163" s="256">
        <v>10</v>
      </c>
      <c r="U163" s="226"/>
    </row>
    <row r="164" spans="1:21" ht="13.7" customHeight="1" thickBot="1">
      <c r="A164" s="74" t="s">
        <v>2316</v>
      </c>
      <c r="B164" s="75">
        <v>2.3223780000000001</v>
      </c>
      <c r="C164" s="73">
        <f t="shared" si="8"/>
        <v>30</v>
      </c>
      <c r="D164" s="86">
        <f t="shared" si="9"/>
        <v>205</v>
      </c>
      <c r="E164" s="86">
        <v>0</v>
      </c>
      <c r="F164" s="86">
        <v>0</v>
      </c>
      <c r="G164" s="86">
        <v>0</v>
      </c>
      <c r="H164" s="86">
        <v>0</v>
      </c>
      <c r="I164" s="86">
        <v>0</v>
      </c>
      <c r="J164" s="86">
        <v>0</v>
      </c>
      <c r="K164" s="86">
        <v>0</v>
      </c>
      <c r="L164" s="86">
        <f t="shared" si="10"/>
        <v>1</v>
      </c>
      <c r="M164" s="257">
        <v>0</v>
      </c>
      <c r="N164" s="257">
        <v>0</v>
      </c>
      <c r="O164" s="257">
        <f t="shared" si="11"/>
        <v>1</v>
      </c>
      <c r="P164" s="257">
        <v>15</v>
      </c>
      <c r="R164" s="256" t="s">
        <v>2466</v>
      </c>
      <c r="S164" s="256">
        <v>10</v>
      </c>
      <c r="T164" s="256">
        <v>10</v>
      </c>
      <c r="U164" s="226"/>
    </row>
    <row r="165" spans="1:21" ht="14.1" customHeight="1" thickBot="1">
      <c r="A165" s="74" t="s">
        <v>2431</v>
      </c>
      <c r="B165" s="75">
        <v>128.52424600000001</v>
      </c>
      <c r="C165" s="73">
        <f t="shared" si="8"/>
        <v>10</v>
      </c>
      <c r="D165" s="86">
        <f t="shared" si="9"/>
        <v>127</v>
      </c>
      <c r="E165" s="86">
        <v>0</v>
      </c>
      <c r="F165" s="86">
        <v>0</v>
      </c>
      <c r="G165" s="86">
        <v>0</v>
      </c>
      <c r="H165" s="86">
        <v>0</v>
      </c>
      <c r="I165" s="86">
        <v>0</v>
      </c>
      <c r="J165" s="86">
        <v>0</v>
      </c>
      <c r="K165" s="86">
        <v>0</v>
      </c>
      <c r="L165" s="86">
        <f t="shared" si="10"/>
        <v>1</v>
      </c>
      <c r="M165" s="257">
        <v>0</v>
      </c>
      <c r="N165" s="257">
        <v>0</v>
      </c>
      <c r="O165" s="257">
        <f t="shared" si="11"/>
        <v>0</v>
      </c>
      <c r="P165" s="257">
        <v>0</v>
      </c>
      <c r="R165" s="256" t="s">
        <v>2467</v>
      </c>
      <c r="S165" s="256">
        <v>10</v>
      </c>
      <c r="T165" s="256">
        <v>10</v>
      </c>
      <c r="U165" s="226"/>
    </row>
    <row r="166" spans="1:21" ht="14.1" customHeight="1" thickBot="1">
      <c r="A166" s="74" t="s">
        <v>2468</v>
      </c>
      <c r="B166" s="75">
        <v>35051.896220000002</v>
      </c>
      <c r="C166" s="73">
        <v>20</v>
      </c>
      <c r="D166" s="86">
        <f t="shared" si="9"/>
        <v>19</v>
      </c>
      <c r="E166" s="86">
        <v>0</v>
      </c>
      <c r="F166" s="86">
        <v>0</v>
      </c>
      <c r="G166" s="86">
        <v>1</v>
      </c>
      <c r="H166" s="86">
        <v>0</v>
      </c>
      <c r="I166" s="86">
        <v>0</v>
      </c>
      <c r="J166" s="86">
        <v>0</v>
      </c>
      <c r="K166" s="86">
        <v>0</v>
      </c>
      <c r="L166" s="86">
        <f t="shared" si="10"/>
        <v>0</v>
      </c>
      <c r="M166" s="257">
        <v>0</v>
      </c>
      <c r="N166" s="257">
        <v>0</v>
      </c>
      <c r="O166" s="257">
        <f t="shared" si="11"/>
        <v>0</v>
      </c>
      <c r="P166" s="257">
        <v>0</v>
      </c>
      <c r="R166" s="256" t="s">
        <v>2469</v>
      </c>
      <c r="S166" s="256">
        <v>10</v>
      </c>
      <c r="T166" s="256">
        <v>10</v>
      </c>
      <c r="U166" s="226"/>
    </row>
    <row r="167" spans="1:21" ht="14.1" customHeight="1" thickBot="1">
      <c r="A167" s="74" t="s">
        <v>2470</v>
      </c>
      <c r="B167" s="75">
        <v>35.357975000000003</v>
      </c>
      <c r="C167" s="73">
        <f t="shared" si="8"/>
        <v>10</v>
      </c>
      <c r="D167" s="86">
        <f t="shared" si="9"/>
        <v>150</v>
      </c>
      <c r="E167" s="86">
        <v>0</v>
      </c>
      <c r="F167" s="86">
        <v>0</v>
      </c>
      <c r="G167" s="86">
        <v>0</v>
      </c>
      <c r="H167" s="86">
        <v>0</v>
      </c>
      <c r="I167" s="86">
        <v>0</v>
      </c>
      <c r="J167" s="86">
        <v>0</v>
      </c>
      <c r="K167" s="86">
        <v>0</v>
      </c>
      <c r="L167" s="86">
        <f t="shared" si="10"/>
        <v>1</v>
      </c>
      <c r="M167" s="257">
        <v>0</v>
      </c>
      <c r="N167" s="257">
        <v>0</v>
      </c>
      <c r="O167" s="257">
        <f t="shared" si="11"/>
        <v>0</v>
      </c>
      <c r="P167" s="257">
        <v>0</v>
      </c>
      <c r="R167" s="256" t="s">
        <v>2471</v>
      </c>
      <c r="S167" s="256">
        <v>12</v>
      </c>
      <c r="T167" s="256">
        <v>10</v>
      </c>
      <c r="U167" s="226"/>
    </row>
    <row r="168" spans="1:21" ht="14.1" customHeight="1" thickBot="1">
      <c r="A168" s="74" t="s">
        <v>2432</v>
      </c>
      <c r="B168" s="75">
        <v>5860.676622</v>
      </c>
      <c r="C168" s="73">
        <f t="shared" si="8"/>
        <v>10</v>
      </c>
      <c r="D168" s="86">
        <f t="shared" si="9"/>
        <v>54</v>
      </c>
      <c r="E168" s="86">
        <v>0</v>
      </c>
      <c r="F168" s="86">
        <v>0</v>
      </c>
      <c r="G168" s="86">
        <v>0</v>
      </c>
      <c r="H168" s="86">
        <v>0</v>
      </c>
      <c r="I168" s="86">
        <v>0</v>
      </c>
      <c r="J168" s="86">
        <v>0</v>
      </c>
      <c r="K168" s="86">
        <v>0</v>
      </c>
      <c r="L168" s="86">
        <f t="shared" si="10"/>
        <v>1</v>
      </c>
      <c r="M168" s="257">
        <v>0</v>
      </c>
      <c r="N168" s="257">
        <v>0</v>
      </c>
      <c r="O168" s="257">
        <f t="shared" si="11"/>
        <v>1</v>
      </c>
      <c r="P168" s="257">
        <v>15</v>
      </c>
      <c r="R168" s="256" t="s">
        <v>2472</v>
      </c>
      <c r="S168" s="256">
        <v>10</v>
      </c>
      <c r="T168" s="256">
        <v>10</v>
      </c>
      <c r="U168" s="226"/>
    </row>
    <row r="169" spans="1:21" ht="14.1" customHeight="1" thickBot="1">
      <c r="A169" s="74" t="s">
        <v>2473</v>
      </c>
      <c r="B169" s="75">
        <v>4765.5188550000003</v>
      </c>
      <c r="C169" s="73">
        <f t="shared" si="8"/>
        <v>18</v>
      </c>
      <c r="D169" s="86">
        <f t="shared" si="9"/>
        <v>59</v>
      </c>
      <c r="E169" s="86">
        <v>0</v>
      </c>
      <c r="F169" s="86">
        <v>0</v>
      </c>
      <c r="G169" s="86">
        <v>0</v>
      </c>
      <c r="H169" s="86">
        <v>0</v>
      </c>
      <c r="I169" s="86">
        <v>0</v>
      </c>
      <c r="J169" s="86">
        <v>0</v>
      </c>
      <c r="K169" s="86">
        <v>1</v>
      </c>
      <c r="L169" s="86">
        <f t="shared" si="10"/>
        <v>0</v>
      </c>
      <c r="M169" s="257">
        <v>1</v>
      </c>
      <c r="N169" s="257">
        <v>18</v>
      </c>
      <c r="O169" s="257">
        <f t="shared" si="11"/>
        <v>0</v>
      </c>
      <c r="P169" s="257">
        <v>0</v>
      </c>
      <c r="R169" s="256" t="s">
        <v>2474</v>
      </c>
      <c r="S169" s="256">
        <v>10</v>
      </c>
      <c r="T169" s="256">
        <v>10</v>
      </c>
      <c r="U169" s="226"/>
    </row>
    <row r="170" spans="1:21" ht="14.1" customHeight="1" thickBot="1">
      <c r="A170" s="74" t="s">
        <v>2434</v>
      </c>
      <c r="B170" s="75">
        <v>8.5086069999999996</v>
      </c>
      <c r="C170" s="73">
        <f t="shared" si="8"/>
        <v>10</v>
      </c>
      <c r="D170" s="86">
        <f t="shared" si="9"/>
        <v>176</v>
      </c>
      <c r="E170" s="86">
        <v>0</v>
      </c>
      <c r="F170" s="86">
        <v>0</v>
      </c>
      <c r="G170" s="86">
        <v>0</v>
      </c>
      <c r="H170" s="86">
        <v>0</v>
      </c>
      <c r="I170" s="86">
        <v>0</v>
      </c>
      <c r="J170" s="86">
        <v>0</v>
      </c>
      <c r="K170" s="86">
        <v>0</v>
      </c>
      <c r="L170" s="86">
        <f t="shared" si="10"/>
        <v>1</v>
      </c>
      <c r="M170" s="257">
        <v>0</v>
      </c>
      <c r="N170" s="257">
        <v>0</v>
      </c>
      <c r="O170" s="257">
        <f t="shared" si="11"/>
        <v>0</v>
      </c>
      <c r="P170" s="257">
        <v>0</v>
      </c>
      <c r="R170" s="256" t="s">
        <v>2475</v>
      </c>
      <c r="S170" s="256">
        <v>10</v>
      </c>
      <c r="T170" s="256">
        <v>10</v>
      </c>
      <c r="U170" s="226"/>
    </row>
    <row r="171" spans="1:21" ht="14.1" customHeight="1" thickBot="1">
      <c r="A171" s="74" t="s">
        <v>2355</v>
      </c>
      <c r="B171" s="75">
        <v>5868.4147050000001</v>
      </c>
      <c r="C171" s="73">
        <f t="shared" si="8"/>
        <v>14</v>
      </c>
      <c r="D171" s="86">
        <f t="shared" si="9"/>
        <v>53</v>
      </c>
      <c r="E171" s="86">
        <v>0</v>
      </c>
      <c r="F171" s="86">
        <v>0</v>
      </c>
      <c r="G171" s="86">
        <v>0</v>
      </c>
      <c r="H171" s="86">
        <v>0</v>
      </c>
      <c r="I171" s="86">
        <v>0</v>
      </c>
      <c r="J171" s="86">
        <v>0</v>
      </c>
      <c r="K171" s="86">
        <v>0</v>
      </c>
      <c r="L171" s="86">
        <f t="shared" si="10"/>
        <v>1</v>
      </c>
      <c r="M171" s="257">
        <v>0</v>
      </c>
      <c r="N171" s="257">
        <v>0</v>
      </c>
      <c r="O171" s="257">
        <f t="shared" si="11"/>
        <v>1</v>
      </c>
      <c r="P171" s="257">
        <v>15</v>
      </c>
      <c r="R171" s="256" t="s">
        <v>2476</v>
      </c>
      <c r="S171" s="256">
        <v>10</v>
      </c>
      <c r="T171" s="256">
        <v>10</v>
      </c>
      <c r="U171" s="226"/>
    </row>
    <row r="172" spans="1:21" ht="14.1" customHeight="1" thickBot="1">
      <c r="A172" s="74" t="s">
        <v>2477</v>
      </c>
      <c r="B172" s="75">
        <v>4.4068500000000004</v>
      </c>
      <c r="C172" s="73">
        <f t="shared" si="8"/>
        <v>10</v>
      </c>
      <c r="D172" s="86">
        <f t="shared" si="9"/>
        <v>192</v>
      </c>
      <c r="E172" s="86">
        <v>0</v>
      </c>
      <c r="F172" s="86">
        <v>0</v>
      </c>
      <c r="G172" s="86">
        <v>0</v>
      </c>
      <c r="H172" s="86">
        <v>0</v>
      </c>
      <c r="I172" s="86">
        <v>0</v>
      </c>
      <c r="J172" s="86">
        <v>0</v>
      </c>
      <c r="K172" s="86">
        <v>0</v>
      </c>
      <c r="L172" s="86">
        <f t="shared" si="10"/>
        <v>1</v>
      </c>
      <c r="M172" s="257">
        <v>0</v>
      </c>
      <c r="N172" s="257">
        <v>0</v>
      </c>
      <c r="O172" s="257">
        <f t="shared" si="11"/>
        <v>0</v>
      </c>
      <c r="P172" s="257">
        <v>0</v>
      </c>
      <c r="R172" s="256" t="s">
        <v>2478</v>
      </c>
      <c r="S172" s="256">
        <v>20</v>
      </c>
      <c r="T172" s="256">
        <v>10</v>
      </c>
      <c r="U172" s="226"/>
    </row>
    <row r="173" spans="1:21" ht="14.1" customHeight="1" thickBot="1">
      <c r="A173" s="74" t="s">
        <v>2320</v>
      </c>
      <c r="B173" s="75">
        <v>0.192167</v>
      </c>
      <c r="C173" s="73">
        <f t="shared" si="8"/>
        <v>29</v>
      </c>
      <c r="D173" s="86">
        <f t="shared" si="9"/>
        <v>224</v>
      </c>
      <c r="E173" s="86">
        <v>0</v>
      </c>
      <c r="F173" s="86">
        <v>0</v>
      </c>
      <c r="G173" s="86">
        <v>0</v>
      </c>
      <c r="H173" s="86">
        <v>0</v>
      </c>
      <c r="I173" s="86">
        <v>0</v>
      </c>
      <c r="J173" s="86">
        <v>0</v>
      </c>
      <c r="K173" s="86">
        <v>0</v>
      </c>
      <c r="L173" s="86">
        <f t="shared" si="10"/>
        <v>1</v>
      </c>
      <c r="M173" s="257">
        <v>0</v>
      </c>
      <c r="N173" s="257">
        <v>0</v>
      </c>
      <c r="O173" s="257">
        <f t="shared" si="11"/>
        <v>0</v>
      </c>
      <c r="P173" s="257">
        <v>0</v>
      </c>
      <c r="R173" s="256" t="s">
        <v>2479</v>
      </c>
      <c r="S173" s="256">
        <v>10</v>
      </c>
      <c r="T173" s="256">
        <v>10</v>
      </c>
      <c r="U173" s="226"/>
    </row>
    <row r="174" spans="1:21" ht="14.1" customHeight="1" thickBot="1">
      <c r="A174" s="74" t="s">
        <v>2302</v>
      </c>
      <c r="B174" s="75">
        <v>179.32463799999999</v>
      </c>
      <c r="C174" s="73">
        <f t="shared" si="8"/>
        <v>33</v>
      </c>
      <c r="D174" s="86">
        <f t="shared" si="9"/>
        <v>118</v>
      </c>
      <c r="E174" s="86">
        <v>0</v>
      </c>
      <c r="F174" s="86">
        <v>0</v>
      </c>
      <c r="G174" s="86">
        <v>0</v>
      </c>
      <c r="H174" s="86">
        <v>0</v>
      </c>
      <c r="I174" s="86">
        <v>0</v>
      </c>
      <c r="J174" s="86">
        <v>0</v>
      </c>
      <c r="K174" s="86">
        <v>0</v>
      </c>
      <c r="L174" s="86">
        <f t="shared" si="10"/>
        <v>1</v>
      </c>
      <c r="M174" s="257">
        <v>0</v>
      </c>
      <c r="N174" s="257">
        <v>0</v>
      </c>
      <c r="O174" s="257">
        <f t="shared" si="11"/>
        <v>1</v>
      </c>
      <c r="P174" s="257">
        <v>15</v>
      </c>
      <c r="R174" s="256" t="s">
        <v>2480</v>
      </c>
      <c r="S174" s="256">
        <v>10</v>
      </c>
      <c r="T174" s="256">
        <v>10</v>
      </c>
      <c r="U174" s="226"/>
    </row>
    <row r="175" spans="1:21" ht="14.25" customHeight="1" thickBot="1">
      <c r="A175" s="74" t="s">
        <v>2352</v>
      </c>
      <c r="B175" s="75">
        <v>6879.0429169999998</v>
      </c>
      <c r="C175" s="73">
        <f t="shared" si="8"/>
        <v>15</v>
      </c>
      <c r="D175" s="86">
        <f t="shared" si="9"/>
        <v>49</v>
      </c>
      <c r="E175" s="86">
        <v>0</v>
      </c>
      <c r="F175" s="86">
        <v>0</v>
      </c>
      <c r="G175" s="86">
        <v>0</v>
      </c>
      <c r="H175" s="86">
        <v>0</v>
      </c>
      <c r="I175" s="86">
        <v>0</v>
      </c>
      <c r="J175" s="86">
        <v>0</v>
      </c>
      <c r="K175" s="86">
        <v>0</v>
      </c>
      <c r="L175" s="86">
        <f t="shared" si="10"/>
        <v>1</v>
      </c>
      <c r="M175" s="257">
        <v>0</v>
      </c>
      <c r="N175" s="257">
        <v>0</v>
      </c>
      <c r="O175" s="257">
        <f t="shared" si="11"/>
        <v>1</v>
      </c>
      <c r="P175" s="257">
        <v>15</v>
      </c>
      <c r="R175" s="256" t="s">
        <v>2481</v>
      </c>
      <c r="S175" s="256">
        <v>10</v>
      </c>
      <c r="T175" s="256">
        <v>10</v>
      </c>
      <c r="U175" s="226"/>
    </row>
    <row r="176" spans="1:21" ht="24" customHeight="1" thickBot="1">
      <c r="A176" s="74" t="s">
        <v>2482</v>
      </c>
      <c r="B176" s="75">
        <v>1414.796724</v>
      </c>
      <c r="C176" s="73">
        <f t="shared" si="8"/>
        <v>10</v>
      </c>
      <c r="D176" s="86">
        <f t="shared" si="9"/>
        <v>78</v>
      </c>
      <c r="E176" s="86">
        <v>0</v>
      </c>
      <c r="F176" s="86">
        <v>0</v>
      </c>
      <c r="G176" s="86">
        <v>0</v>
      </c>
      <c r="H176" s="86">
        <v>0</v>
      </c>
      <c r="I176" s="86">
        <v>0</v>
      </c>
      <c r="J176" s="86">
        <v>0</v>
      </c>
      <c r="K176" s="86">
        <v>1</v>
      </c>
      <c r="L176" s="86">
        <f t="shared" si="10"/>
        <v>0</v>
      </c>
      <c r="M176" s="257">
        <v>0</v>
      </c>
      <c r="N176" s="257">
        <v>0</v>
      </c>
      <c r="O176" s="257">
        <f t="shared" si="11"/>
        <v>0</v>
      </c>
      <c r="P176" s="257">
        <v>0</v>
      </c>
      <c r="R176" s="256" t="s">
        <v>2483</v>
      </c>
      <c r="S176" s="256">
        <v>10</v>
      </c>
      <c r="T176" s="256">
        <v>10</v>
      </c>
      <c r="U176" s="226"/>
    </row>
    <row r="177" spans="1:21" ht="23.25" customHeight="1" thickBot="1">
      <c r="A177" s="74" t="s">
        <v>2322</v>
      </c>
      <c r="B177" s="75">
        <v>5466.2843199999998</v>
      </c>
      <c r="C177" s="73">
        <f t="shared" si="8"/>
        <v>29</v>
      </c>
      <c r="D177" s="86">
        <f t="shared" si="9"/>
        <v>57</v>
      </c>
      <c r="E177" s="86">
        <v>0</v>
      </c>
      <c r="F177" s="86">
        <v>0</v>
      </c>
      <c r="G177" s="86">
        <v>0</v>
      </c>
      <c r="H177" s="86">
        <v>0</v>
      </c>
      <c r="I177" s="86">
        <v>0</v>
      </c>
      <c r="J177" s="86">
        <v>0</v>
      </c>
      <c r="K177" s="86">
        <v>0</v>
      </c>
      <c r="L177" s="86">
        <f t="shared" si="10"/>
        <v>1</v>
      </c>
      <c r="M177" s="257">
        <v>0</v>
      </c>
      <c r="N177" s="257">
        <v>0</v>
      </c>
      <c r="O177" s="257">
        <f t="shared" si="11"/>
        <v>1</v>
      </c>
      <c r="P177" s="257">
        <v>19</v>
      </c>
      <c r="R177" s="256" t="s">
        <v>2484</v>
      </c>
      <c r="S177" s="256">
        <v>10</v>
      </c>
      <c r="T177" s="256">
        <v>10</v>
      </c>
      <c r="U177" s="226"/>
    </row>
    <row r="178" spans="1:21" ht="14.1" customHeight="1" thickBot="1">
      <c r="A178" s="74" t="s">
        <v>2485</v>
      </c>
      <c r="B178" s="75">
        <v>2.3253789999999999</v>
      </c>
      <c r="C178" s="73">
        <f t="shared" si="8"/>
        <v>10</v>
      </c>
      <c r="D178" s="86">
        <f t="shared" si="9"/>
        <v>204</v>
      </c>
      <c r="E178" s="86">
        <v>0</v>
      </c>
      <c r="F178" s="86">
        <v>0</v>
      </c>
      <c r="G178" s="86">
        <v>0</v>
      </c>
      <c r="H178" s="86">
        <v>0</v>
      </c>
      <c r="I178" s="86">
        <v>0</v>
      </c>
      <c r="J178" s="86">
        <v>0</v>
      </c>
      <c r="K178" s="86">
        <v>0</v>
      </c>
      <c r="L178" s="86">
        <f t="shared" si="10"/>
        <v>1</v>
      </c>
      <c r="M178" s="257">
        <v>0</v>
      </c>
      <c r="N178" s="257">
        <v>0</v>
      </c>
      <c r="O178" s="257">
        <f t="shared" si="11"/>
        <v>0</v>
      </c>
      <c r="P178" s="257">
        <v>0</v>
      </c>
      <c r="U178" s="226"/>
    </row>
    <row r="179" spans="1:21" ht="14.1" customHeight="1" thickBot="1">
      <c r="A179" s="74" t="s">
        <v>2486</v>
      </c>
      <c r="B179" s="75">
        <v>580.86465599999997</v>
      </c>
      <c r="C179" s="73">
        <f t="shared" si="8"/>
        <v>10</v>
      </c>
      <c r="D179" s="86">
        <f t="shared" si="9"/>
        <v>96</v>
      </c>
      <c r="E179" s="86">
        <v>0</v>
      </c>
      <c r="F179" s="86">
        <v>0</v>
      </c>
      <c r="G179" s="86">
        <v>0</v>
      </c>
      <c r="H179" s="86">
        <v>0</v>
      </c>
      <c r="I179" s="86">
        <v>0</v>
      </c>
      <c r="J179" s="86">
        <v>0</v>
      </c>
      <c r="K179" s="86">
        <v>1</v>
      </c>
      <c r="L179" s="86">
        <f t="shared" si="10"/>
        <v>0</v>
      </c>
      <c r="M179" s="257">
        <v>0</v>
      </c>
      <c r="N179" s="257">
        <v>0</v>
      </c>
      <c r="O179" s="257">
        <f t="shared" si="11"/>
        <v>0</v>
      </c>
      <c r="P179" s="257">
        <v>0</v>
      </c>
      <c r="U179" s="226"/>
    </row>
    <row r="180" spans="1:21" ht="14.1" customHeight="1" thickBot="1">
      <c r="A180" s="74" t="s">
        <v>2487</v>
      </c>
      <c r="B180" s="75">
        <v>80.898103000000006</v>
      </c>
      <c r="C180" s="73">
        <f t="shared" si="8"/>
        <v>10</v>
      </c>
      <c r="D180" s="86">
        <f t="shared" si="9"/>
        <v>134</v>
      </c>
      <c r="E180" s="86">
        <v>0</v>
      </c>
      <c r="F180" s="86">
        <v>0</v>
      </c>
      <c r="G180" s="86">
        <v>0</v>
      </c>
      <c r="H180" s="86">
        <v>0</v>
      </c>
      <c r="I180" s="86">
        <v>0</v>
      </c>
      <c r="J180" s="86">
        <v>0</v>
      </c>
      <c r="K180" s="86">
        <v>0</v>
      </c>
      <c r="L180" s="86">
        <f t="shared" si="10"/>
        <v>1</v>
      </c>
      <c r="M180" s="257">
        <v>0</v>
      </c>
      <c r="N180" s="257">
        <v>0</v>
      </c>
      <c r="O180" s="257">
        <f t="shared" si="11"/>
        <v>1</v>
      </c>
      <c r="P180" s="257">
        <v>15</v>
      </c>
      <c r="U180" s="226"/>
    </row>
    <row r="181" spans="1:21" ht="14.1" customHeight="1" thickBot="1">
      <c r="A181" s="74" t="s">
        <v>2439</v>
      </c>
      <c r="B181" s="75">
        <v>377.94161700000001</v>
      </c>
      <c r="C181" s="73">
        <f t="shared" si="8"/>
        <v>10</v>
      </c>
      <c r="D181" s="86">
        <f t="shared" si="9"/>
        <v>100</v>
      </c>
      <c r="E181" s="86">
        <v>0</v>
      </c>
      <c r="F181" s="86">
        <v>0</v>
      </c>
      <c r="G181" s="86">
        <v>0</v>
      </c>
      <c r="H181" s="86">
        <v>0</v>
      </c>
      <c r="I181" s="86">
        <v>0</v>
      </c>
      <c r="J181" s="86">
        <v>0</v>
      </c>
      <c r="K181" s="86">
        <v>0</v>
      </c>
      <c r="L181" s="86">
        <f t="shared" si="10"/>
        <v>1</v>
      </c>
      <c r="M181" s="257">
        <v>0</v>
      </c>
      <c r="N181" s="257">
        <v>0</v>
      </c>
      <c r="O181" s="257">
        <f t="shared" si="11"/>
        <v>0</v>
      </c>
      <c r="P181" s="257">
        <v>0</v>
      </c>
      <c r="U181" s="226"/>
    </row>
    <row r="182" spans="1:21" ht="14.1" customHeight="1" thickBot="1">
      <c r="A182" s="74" t="s">
        <v>2488</v>
      </c>
      <c r="B182" s="75">
        <v>10013.654478</v>
      </c>
      <c r="C182" s="73">
        <f t="shared" si="8"/>
        <v>10</v>
      </c>
      <c r="D182" s="86">
        <f t="shared" si="9"/>
        <v>38</v>
      </c>
      <c r="E182" s="86">
        <v>0</v>
      </c>
      <c r="F182" s="86">
        <v>0</v>
      </c>
      <c r="G182" s="86">
        <v>0</v>
      </c>
      <c r="H182" s="86">
        <v>0</v>
      </c>
      <c r="I182" s="86">
        <v>0</v>
      </c>
      <c r="J182" s="86">
        <v>0</v>
      </c>
      <c r="K182" s="86">
        <v>1</v>
      </c>
      <c r="L182" s="86">
        <f t="shared" si="10"/>
        <v>0</v>
      </c>
      <c r="M182" s="257">
        <v>0</v>
      </c>
      <c r="N182" s="257">
        <v>0</v>
      </c>
      <c r="O182" s="257">
        <f t="shared" si="11"/>
        <v>0</v>
      </c>
      <c r="P182" s="257">
        <v>0</v>
      </c>
      <c r="U182" s="226"/>
    </row>
    <row r="183" spans="1:21" ht="14.1" customHeight="1" thickBot="1">
      <c r="A183" s="74" t="s">
        <v>2346</v>
      </c>
      <c r="B183" s="75">
        <v>14593.41027</v>
      </c>
      <c r="C183" s="73">
        <f t="shared" si="8"/>
        <v>17</v>
      </c>
      <c r="D183" s="86">
        <f t="shared" si="9"/>
        <v>31</v>
      </c>
      <c r="E183" s="86">
        <v>0</v>
      </c>
      <c r="F183" s="86">
        <v>0</v>
      </c>
      <c r="G183" s="86">
        <v>0</v>
      </c>
      <c r="H183" s="86">
        <v>0</v>
      </c>
      <c r="I183" s="86">
        <v>0</v>
      </c>
      <c r="J183" s="86">
        <v>0</v>
      </c>
      <c r="K183" s="86">
        <v>0</v>
      </c>
      <c r="L183" s="86">
        <f t="shared" si="10"/>
        <v>1</v>
      </c>
      <c r="M183" s="257">
        <v>0</v>
      </c>
      <c r="N183" s="257">
        <v>0</v>
      </c>
      <c r="O183" s="257">
        <f t="shared" si="11"/>
        <v>1</v>
      </c>
      <c r="P183" s="257">
        <v>19</v>
      </c>
      <c r="U183" s="226"/>
    </row>
    <row r="184" spans="1:21" ht="14.1" customHeight="1" thickBot="1">
      <c r="A184" s="74" t="s">
        <v>2489</v>
      </c>
      <c r="B184" s="75" t="s">
        <v>2381</v>
      </c>
      <c r="C184" s="73">
        <f t="shared" si="8"/>
        <v>10</v>
      </c>
      <c r="D184" s="86" t="e">
        <f t="shared" si="9"/>
        <v>#VALUE!</v>
      </c>
      <c r="E184" s="86">
        <v>0</v>
      </c>
      <c r="F184" s="86">
        <v>0</v>
      </c>
      <c r="G184" s="86">
        <v>0</v>
      </c>
      <c r="H184" s="86">
        <v>0</v>
      </c>
      <c r="I184" s="86">
        <v>0</v>
      </c>
      <c r="J184" s="86">
        <v>0</v>
      </c>
      <c r="K184" s="86">
        <v>0</v>
      </c>
      <c r="L184" s="86">
        <f t="shared" si="10"/>
        <v>1</v>
      </c>
      <c r="M184" s="257">
        <v>0</v>
      </c>
      <c r="N184" s="257">
        <v>0</v>
      </c>
      <c r="O184" s="257">
        <f t="shared" si="11"/>
        <v>0</v>
      </c>
      <c r="P184" s="257">
        <v>0</v>
      </c>
      <c r="U184" s="226"/>
    </row>
    <row r="185" spans="1:21" ht="14.1" customHeight="1" thickBot="1">
      <c r="A185" s="74" t="s">
        <v>2490</v>
      </c>
      <c r="B185" s="75">
        <v>14081.165035</v>
      </c>
      <c r="C185" s="73">
        <v>20</v>
      </c>
      <c r="D185" s="86">
        <f t="shared" si="9"/>
        <v>32</v>
      </c>
      <c r="E185" s="86">
        <v>0</v>
      </c>
      <c r="F185" s="86">
        <v>0</v>
      </c>
      <c r="G185" s="86">
        <v>1</v>
      </c>
      <c r="H185" s="86">
        <v>0</v>
      </c>
      <c r="I185" s="86">
        <v>0</v>
      </c>
      <c r="J185" s="86">
        <v>0</v>
      </c>
      <c r="K185" s="86">
        <v>0</v>
      </c>
      <c r="L185" s="86">
        <f t="shared" si="10"/>
        <v>0</v>
      </c>
      <c r="M185" s="257">
        <v>0</v>
      </c>
      <c r="N185" s="257">
        <v>0</v>
      </c>
      <c r="O185" s="257">
        <f t="shared" si="11"/>
        <v>0</v>
      </c>
      <c r="P185" s="257">
        <v>0</v>
      </c>
      <c r="U185" s="226"/>
    </row>
    <row r="186" spans="1:21" ht="14.25" customHeight="1" thickBot="1">
      <c r="A186" s="74" t="s">
        <v>2491</v>
      </c>
      <c r="B186" s="75">
        <v>6882.3431049999999</v>
      </c>
      <c r="C186" s="73">
        <v>20</v>
      </c>
      <c r="D186" s="86">
        <f t="shared" si="9"/>
        <v>48</v>
      </c>
      <c r="E186" s="86">
        <v>0</v>
      </c>
      <c r="F186" s="86">
        <v>0</v>
      </c>
      <c r="G186" s="86">
        <v>1</v>
      </c>
      <c r="H186" s="86">
        <v>0</v>
      </c>
      <c r="I186" s="86">
        <v>0</v>
      </c>
      <c r="J186" s="86">
        <v>0</v>
      </c>
      <c r="K186" s="86">
        <v>0</v>
      </c>
      <c r="L186" s="86">
        <f t="shared" si="10"/>
        <v>0</v>
      </c>
      <c r="M186" s="257">
        <v>0</v>
      </c>
      <c r="N186" s="257">
        <v>0</v>
      </c>
      <c r="O186" s="257">
        <f t="shared" si="11"/>
        <v>0</v>
      </c>
      <c r="P186" s="257">
        <v>0</v>
      </c>
      <c r="U186" s="226"/>
    </row>
    <row r="187" spans="1:21" ht="24" customHeight="1" thickBot="1">
      <c r="A187" s="74" t="s">
        <v>2442</v>
      </c>
      <c r="B187" s="75">
        <v>1873.5042659999999</v>
      </c>
      <c r="C187" s="73">
        <f t="shared" si="8"/>
        <v>10</v>
      </c>
      <c r="D187" s="86">
        <f t="shared" si="9"/>
        <v>73</v>
      </c>
      <c r="E187" s="86">
        <v>0</v>
      </c>
      <c r="F187" s="86">
        <v>0</v>
      </c>
      <c r="G187" s="86">
        <v>0</v>
      </c>
      <c r="H187" s="86">
        <v>0</v>
      </c>
      <c r="I187" s="86">
        <v>0</v>
      </c>
      <c r="J187" s="86">
        <v>0</v>
      </c>
      <c r="K187" s="86">
        <v>0</v>
      </c>
      <c r="L187" s="86">
        <f t="shared" si="10"/>
        <v>1</v>
      </c>
      <c r="M187" s="257">
        <v>0</v>
      </c>
      <c r="N187" s="257">
        <v>0</v>
      </c>
      <c r="O187" s="257">
        <f t="shared" si="11"/>
        <v>0</v>
      </c>
      <c r="P187" s="257">
        <v>0</v>
      </c>
      <c r="U187" s="226"/>
    </row>
    <row r="188" spans="1:21" ht="23.25" customHeight="1" thickBot="1">
      <c r="A188" s="74" t="s">
        <v>2293</v>
      </c>
      <c r="B188" s="75">
        <v>45.417859</v>
      </c>
      <c r="C188" s="73">
        <f t="shared" si="8"/>
        <v>37</v>
      </c>
      <c r="D188" s="86">
        <f t="shared" si="9"/>
        <v>143</v>
      </c>
      <c r="E188" s="86">
        <v>0</v>
      </c>
      <c r="F188" s="86">
        <v>0</v>
      </c>
      <c r="G188" s="86">
        <v>0</v>
      </c>
      <c r="H188" s="86">
        <v>0</v>
      </c>
      <c r="I188" s="86">
        <v>0</v>
      </c>
      <c r="J188" s="86">
        <v>0</v>
      </c>
      <c r="K188" s="86">
        <v>0</v>
      </c>
      <c r="L188" s="86">
        <f t="shared" si="10"/>
        <v>1</v>
      </c>
      <c r="M188" s="257">
        <v>0</v>
      </c>
      <c r="N188" s="257">
        <v>0</v>
      </c>
      <c r="O188" s="257">
        <f t="shared" si="11"/>
        <v>0</v>
      </c>
      <c r="P188" s="257">
        <v>0</v>
      </c>
      <c r="U188" s="226"/>
    </row>
    <row r="189" spans="1:21" ht="13.7" customHeight="1" thickBot="1">
      <c r="A189" s="74" t="s">
        <v>2492</v>
      </c>
      <c r="B189" s="75">
        <v>4033.8441560000001</v>
      </c>
      <c r="C189" s="73">
        <v>20</v>
      </c>
      <c r="D189" s="86">
        <f t="shared" si="9"/>
        <v>60</v>
      </c>
      <c r="E189" s="86">
        <v>0</v>
      </c>
      <c r="F189" s="86">
        <v>0</v>
      </c>
      <c r="G189" s="86">
        <v>1</v>
      </c>
      <c r="H189" s="86">
        <v>0</v>
      </c>
      <c r="I189" s="86">
        <v>0</v>
      </c>
      <c r="J189" s="86">
        <v>0</v>
      </c>
      <c r="K189" s="86">
        <v>0</v>
      </c>
      <c r="L189" s="86">
        <f t="shared" si="10"/>
        <v>0</v>
      </c>
      <c r="M189" s="257">
        <v>0</v>
      </c>
      <c r="N189" s="257">
        <v>0</v>
      </c>
      <c r="O189" s="257">
        <f t="shared" si="11"/>
        <v>0</v>
      </c>
      <c r="P189" s="257">
        <v>0</v>
      </c>
      <c r="U189" s="226"/>
    </row>
    <row r="190" spans="1:21" ht="14.1" customHeight="1" thickBot="1">
      <c r="A190" s="74" t="s">
        <v>2493</v>
      </c>
      <c r="B190" s="75">
        <v>3272.3798149999998</v>
      </c>
      <c r="C190" s="73">
        <f t="shared" si="8"/>
        <v>10</v>
      </c>
      <c r="D190" s="86">
        <f t="shared" si="9"/>
        <v>63</v>
      </c>
      <c r="E190" s="86">
        <v>0</v>
      </c>
      <c r="F190" s="86">
        <v>0</v>
      </c>
      <c r="G190" s="86">
        <v>0</v>
      </c>
      <c r="H190" s="86">
        <v>0</v>
      </c>
      <c r="I190" s="86">
        <v>0</v>
      </c>
      <c r="J190" s="86">
        <v>0</v>
      </c>
      <c r="K190" s="86">
        <v>0</v>
      </c>
      <c r="L190" s="86">
        <f t="shared" si="10"/>
        <v>1</v>
      </c>
      <c r="M190" s="257">
        <v>0</v>
      </c>
      <c r="N190" s="257">
        <v>0</v>
      </c>
      <c r="O190" s="257">
        <f t="shared" si="11"/>
        <v>0</v>
      </c>
      <c r="P190" s="257">
        <v>0</v>
      </c>
      <c r="U190" s="226"/>
    </row>
    <row r="191" spans="1:21" ht="14.25" customHeight="1" thickBot="1">
      <c r="A191" s="74" t="s">
        <v>2494</v>
      </c>
      <c r="B191" s="75">
        <v>31.145299999999999</v>
      </c>
      <c r="C191" s="73">
        <f t="shared" si="8"/>
        <v>10</v>
      </c>
      <c r="D191" s="86">
        <f t="shared" si="9"/>
        <v>153</v>
      </c>
      <c r="E191" s="86">
        <v>0</v>
      </c>
      <c r="F191" s="86">
        <v>0</v>
      </c>
      <c r="G191" s="86">
        <v>0</v>
      </c>
      <c r="H191" s="86">
        <v>0</v>
      </c>
      <c r="I191" s="86">
        <v>0</v>
      </c>
      <c r="J191" s="86">
        <v>0</v>
      </c>
      <c r="K191" s="86">
        <v>0</v>
      </c>
      <c r="L191" s="86">
        <f t="shared" si="10"/>
        <v>1</v>
      </c>
      <c r="M191" s="257">
        <v>0</v>
      </c>
      <c r="N191" s="257">
        <v>0</v>
      </c>
      <c r="O191" s="257">
        <f t="shared" si="11"/>
        <v>0</v>
      </c>
      <c r="P191" s="257">
        <v>0</v>
      </c>
      <c r="U191" s="226"/>
    </row>
    <row r="192" spans="1:21" ht="23.25" customHeight="1" thickBot="1">
      <c r="A192" s="74" t="s">
        <v>2448</v>
      </c>
      <c r="B192" s="75">
        <v>6.0503590000000003</v>
      </c>
      <c r="C192" s="73">
        <f t="shared" si="8"/>
        <v>10</v>
      </c>
      <c r="D192" s="86">
        <f t="shared" si="9"/>
        <v>185</v>
      </c>
      <c r="E192" s="86">
        <v>0</v>
      </c>
      <c r="F192" s="86">
        <v>0</v>
      </c>
      <c r="G192" s="86">
        <v>0</v>
      </c>
      <c r="H192" s="86">
        <v>0</v>
      </c>
      <c r="I192" s="86">
        <v>0</v>
      </c>
      <c r="J192" s="86">
        <v>0</v>
      </c>
      <c r="K192" s="86">
        <v>0</v>
      </c>
      <c r="L192" s="86">
        <f t="shared" si="10"/>
        <v>1</v>
      </c>
      <c r="M192" s="257">
        <v>0</v>
      </c>
      <c r="N192" s="257">
        <v>0</v>
      </c>
      <c r="O192" s="257">
        <f t="shared" si="11"/>
        <v>0</v>
      </c>
      <c r="P192" s="257">
        <v>0</v>
      </c>
      <c r="U192" s="226"/>
    </row>
    <row r="193" spans="1:21" ht="13.7" customHeight="1" thickBot="1">
      <c r="A193" s="74" t="s">
        <v>2495</v>
      </c>
      <c r="B193" s="75">
        <v>26.135928</v>
      </c>
      <c r="C193" s="73">
        <f t="shared" si="8"/>
        <v>10</v>
      </c>
      <c r="D193" s="86">
        <f t="shared" si="9"/>
        <v>156</v>
      </c>
      <c r="E193" s="86">
        <v>0</v>
      </c>
      <c r="F193" s="86">
        <v>0</v>
      </c>
      <c r="G193" s="86">
        <v>0</v>
      </c>
      <c r="H193" s="86">
        <v>0</v>
      </c>
      <c r="I193" s="86">
        <v>0</v>
      </c>
      <c r="J193" s="86">
        <v>0</v>
      </c>
      <c r="K193" s="86">
        <v>0</v>
      </c>
      <c r="L193" s="86">
        <f t="shared" si="10"/>
        <v>1</v>
      </c>
      <c r="M193" s="257">
        <v>0</v>
      </c>
      <c r="N193" s="257">
        <v>0</v>
      </c>
      <c r="O193" s="257">
        <f t="shared" si="11"/>
        <v>0</v>
      </c>
      <c r="P193" s="257">
        <v>0</v>
      </c>
      <c r="U193" s="226"/>
    </row>
    <row r="194" spans="1:21" ht="14.1" customHeight="1" thickBot="1">
      <c r="A194" s="74" t="s">
        <v>2496</v>
      </c>
      <c r="B194" s="75">
        <v>0.59175299999999997</v>
      </c>
      <c r="C194" s="73">
        <f t="shared" si="8"/>
        <v>10</v>
      </c>
      <c r="D194" s="86">
        <f t="shared" si="9"/>
        <v>219</v>
      </c>
      <c r="E194" s="86">
        <v>0</v>
      </c>
      <c r="F194" s="86">
        <v>0</v>
      </c>
      <c r="G194" s="86">
        <v>0</v>
      </c>
      <c r="H194" s="86">
        <v>0</v>
      </c>
      <c r="I194" s="86">
        <v>0</v>
      </c>
      <c r="J194" s="86">
        <v>0</v>
      </c>
      <c r="K194" s="86">
        <v>0</v>
      </c>
      <c r="L194" s="86">
        <f t="shared" si="10"/>
        <v>1</v>
      </c>
      <c r="M194" s="257">
        <v>0</v>
      </c>
      <c r="N194" s="257">
        <v>0</v>
      </c>
      <c r="O194" s="257">
        <f t="shared" si="11"/>
        <v>0</v>
      </c>
      <c r="P194" s="257">
        <v>0</v>
      </c>
      <c r="U194" s="226"/>
    </row>
    <row r="195" spans="1:21" ht="14.1" customHeight="1" thickBot="1">
      <c r="A195" s="74" t="s">
        <v>2450</v>
      </c>
      <c r="B195" s="75">
        <v>13186.777248</v>
      </c>
      <c r="C195" s="73">
        <f t="shared" si="8"/>
        <v>10</v>
      </c>
      <c r="D195" s="86">
        <f t="shared" si="9"/>
        <v>34</v>
      </c>
      <c r="E195" s="86">
        <v>0</v>
      </c>
      <c r="F195" s="86">
        <v>0</v>
      </c>
      <c r="G195" s="86">
        <v>0</v>
      </c>
      <c r="H195" s="86">
        <v>0</v>
      </c>
      <c r="I195" s="86">
        <v>0</v>
      </c>
      <c r="J195" s="86">
        <v>0</v>
      </c>
      <c r="K195" s="86">
        <v>0</v>
      </c>
      <c r="L195" s="86">
        <f t="shared" si="10"/>
        <v>1</v>
      </c>
      <c r="M195" s="257">
        <v>0</v>
      </c>
      <c r="N195" s="257">
        <v>0</v>
      </c>
      <c r="O195" s="257">
        <f t="shared" si="11"/>
        <v>0</v>
      </c>
      <c r="P195" s="257">
        <v>0</v>
      </c>
      <c r="U195" s="226"/>
    </row>
    <row r="196" spans="1:21" ht="14.1" customHeight="1" thickBot="1">
      <c r="A196" s="74" t="s">
        <v>2451</v>
      </c>
      <c r="B196" s="75">
        <v>243.69388900000001</v>
      </c>
      <c r="C196" s="73">
        <f t="shared" si="8"/>
        <v>10</v>
      </c>
      <c r="D196" s="86">
        <f t="shared" si="9"/>
        <v>111</v>
      </c>
      <c r="E196" s="86">
        <v>0</v>
      </c>
      <c r="F196" s="86">
        <v>0</v>
      </c>
      <c r="G196" s="86">
        <v>0</v>
      </c>
      <c r="H196" s="86">
        <v>0</v>
      </c>
      <c r="I196" s="86">
        <v>0</v>
      </c>
      <c r="J196" s="86">
        <v>0</v>
      </c>
      <c r="K196" s="86">
        <v>0</v>
      </c>
      <c r="L196" s="86">
        <f t="shared" si="10"/>
        <v>1</v>
      </c>
      <c r="M196" s="257">
        <v>0</v>
      </c>
      <c r="N196" s="257">
        <v>0</v>
      </c>
      <c r="O196" s="257">
        <f t="shared" si="11"/>
        <v>0</v>
      </c>
      <c r="P196" s="257">
        <v>0</v>
      </c>
      <c r="U196" s="226"/>
    </row>
    <row r="197" spans="1:21" ht="14.1" customHeight="1" thickBot="1">
      <c r="A197" s="74" t="s">
        <v>2295</v>
      </c>
      <c r="B197" s="75">
        <v>840.74989200000005</v>
      </c>
      <c r="C197" s="73">
        <f t="shared" si="8"/>
        <v>37</v>
      </c>
      <c r="D197" s="86">
        <f t="shared" si="9"/>
        <v>89</v>
      </c>
      <c r="E197" s="86">
        <v>0</v>
      </c>
      <c r="F197" s="86">
        <v>0</v>
      </c>
      <c r="G197" s="86">
        <v>0</v>
      </c>
      <c r="H197" s="86">
        <v>0</v>
      </c>
      <c r="I197" s="86">
        <v>0</v>
      </c>
      <c r="J197" s="86">
        <v>0</v>
      </c>
      <c r="K197" s="86">
        <v>0</v>
      </c>
      <c r="L197" s="86">
        <f t="shared" si="10"/>
        <v>1</v>
      </c>
      <c r="M197" s="257">
        <v>0</v>
      </c>
      <c r="N197" s="257">
        <v>0</v>
      </c>
      <c r="O197" s="257">
        <f t="shared" si="11"/>
        <v>1</v>
      </c>
      <c r="P197" s="257">
        <v>35</v>
      </c>
      <c r="U197" s="226"/>
    </row>
    <row r="198" spans="1:21" ht="14.1" customHeight="1" thickBot="1">
      <c r="A198" s="74" t="s">
        <v>2497</v>
      </c>
      <c r="B198" s="75">
        <v>8.0744419999999995</v>
      </c>
      <c r="C198" s="73">
        <f t="shared" si="8"/>
        <v>10</v>
      </c>
      <c r="D198" s="86">
        <f t="shared" si="9"/>
        <v>178</v>
      </c>
      <c r="E198" s="86">
        <v>0</v>
      </c>
      <c r="F198" s="86">
        <v>0</v>
      </c>
      <c r="G198" s="86">
        <v>0</v>
      </c>
      <c r="H198" s="86">
        <v>0</v>
      </c>
      <c r="I198" s="86">
        <v>0</v>
      </c>
      <c r="J198" s="86">
        <v>0</v>
      </c>
      <c r="K198" s="86">
        <v>0</v>
      </c>
      <c r="L198" s="86">
        <f t="shared" si="10"/>
        <v>1</v>
      </c>
      <c r="M198" s="257">
        <v>0</v>
      </c>
      <c r="N198" s="257">
        <v>0</v>
      </c>
      <c r="O198" s="257">
        <f t="shared" si="11"/>
        <v>0</v>
      </c>
      <c r="P198" s="257">
        <v>0</v>
      </c>
      <c r="U198" s="226"/>
    </row>
    <row r="199" spans="1:21" ht="14.1" customHeight="1" thickBot="1">
      <c r="A199" s="74" t="s">
        <v>2498</v>
      </c>
      <c r="B199" s="75">
        <v>29.605194000000001</v>
      </c>
      <c r="C199" s="73">
        <f t="shared" si="8"/>
        <v>10</v>
      </c>
      <c r="D199" s="86">
        <f t="shared" si="9"/>
        <v>154</v>
      </c>
      <c r="E199" s="86">
        <v>0</v>
      </c>
      <c r="F199" s="86">
        <v>0</v>
      </c>
      <c r="G199" s="86">
        <v>0</v>
      </c>
      <c r="H199" s="86">
        <v>0</v>
      </c>
      <c r="I199" s="86">
        <v>0</v>
      </c>
      <c r="J199" s="86">
        <v>0</v>
      </c>
      <c r="K199" s="86">
        <v>0</v>
      </c>
      <c r="L199" s="86">
        <f t="shared" si="10"/>
        <v>1</v>
      </c>
      <c r="M199" s="257">
        <v>0</v>
      </c>
      <c r="N199" s="257">
        <v>0</v>
      </c>
      <c r="O199" s="257">
        <f t="shared" si="11"/>
        <v>0</v>
      </c>
      <c r="P199" s="257">
        <v>0</v>
      </c>
      <c r="U199" s="226"/>
    </row>
    <row r="200" spans="1:21" ht="14.1" customHeight="1" thickBot="1">
      <c r="A200" s="74" t="s">
        <v>2499</v>
      </c>
      <c r="B200" s="75">
        <v>43555.360106</v>
      </c>
      <c r="C200" s="73">
        <f t="shared" si="8"/>
        <v>10</v>
      </c>
      <c r="D200" s="86">
        <f t="shared" si="9"/>
        <v>18</v>
      </c>
      <c r="E200" s="86">
        <v>0</v>
      </c>
      <c r="F200" s="86">
        <v>0</v>
      </c>
      <c r="G200" s="86">
        <v>0</v>
      </c>
      <c r="H200" s="86">
        <v>0</v>
      </c>
      <c r="I200" s="86">
        <v>0</v>
      </c>
      <c r="J200" s="86">
        <v>0</v>
      </c>
      <c r="K200" s="86">
        <v>1</v>
      </c>
      <c r="L200" s="86">
        <f t="shared" si="10"/>
        <v>0</v>
      </c>
      <c r="M200" s="257">
        <v>0</v>
      </c>
      <c r="N200" s="257">
        <v>0</v>
      </c>
      <c r="O200" s="257">
        <f t="shared" si="11"/>
        <v>0</v>
      </c>
      <c r="P200" s="257">
        <v>0</v>
      </c>
      <c r="U200" s="226"/>
    </row>
    <row r="201" spans="1:21" ht="14.1" customHeight="1" thickBot="1">
      <c r="A201" s="74" t="s">
        <v>2454</v>
      </c>
      <c r="B201" s="75">
        <v>101.86493</v>
      </c>
      <c r="C201" s="73">
        <f t="shared" si="8"/>
        <v>10</v>
      </c>
      <c r="D201" s="86">
        <f t="shared" si="9"/>
        <v>129</v>
      </c>
      <c r="E201" s="86">
        <v>0</v>
      </c>
      <c r="F201" s="86">
        <v>0</v>
      </c>
      <c r="G201" s="86">
        <v>0</v>
      </c>
      <c r="H201" s="86">
        <v>0</v>
      </c>
      <c r="I201" s="86">
        <v>0</v>
      </c>
      <c r="J201" s="86">
        <v>0</v>
      </c>
      <c r="K201" s="86">
        <v>0</v>
      </c>
      <c r="L201" s="86">
        <f t="shared" si="10"/>
        <v>1</v>
      </c>
      <c r="M201" s="257">
        <v>0</v>
      </c>
      <c r="N201" s="257">
        <v>0</v>
      </c>
      <c r="O201" s="257">
        <f t="shared" si="11"/>
        <v>0</v>
      </c>
      <c r="P201" s="257">
        <v>0</v>
      </c>
      <c r="U201" s="226"/>
    </row>
    <row r="202" spans="1:21" ht="14.1" customHeight="1" thickBot="1">
      <c r="A202" s="74" t="s">
        <v>2500</v>
      </c>
      <c r="B202" s="75">
        <v>8301.870895</v>
      </c>
      <c r="C202" s="73">
        <v>20</v>
      </c>
      <c r="D202" s="86">
        <f t="shared" si="9"/>
        <v>42</v>
      </c>
      <c r="E202" s="86">
        <v>0</v>
      </c>
      <c r="F202" s="86">
        <v>0</v>
      </c>
      <c r="G202" s="86">
        <v>1</v>
      </c>
      <c r="H202" s="86">
        <v>0</v>
      </c>
      <c r="I202" s="86">
        <v>0</v>
      </c>
      <c r="J202" s="86">
        <v>0</v>
      </c>
      <c r="K202" s="86">
        <v>0</v>
      </c>
      <c r="L202" s="86">
        <f t="shared" si="10"/>
        <v>0</v>
      </c>
      <c r="M202" s="257">
        <v>0</v>
      </c>
      <c r="N202" s="257">
        <v>0</v>
      </c>
      <c r="O202" s="257">
        <f t="shared" si="11"/>
        <v>0</v>
      </c>
      <c r="P202" s="257">
        <v>0</v>
      </c>
      <c r="U202" s="226"/>
    </row>
    <row r="203" spans="1:21" ht="14.1" customHeight="1" thickBot="1">
      <c r="A203" s="74" t="s">
        <v>2501</v>
      </c>
      <c r="B203" s="75">
        <v>6333.6562430000004</v>
      </c>
      <c r="C203" s="73">
        <v>20</v>
      </c>
      <c r="D203" s="86">
        <f t="shared" si="9"/>
        <v>50</v>
      </c>
      <c r="E203" s="86">
        <v>0</v>
      </c>
      <c r="F203" s="86">
        <v>0</v>
      </c>
      <c r="G203" s="86">
        <v>1</v>
      </c>
      <c r="H203" s="86">
        <v>0</v>
      </c>
      <c r="I203" s="86">
        <v>0</v>
      </c>
      <c r="J203" s="86">
        <v>0</v>
      </c>
      <c r="K203" s="86">
        <v>0</v>
      </c>
      <c r="L203" s="86">
        <f t="shared" si="10"/>
        <v>0</v>
      </c>
      <c r="M203" s="257">
        <v>0</v>
      </c>
      <c r="N203" s="257">
        <v>0</v>
      </c>
      <c r="O203" s="257">
        <f t="shared" si="11"/>
        <v>0</v>
      </c>
      <c r="P203" s="257">
        <v>0</v>
      </c>
      <c r="U203" s="226"/>
    </row>
    <row r="204" spans="1:21" ht="14.1" customHeight="1" thickBot="1">
      <c r="A204" s="74" t="s">
        <v>2455</v>
      </c>
      <c r="B204" s="75">
        <v>1.513876</v>
      </c>
      <c r="C204" s="73">
        <f t="shared" si="8"/>
        <v>10</v>
      </c>
      <c r="D204" s="86">
        <f t="shared" si="9"/>
        <v>211</v>
      </c>
      <c r="E204" s="86">
        <v>0</v>
      </c>
      <c r="F204" s="86">
        <v>0</v>
      </c>
      <c r="G204" s="86">
        <v>0</v>
      </c>
      <c r="H204" s="86">
        <v>0</v>
      </c>
      <c r="I204" s="86">
        <v>0</v>
      </c>
      <c r="J204" s="86">
        <v>0</v>
      </c>
      <c r="K204" s="86">
        <v>0</v>
      </c>
      <c r="L204" s="86">
        <f t="shared" si="10"/>
        <v>1</v>
      </c>
      <c r="M204" s="257">
        <v>0</v>
      </c>
      <c r="N204" s="257">
        <v>0</v>
      </c>
      <c r="O204" s="257">
        <f t="shared" si="11"/>
        <v>0</v>
      </c>
      <c r="P204" s="257">
        <v>0</v>
      </c>
      <c r="U204" s="226"/>
    </row>
    <row r="205" spans="1:21" ht="14.1" customHeight="1" thickBot="1">
      <c r="A205" s="74" t="s">
        <v>2502</v>
      </c>
      <c r="B205" s="75">
        <v>2.62466</v>
      </c>
      <c r="C205" s="73">
        <f t="shared" si="8"/>
        <v>10</v>
      </c>
      <c r="D205" s="86">
        <f t="shared" si="9"/>
        <v>201</v>
      </c>
      <c r="E205" s="86">
        <v>0</v>
      </c>
      <c r="F205" s="86">
        <v>0</v>
      </c>
      <c r="G205" s="86">
        <v>0</v>
      </c>
      <c r="H205" s="86">
        <v>0</v>
      </c>
      <c r="I205" s="86">
        <v>0</v>
      </c>
      <c r="J205" s="86">
        <v>0</v>
      </c>
      <c r="K205" s="86">
        <v>0</v>
      </c>
      <c r="L205" s="86">
        <f t="shared" si="10"/>
        <v>1</v>
      </c>
      <c r="M205" s="257">
        <v>0</v>
      </c>
      <c r="N205" s="257">
        <v>0</v>
      </c>
      <c r="O205" s="257">
        <f t="shared" si="11"/>
        <v>0</v>
      </c>
      <c r="P205" s="257">
        <v>0</v>
      </c>
      <c r="U205" s="226"/>
    </row>
    <row r="206" spans="1:21" ht="14.1" customHeight="1" thickBot="1">
      <c r="A206" s="74" t="s">
        <v>2318</v>
      </c>
      <c r="B206" s="75">
        <v>14922.759415</v>
      </c>
      <c r="C206" s="73">
        <f t="shared" si="8"/>
        <v>30</v>
      </c>
      <c r="D206" s="86">
        <f t="shared" si="9"/>
        <v>30</v>
      </c>
      <c r="E206" s="86">
        <v>0</v>
      </c>
      <c r="F206" s="86">
        <v>0</v>
      </c>
      <c r="G206" s="86">
        <v>0</v>
      </c>
      <c r="H206" s="86">
        <v>0</v>
      </c>
      <c r="I206" s="86">
        <v>0</v>
      </c>
      <c r="J206" s="86">
        <v>0</v>
      </c>
      <c r="K206" s="86">
        <v>0</v>
      </c>
      <c r="L206" s="86">
        <f t="shared" si="10"/>
        <v>1</v>
      </c>
      <c r="M206" s="257">
        <v>0</v>
      </c>
      <c r="N206" s="257">
        <v>0</v>
      </c>
      <c r="O206" s="257">
        <f t="shared" si="11"/>
        <v>1</v>
      </c>
      <c r="P206" s="257">
        <v>30</v>
      </c>
      <c r="U206" s="226"/>
    </row>
    <row r="207" spans="1:21" ht="14.1" customHeight="1" thickBot="1">
      <c r="A207" s="74" t="s">
        <v>2457</v>
      </c>
      <c r="B207" s="75">
        <v>0.80831299999999995</v>
      </c>
      <c r="C207" s="73">
        <f t="shared" si="8"/>
        <v>10</v>
      </c>
      <c r="D207" s="86">
        <f t="shared" si="9"/>
        <v>218</v>
      </c>
      <c r="E207" s="86">
        <v>0</v>
      </c>
      <c r="F207" s="86">
        <v>0</v>
      </c>
      <c r="G207" s="86">
        <v>0</v>
      </c>
      <c r="H207" s="86">
        <v>0</v>
      </c>
      <c r="I207" s="86">
        <v>0</v>
      </c>
      <c r="J207" s="86">
        <v>0</v>
      </c>
      <c r="K207" s="86">
        <v>0</v>
      </c>
      <c r="L207" s="86">
        <f t="shared" si="10"/>
        <v>1</v>
      </c>
      <c r="M207" s="257">
        <v>0</v>
      </c>
      <c r="N207" s="257">
        <v>0</v>
      </c>
      <c r="O207" s="257">
        <f t="shared" si="11"/>
        <v>0</v>
      </c>
      <c r="P207" s="257">
        <v>0</v>
      </c>
      <c r="U207" s="226"/>
    </row>
    <row r="208" spans="1:21" ht="14.1" customHeight="1" thickBot="1">
      <c r="A208" s="74" t="s">
        <v>2503</v>
      </c>
      <c r="B208" s="75">
        <v>22090.849378999999</v>
      </c>
      <c r="C208" s="73">
        <v>20</v>
      </c>
      <c r="D208" s="86">
        <f t="shared" si="9"/>
        <v>23</v>
      </c>
      <c r="E208" s="86">
        <v>0</v>
      </c>
      <c r="F208" s="86">
        <v>0</v>
      </c>
      <c r="G208" s="86">
        <v>1</v>
      </c>
      <c r="H208" s="86">
        <v>0</v>
      </c>
      <c r="I208" s="86">
        <v>0</v>
      </c>
      <c r="J208" s="86">
        <v>0</v>
      </c>
      <c r="K208" s="86">
        <v>0</v>
      </c>
      <c r="L208" s="86">
        <f t="shared" si="10"/>
        <v>0</v>
      </c>
      <c r="M208" s="257">
        <v>0</v>
      </c>
      <c r="N208" s="257">
        <v>0</v>
      </c>
      <c r="O208" s="257">
        <f t="shared" si="11"/>
        <v>0</v>
      </c>
      <c r="P208" s="257">
        <v>0</v>
      </c>
      <c r="U208" s="226"/>
    </row>
    <row r="209" spans="1:21" ht="14.1" customHeight="1" thickBot="1">
      <c r="A209" s="74" t="s">
        <v>2278</v>
      </c>
      <c r="B209" s="75">
        <v>3159.214958</v>
      </c>
      <c r="C209" s="73">
        <f t="shared" si="8"/>
        <v>44</v>
      </c>
      <c r="D209" s="86">
        <f t="shared" si="9"/>
        <v>64</v>
      </c>
      <c r="E209" s="86">
        <v>0</v>
      </c>
      <c r="F209" s="86">
        <v>0</v>
      </c>
      <c r="G209" s="86">
        <v>0</v>
      </c>
      <c r="H209" s="86">
        <v>0</v>
      </c>
      <c r="I209" s="86">
        <v>0</v>
      </c>
      <c r="J209" s="86">
        <v>0</v>
      </c>
      <c r="K209" s="86">
        <v>0</v>
      </c>
      <c r="L209" s="86">
        <f t="shared" si="10"/>
        <v>1</v>
      </c>
      <c r="M209" s="257">
        <v>0</v>
      </c>
      <c r="N209" s="257">
        <v>0</v>
      </c>
      <c r="O209" s="257">
        <f t="shared" si="11"/>
        <v>1</v>
      </c>
      <c r="P209" s="257">
        <v>20</v>
      </c>
      <c r="U209" s="226"/>
    </row>
    <row r="210" spans="1:21" ht="14.1" customHeight="1" thickBot="1">
      <c r="A210" s="74" t="s">
        <v>2504</v>
      </c>
      <c r="B210" s="75">
        <v>10.816366</v>
      </c>
      <c r="C210" s="73">
        <f t="shared" ref="C210:C249" si="12">IF(SUMIFS($T$18:$T$177,$R$18:$R$177,A210)=0,10,SUMIFS($T$18:$T$177,$R$18:$R$177,A210))</f>
        <v>10</v>
      </c>
      <c r="D210" s="86">
        <f t="shared" ref="D210:D251" si="13">RANK(B210,$B$17:$B$249)</f>
        <v>174</v>
      </c>
      <c r="E210" s="86">
        <v>0</v>
      </c>
      <c r="F210" s="86">
        <v>0</v>
      </c>
      <c r="G210" s="86">
        <v>0</v>
      </c>
      <c r="H210" s="86">
        <v>0</v>
      </c>
      <c r="I210" s="86">
        <v>0</v>
      </c>
      <c r="J210" s="86">
        <v>0</v>
      </c>
      <c r="K210" s="86">
        <v>0</v>
      </c>
      <c r="L210" s="86">
        <f t="shared" ref="L210:L249" si="14">1-SUM(E210:K210)</f>
        <v>1</v>
      </c>
      <c r="M210" s="257">
        <v>0</v>
      </c>
      <c r="N210" s="257">
        <v>0</v>
      </c>
      <c r="O210" s="257">
        <f t="shared" ref="O210:O249" si="15">IF(P210&gt;0,1,0)</f>
        <v>0</v>
      </c>
      <c r="P210" s="257">
        <v>0</v>
      </c>
      <c r="U210" s="226"/>
    </row>
    <row r="211" spans="1:21" ht="14.1" customHeight="1" thickBot="1">
      <c r="A211" s="74" t="s">
        <v>2505</v>
      </c>
      <c r="B211" s="75">
        <v>20.459595</v>
      </c>
      <c r="C211" s="73">
        <f t="shared" si="12"/>
        <v>10</v>
      </c>
      <c r="D211" s="86">
        <f t="shared" si="13"/>
        <v>164</v>
      </c>
      <c r="E211" s="86">
        <v>0</v>
      </c>
      <c r="F211" s="86">
        <v>0</v>
      </c>
      <c r="G211" s="86">
        <v>0</v>
      </c>
      <c r="H211" s="86">
        <v>0</v>
      </c>
      <c r="I211" s="86">
        <v>0</v>
      </c>
      <c r="J211" s="86">
        <v>0</v>
      </c>
      <c r="K211" s="86">
        <v>0</v>
      </c>
      <c r="L211" s="86">
        <f t="shared" si="14"/>
        <v>1</v>
      </c>
      <c r="M211" s="257">
        <v>0</v>
      </c>
      <c r="N211" s="257">
        <v>0</v>
      </c>
      <c r="O211" s="257">
        <f t="shared" si="15"/>
        <v>0</v>
      </c>
      <c r="P211" s="257">
        <v>0</v>
      </c>
      <c r="U211" s="226"/>
    </row>
    <row r="212" spans="1:21" ht="14.1" customHeight="1" thickBot="1">
      <c r="A212" s="74" t="s">
        <v>2506</v>
      </c>
      <c r="B212" s="75">
        <v>7.29467</v>
      </c>
      <c r="C212" s="73">
        <f t="shared" si="12"/>
        <v>10</v>
      </c>
      <c r="D212" s="86">
        <f t="shared" si="13"/>
        <v>180</v>
      </c>
      <c r="E212" s="86">
        <v>0</v>
      </c>
      <c r="F212" s="86">
        <v>0</v>
      </c>
      <c r="G212" s="86">
        <v>0</v>
      </c>
      <c r="H212" s="86">
        <v>0</v>
      </c>
      <c r="I212" s="86">
        <v>0</v>
      </c>
      <c r="J212" s="86">
        <v>0</v>
      </c>
      <c r="K212" s="86">
        <v>0</v>
      </c>
      <c r="L212" s="86">
        <f t="shared" si="14"/>
        <v>1</v>
      </c>
      <c r="M212" s="257">
        <v>0</v>
      </c>
      <c r="N212" s="257">
        <v>0</v>
      </c>
      <c r="O212" s="257">
        <f t="shared" si="15"/>
        <v>0</v>
      </c>
      <c r="P212" s="257">
        <v>0</v>
      </c>
      <c r="U212" s="226"/>
    </row>
    <row r="213" spans="1:21" ht="14.1" customHeight="1" thickBot="1">
      <c r="A213" s="74" t="s">
        <v>2507</v>
      </c>
      <c r="B213" s="75">
        <v>3.4363269999999999</v>
      </c>
      <c r="C213" s="73">
        <f t="shared" si="12"/>
        <v>10</v>
      </c>
      <c r="D213" s="86">
        <f t="shared" si="13"/>
        <v>197</v>
      </c>
      <c r="E213" s="86">
        <v>0</v>
      </c>
      <c r="F213" s="86">
        <v>0</v>
      </c>
      <c r="G213" s="86">
        <v>0</v>
      </c>
      <c r="H213" s="86">
        <v>0</v>
      </c>
      <c r="I213" s="86">
        <v>0</v>
      </c>
      <c r="J213" s="86">
        <v>0</v>
      </c>
      <c r="K213" s="86">
        <v>0</v>
      </c>
      <c r="L213" s="86">
        <f t="shared" si="14"/>
        <v>1</v>
      </c>
      <c r="M213" s="257">
        <v>0</v>
      </c>
      <c r="N213" s="257">
        <v>0</v>
      </c>
      <c r="O213" s="257">
        <f t="shared" si="15"/>
        <v>0</v>
      </c>
      <c r="P213" s="257">
        <v>0</v>
      </c>
      <c r="U213" s="226"/>
    </row>
    <row r="214" spans="1:21" ht="14.1" customHeight="1" thickBot="1">
      <c r="A214" s="74" t="s">
        <v>2508</v>
      </c>
      <c r="B214" s="75">
        <v>8.3981089999999998</v>
      </c>
      <c r="C214" s="73">
        <f t="shared" si="12"/>
        <v>10</v>
      </c>
      <c r="D214" s="86">
        <f t="shared" si="13"/>
        <v>177</v>
      </c>
      <c r="E214" s="86">
        <v>0</v>
      </c>
      <c r="F214" s="86">
        <v>0</v>
      </c>
      <c r="G214" s="86">
        <v>0</v>
      </c>
      <c r="H214" s="86">
        <v>0</v>
      </c>
      <c r="I214" s="86">
        <v>0</v>
      </c>
      <c r="J214" s="86">
        <v>0</v>
      </c>
      <c r="K214" s="86">
        <v>0</v>
      </c>
      <c r="L214" s="86">
        <f t="shared" si="14"/>
        <v>1</v>
      </c>
      <c r="M214" s="257">
        <v>0</v>
      </c>
      <c r="N214" s="257">
        <v>0</v>
      </c>
      <c r="O214" s="257">
        <f t="shared" si="15"/>
        <v>0</v>
      </c>
      <c r="P214" s="257">
        <v>0</v>
      </c>
      <c r="U214" s="226"/>
    </row>
    <row r="215" spans="1:21" ht="14.1" customHeight="1" thickBot="1">
      <c r="A215" s="74" t="s">
        <v>2459</v>
      </c>
      <c r="B215" s="75">
        <v>13.214667</v>
      </c>
      <c r="C215" s="73">
        <f t="shared" si="12"/>
        <v>10</v>
      </c>
      <c r="D215" s="86">
        <f t="shared" si="13"/>
        <v>170</v>
      </c>
      <c r="E215" s="86">
        <v>0</v>
      </c>
      <c r="F215" s="86">
        <v>0</v>
      </c>
      <c r="G215" s="86">
        <v>0</v>
      </c>
      <c r="H215" s="86">
        <v>0</v>
      </c>
      <c r="I215" s="86">
        <v>0</v>
      </c>
      <c r="J215" s="86">
        <v>0</v>
      </c>
      <c r="K215" s="86">
        <v>0</v>
      </c>
      <c r="L215" s="86">
        <f t="shared" si="14"/>
        <v>1</v>
      </c>
      <c r="M215" s="257">
        <v>0</v>
      </c>
      <c r="N215" s="257">
        <v>0</v>
      </c>
      <c r="O215" s="257">
        <f t="shared" si="15"/>
        <v>0</v>
      </c>
      <c r="P215" s="257">
        <v>0</v>
      </c>
      <c r="U215" s="226"/>
    </row>
    <row r="216" spans="1:21" ht="14.1" customHeight="1" thickBot="1">
      <c r="A216" s="74" t="s">
        <v>2460</v>
      </c>
      <c r="B216" s="75">
        <v>96.642864000000003</v>
      </c>
      <c r="C216" s="73">
        <f t="shared" si="12"/>
        <v>10</v>
      </c>
      <c r="D216" s="86">
        <f t="shared" si="13"/>
        <v>131</v>
      </c>
      <c r="E216" s="86">
        <v>0</v>
      </c>
      <c r="F216" s="86">
        <v>0</v>
      </c>
      <c r="G216" s="86">
        <v>0</v>
      </c>
      <c r="H216" s="86">
        <v>0</v>
      </c>
      <c r="I216" s="86">
        <v>0</v>
      </c>
      <c r="J216" s="86">
        <v>0</v>
      </c>
      <c r="K216" s="86">
        <v>0</v>
      </c>
      <c r="L216" s="86">
        <f t="shared" si="14"/>
        <v>1</v>
      </c>
      <c r="M216" s="257">
        <v>0</v>
      </c>
      <c r="N216" s="257">
        <v>0</v>
      </c>
      <c r="O216" s="257">
        <f t="shared" si="15"/>
        <v>0</v>
      </c>
      <c r="P216" s="257">
        <v>0</v>
      </c>
      <c r="U216" s="226"/>
    </row>
    <row r="217" spans="1:21" ht="14.1" customHeight="1" thickBot="1">
      <c r="A217" s="74" t="s">
        <v>2509</v>
      </c>
      <c r="B217" s="75" t="s">
        <v>2381</v>
      </c>
      <c r="C217" s="73">
        <f t="shared" si="12"/>
        <v>10</v>
      </c>
      <c r="D217" s="86" t="e">
        <f t="shared" si="13"/>
        <v>#VALUE!</v>
      </c>
      <c r="E217" s="86">
        <v>0</v>
      </c>
      <c r="F217" s="86">
        <v>0</v>
      </c>
      <c r="G217" s="86">
        <v>0</v>
      </c>
      <c r="H217" s="86">
        <v>0</v>
      </c>
      <c r="I217" s="86">
        <v>0</v>
      </c>
      <c r="J217" s="86">
        <v>0</v>
      </c>
      <c r="K217" s="86">
        <v>0</v>
      </c>
      <c r="L217" s="86">
        <f t="shared" si="14"/>
        <v>1</v>
      </c>
      <c r="M217" s="257">
        <v>0</v>
      </c>
      <c r="N217" s="257">
        <v>0</v>
      </c>
      <c r="O217" s="257">
        <f t="shared" si="15"/>
        <v>0</v>
      </c>
      <c r="P217" s="257">
        <v>0</v>
      </c>
      <c r="U217" s="226"/>
    </row>
    <row r="218" spans="1:21" ht="14.1" customHeight="1" thickBot="1">
      <c r="A218" s="74" t="s">
        <v>2510</v>
      </c>
      <c r="B218" s="75">
        <v>18492.043855</v>
      </c>
      <c r="C218" s="73">
        <v>20</v>
      </c>
      <c r="D218" s="86">
        <f t="shared" si="13"/>
        <v>24</v>
      </c>
      <c r="E218" s="86">
        <v>0</v>
      </c>
      <c r="F218" s="86">
        <v>0</v>
      </c>
      <c r="G218" s="86">
        <v>1</v>
      </c>
      <c r="H218" s="86">
        <v>0</v>
      </c>
      <c r="I218" s="86">
        <v>0</v>
      </c>
      <c r="J218" s="86">
        <v>0</v>
      </c>
      <c r="K218" s="86">
        <v>0</v>
      </c>
      <c r="L218" s="86">
        <f t="shared" si="14"/>
        <v>0</v>
      </c>
      <c r="M218" s="257">
        <v>0</v>
      </c>
      <c r="N218" s="257">
        <v>0</v>
      </c>
      <c r="O218" s="257">
        <f t="shared" si="15"/>
        <v>0</v>
      </c>
      <c r="P218" s="257">
        <v>0</v>
      </c>
      <c r="U218" s="226"/>
    </row>
    <row r="219" spans="1:21" ht="14.1" customHeight="1" thickBot="1">
      <c r="A219" s="74" t="s">
        <v>2313</v>
      </c>
      <c r="B219" s="75">
        <v>63881.089874999998</v>
      </c>
      <c r="C219" s="73">
        <f t="shared" si="12"/>
        <v>31</v>
      </c>
      <c r="D219" s="86">
        <f t="shared" si="13"/>
        <v>14</v>
      </c>
      <c r="E219" s="86">
        <v>0</v>
      </c>
      <c r="F219" s="86">
        <v>0</v>
      </c>
      <c r="G219" s="86">
        <v>0</v>
      </c>
      <c r="H219" s="86">
        <v>0</v>
      </c>
      <c r="I219" s="86">
        <v>0</v>
      </c>
      <c r="J219" s="86">
        <v>0</v>
      </c>
      <c r="K219" s="86">
        <v>0</v>
      </c>
      <c r="L219" s="86">
        <f t="shared" si="14"/>
        <v>1</v>
      </c>
      <c r="M219" s="257">
        <v>0</v>
      </c>
      <c r="N219" s="257">
        <v>0</v>
      </c>
      <c r="O219" s="257">
        <f t="shared" si="15"/>
        <v>1</v>
      </c>
      <c r="P219" s="257">
        <v>39</v>
      </c>
      <c r="U219" s="226"/>
    </row>
    <row r="220" spans="1:21" ht="14.1" customHeight="1" thickBot="1">
      <c r="A220" s="74" t="s">
        <v>2511</v>
      </c>
      <c r="B220" s="75">
        <v>11.176690000000001</v>
      </c>
      <c r="C220" s="73">
        <f t="shared" si="12"/>
        <v>10</v>
      </c>
      <c r="D220" s="86">
        <f t="shared" si="13"/>
        <v>172</v>
      </c>
      <c r="E220" s="86">
        <v>0</v>
      </c>
      <c r="F220" s="86">
        <v>0</v>
      </c>
      <c r="G220" s="86">
        <v>0</v>
      </c>
      <c r="H220" s="86">
        <v>0</v>
      </c>
      <c r="I220" s="86">
        <v>0</v>
      </c>
      <c r="J220" s="86">
        <v>0</v>
      </c>
      <c r="K220" s="86">
        <v>0</v>
      </c>
      <c r="L220" s="86">
        <f t="shared" si="14"/>
        <v>1</v>
      </c>
      <c r="M220" s="257">
        <v>0</v>
      </c>
      <c r="N220" s="257">
        <v>0</v>
      </c>
      <c r="O220" s="257">
        <f t="shared" si="15"/>
        <v>1</v>
      </c>
      <c r="P220" s="257">
        <v>41</v>
      </c>
      <c r="U220" s="226"/>
    </row>
    <row r="221" spans="1:21" ht="24.75" customHeight="1" thickBot="1">
      <c r="A221" s="74" t="s">
        <v>2307</v>
      </c>
      <c r="B221" s="75">
        <v>118730.454766</v>
      </c>
      <c r="C221" s="73">
        <f t="shared" si="12"/>
        <v>32</v>
      </c>
      <c r="D221" s="86">
        <f t="shared" si="13"/>
        <v>8</v>
      </c>
      <c r="E221" s="86">
        <v>0</v>
      </c>
      <c r="F221" s="86">
        <v>0</v>
      </c>
      <c r="G221" s="86">
        <v>0</v>
      </c>
      <c r="H221" s="86">
        <v>0</v>
      </c>
      <c r="I221" s="86">
        <v>0</v>
      </c>
      <c r="J221" s="86">
        <v>0</v>
      </c>
      <c r="K221" s="86">
        <v>0</v>
      </c>
      <c r="L221" s="86">
        <f t="shared" si="14"/>
        <v>1</v>
      </c>
      <c r="M221" s="257">
        <v>0</v>
      </c>
      <c r="N221" s="257">
        <v>0</v>
      </c>
      <c r="O221" s="257">
        <f t="shared" si="15"/>
        <v>1</v>
      </c>
      <c r="P221" s="257">
        <v>20</v>
      </c>
      <c r="U221" s="226"/>
    </row>
    <row r="222" spans="1:21" ht="13.7" customHeight="1" thickBot="1">
      <c r="A222" s="74" t="s">
        <v>2463</v>
      </c>
      <c r="B222" s="75">
        <v>4.7080200000000003</v>
      </c>
      <c r="C222" s="73">
        <f t="shared" si="12"/>
        <v>10</v>
      </c>
      <c r="D222" s="86">
        <f t="shared" si="13"/>
        <v>189</v>
      </c>
      <c r="E222" s="86">
        <v>0</v>
      </c>
      <c r="F222" s="86">
        <v>0</v>
      </c>
      <c r="G222" s="86">
        <v>0</v>
      </c>
      <c r="H222" s="86">
        <v>0</v>
      </c>
      <c r="I222" s="86">
        <v>0</v>
      </c>
      <c r="J222" s="86">
        <v>0</v>
      </c>
      <c r="K222" s="86">
        <v>0</v>
      </c>
      <c r="L222" s="86">
        <f t="shared" si="14"/>
        <v>1</v>
      </c>
      <c r="M222" s="257">
        <v>0</v>
      </c>
      <c r="N222" s="257">
        <v>0</v>
      </c>
      <c r="O222" s="257">
        <f t="shared" si="15"/>
        <v>0</v>
      </c>
      <c r="P222" s="257">
        <v>0</v>
      </c>
      <c r="U222" s="226"/>
    </row>
    <row r="223" spans="1:21" ht="14.1" customHeight="1" thickBot="1">
      <c r="A223" s="74" t="s">
        <v>2464</v>
      </c>
      <c r="B223" s="75">
        <v>211.40845400000001</v>
      </c>
      <c r="C223" s="73">
        <f t="shared" si="12"/>
        <v>10</v>
      </c>
      <c r="D223" s="86">
        <f t="shared" si="13"/>
        <v>115</v>
      </c>
      <c r="E223" s="86">
        <v>0</v>
      </c>
      <c r="F223" s="86">
        <v>0</v>
      </c>
      <c r="G223" s="86">
        <v>0</v>
      </c>
      <c r="H223" s="86">
        <v>0</v>
      </c>
      <c r="I223" s="86">
        <v>0</v>
      </c>
      <c r="J223" s="86">
        <v>0</v>
      </c>
      <c r="K223" s="86">
        <v>0</v>
      </c>
      <c r="L223" s="86">
        <f t="shared" si="14"/>
        <v>1</v>
      </c>
      <c r="M223" s="257">
        <v>0</v>
      </c>
      <c r="N223" s="257">
        <v>0</v>
      </c>
      <c r="O223" s="257">
        <f t="shared" si="15"/>
        <v>0</v>
      </c>
      <c r="P223" s="257">
        <v>0</v>
      </c>
      <c r="U223" s="226"/>
    </row>
    <row r="224" spans="1:21" ht="14.1" customHeight="1" thickBot="1">
      <c r="A224" s="74" t="s">
        <v>2297</v>
      </c>
      <c r="B224" s="75">
        <v>66011.261761000002</v>
      </c>
      <c r="C224" s="73">
        <f t="shared" si="12"/>
        <v>36</v>
      </c>
      <c r="D224" s="86">
        <f t="shared" si="13"/>
        <v>13</v>
      </c>
      <c r="E224" s="86">
        <v>0</v>
      </c>
      <c r="F224" s="86">
        <v>0</v>
      </c>
      <c r="G224" s="86">
        <v>0</v>
      </c>
      <c r="H224" s="86">
        <v>0</v>
      </c>
      <c r="I224" s="86">
        <v>0</v>
      </c>
      <c r="J224" s="86">
        <v>0</v>
      </c>
      <c r="K224" s="86">
        <v>0</v>
      </c>
      <c r="L224" s="86">
        <f t="shared" si="14"/>
        <v>1</v>
      </c>
      <c r="M224" s="257">
        <v>0</v>
      </c>
      <c r="N224" s="257">
        <v>0</v>
      </c>
      <c r="O224" s="257">
        <f t="shared" si="15"/>
        <v>1</v>
      </c>
      <c r="P224" s="257">
        <v>19</v>
      </c>
      <c r="U224" s="226"/>
    </row>
    <row r="225" spans="1:21" ht="14.1" customHeight="1" thickBot="1">
      <c r="A225" s="74" t="s">
        <v>2465</v>
      </c>
      <c r="B225" s="75">
        <v>6.0799969999999997</v>
      </c>
      <c r="C225" s="73">
        <f t="shared" si="12"/>
        <v>10</v>
      </c>
      <c r="D225" s="86">
        <f t="shared" si="13"/>
        <v>184</v>
      </c>
      <c r="E225" s="86">
        <v>0</v>
      </c>
      <c r="F225" s="86">
        <v>0</v>
      </c>
      <c r="G225" s="86">
        <v>0</v>
      </c>
      <c r="H225" s="86">
        <v>0</v>
      </c>
      <c r="I225" s="86">
        <v>0</v>
      </c>
      <c r="J225" s="86">
        <v>0</v>
      </c>
      <c r="K225" s="86">
        <v>0</v>
      </c>
      <c r="L225" s="86">
        <f t="shared" si="14"/>
        <v>1</v>
      </c>
      <c r="M225" s="257">
        <v>0</v>
      </c>
      <c r="N225" s="257">
        <v>0</v>
      </c>
      <c r="O225" s="257">
        <f t="shared" si="15"/>
        <v>0</v>
      </c>
      <c r="P225" s="257">
        <v>0</v>
      </c>
      <c r="U225" s="226"/>
    </row>
    <row r="226" spans="1:21" ht="14.1" customHeight="1" thickBot="1">
      <c r="A226" s="74" t="s">
        <v>2466</v>
      </c>
      <c r="B226" s="75">
        <v>97.472139999999996</v>
      </c>
      <c r="C226" s="73">
        <f t="shared" si="12"/>
        <v>10</v>
      </c>
      <c r="D226" s="86">
        <f t="shared" si="13"/>
        <v>130</v>
      </c>
      <c r="E226" s="86">
        <v>0</v>
      </c>
      <c r="F226" s="86">
        <v>0</v>
      </c>
      <c r="G226" s="86">
        <v>0</v>
      </c>
      <c r="H226" s="86">
        <v>0</v>
      </c>
      <c r="I226" s="86">
        <v>0</v>
      </c>
      <c r="J226" s="86">
        <v>0</v>
      </c>
      <c r="K226" s="86">
        <v>0</v>
      </c>
      <c r="L226" s="86">
        <f t="shared" si="14"/>
        <v>1</v>
      </c>
      <c r="M226" s="257">
        <v>0</v>
      </c>
      <c r="N226" s="257">
        <v>0</v>
      </c>
      <c r="O226" s="257">
        <f t="shared" si="15"/>
        <v>0</v>
      </c>
      <c r="P226" s="257">
        <v>0</v>
      </c>
      <c r="U226" s="226"/>
    </row>
    <row r="227" spans="1:21" ht="14.1" customHeight="1" thickBot="1">
      <c r="A227" s="74" t="s">
        <v>2467</v>
      </c>
      <c r="B227" s="75">
        <v>0.179092</v>
      </c>
      <c r="C227" s="73">
        <f t="shared" si="12"/>
        <v>10</v>
      </c>
      <c r="D227" s="86">
        <f t="shared" si="13"/>
        <v>225</v>
      </c>
      <c r="E227" s="86">
        <v>0</v>
      </c>
      <c r="F227" s="86">
        <v>0</v>
      </c>
      <c r="G227" s="86">
        <v>0</v>
      </c>
      <c r="H227" s="86">
        <v>0</v>
      </c>
      <c r="I227" s="86">
        <v>0</v>
      </c>
      <c r="J227" s="86">
        <v>0</v>
      </c>
      <c r="K227" s="86">
        <v>0</v>
      </c>
      <c r="L227" s="86">
        <f t="shared" si="14"/>
        <v>1</v>
      </c>
      <c r="M227" s="257">
        <v>0</v>
      </c>
      <c r="N227" s="257">
        <v>0</v>
      </c>
      <c r="O227" s="257">
        <f t="shared" si="15"/>
        <v>0</v>
      </c>
      <c r="P227" s="257">
        <v>0</v>
      </c>
      <c r="U227" s="226"/>
    </row>
    <row r="228" spans="1:21" ht="14.1" customHeight="1" thickBot="1">
      <c r="A228" s="74" t="s">
        <v>2469</v>
      </c>
      <c r="B228" s="75">
        <v>3.330962</v>
      </c>
      <c r="C228" s="73">
        <f t="shared" si="12"/>
        <v>10</v>
      </c>
      <c r="D228" s="86">
        <f t="shared" si="13"/>
        <v>198</v>
      </c>
      <c r="E228" s="86">
        <v>0</v>
      </c>
      <c r="F228" s="86">
        <v>0</v>
      </c>
      <c r="G228" s="86">
        <v>0</v>
      </c>
      <c r="H228" s="86">
        <v>0</v>
      </c>
      <c r="I228" s="86">
        <v>0</v>
      </c>
      <c r="J228" s="86">
        <v>0</v>
      </c>
      <c r="K228" s="86">
        <v>0</v>
      </c>
      <c r="L228" s="86">
        <f t="shared" si="14"/>
        <v>1</v>
      </c>
      <c r="M228" s="257">
        <v>0</v>
      </c>
      <c r="N228" s="257">
        <v>0</v>
      </c>
      <c r="O228" s="257">
        <f t="shared" si="15"/>
        <v>0</v>
      </c>
      <c r="P228" s="257">
        <v>0</v>
      </c>
      <c r="U228" s="226"/>
    </row>
    <row r="229" spans="1:21" ht="14.1" customHeight="1" thickBot="1">
      <c r="A229" s="74" t="s">
        <v>2471</v>
      </c>
      <c r="B229" s="75">
        <v>3489.9696140000001</v>
      </c>
      <c r="C229" s="73">
        <f t="shared" si="12"/>
        <v>10</v>
      </c>
      <c r="D229" s="86">
        <f t="shared" si="13"/>
        <v>61</v>
      </c>
      <c r="E229" s="86">
        <v>0</v>
      </c>
      <c r="F229" s="86">
        <v>0</v>
      </c>
      <c r="G229" s="86">
        <v>0</v>
      </c>
      <c r="H229" s="86">
        <v>0</v>
      </c>
      <c r="I229" s="86">
        <v>0</v>
      </c>
      <c r="J229" s="86">
        <v>0</v>
      </c>
      <c r="K229" s="86">
        <v>0</v>
      </c>
      <c r="L229" s="86">
        <f t="shared" si="14"/>
        <v>1</v>
      </c>
      <c r="M229" s="257">
        <v>0</v>
      </c>
      <c r="N229" s="257">
        <v>0</v>
      </c>
      <c r="O229" s="257">
        <f t="shared" si="15"/>
        <v>1</v>
      </c>
      <c r="P229" s="257">
        <v>15</v>
      </c>
      <c r="U229" s="226"/>
    </row>
    <row r="230" spans="1:21" ht="14.1" customHeight="1" thickBot="1">
      <c r="A230" s="74" t="s">
        <v>2324</v>
      </c>
      <c r="B230" s="75">
        <v>1154.2765159999999</v>
      </c>
      <c r="C230" s="73">
        <f t="shared" si="12"/>
        <v>28</v>
      </c>
      <c r="D230" s="86">
        <f t="shared" si="13"/>
        <v>83</v>
      </c>
      <c r="E230" s="86">
        <v>0</v>
      </c>
      <c r="F230" s="86">
        <v>0</v>
      </c>
      <c r="G230" s="86">
        <v>0</v>
      </c>
      <c r="H230" s="86">
        <v>0</v>
      </c>
      <c r="I230" s="86">
        <v>0</v>
      </c>
      <c r="J230" s="86">
        <v>0</v>
      </c>
      <c r="K230" s="86">
        <v>0</v>
      </c>
      <c r="L230" s="86">
        <f t="shared" si="14"/>
        <v>1</v>
      </c>
      <c r="M230" s="257">
        <v>0</v>
      </c>
      <c r="N230" s="257">
        <v>0</v>
      </c>
      <c r="O230" s="257">
        <f t="shared" si="15"/>
        <v>1</v>
      </c>
      <c r="P230" s="257">
        <v>25</v>
      </c>
      <c r="U230" s="226"/>
    </row>
    <row r="231" spans="1:21" ht="14.1" customHeight="1" thickBot="1">
      <c r="A231" s="74" t="s">
        <v>2472</v>
      </c>
      <c r="B231" s="75">
        <v>17797.700453000001</v>
      </c>
      <c r="C231" s="73">
        <f t="shared" si="12"/>
        <v>10</v>
      </c>
      <c r="D231" s="86">
        <f t="shared" si="13"/>
        <v>27</v>
      </c>
      <c r="E231" s="86">
        <v>0</v>
      </c>
      <c r="F231" s="86">
        <v>0</v>
      </c>
      <c r="G231" s="86">
        <v>0</v>
      </c>
      <c r="H231" s="86">
        <v>0</v>
      </c>
      <c r="I231" s="86">
        <v>0</v>
      </c>
      <c r="J231" s="86">
        <v>0</v>
      </c>
      <c r="K231" s="86">
        <v>0</v>
      </c>
      <c r="L231" s="86">
        <f t="shared" si="14"/>
        <v>1</v>
      </c>
      <c r="M231" s="257">
        <v>0</v>
      </c>
      <c r="N231" s="257">
        <v>0</v>
      </c>
      <c r="O231" s="257">
        <f t="shared" si="15"/>
        <v>1</v>
      </c>
      <c r="P231" s="257">
        <v>15</v>
      </c>
      <c r="U231" s="226"/>
    </row>
    <row r="232" spans="1:21" ht="14.1" customHeight="1" thickBot="1">
      <c r="A232" s="74" t="s">
        <v>2474</v>
      </c>
      <c r="B232" s="75">
        <v>15.668736000000001</v>
      </c>
      <c r="C232" s="73">
        <f t="shared" si="12"/>
        <v>10</v>
      </c>
      <c r="D232" s="86">
        <f t="shared" si="13"/>
        <v>167</v>
      </c>
      <c r="E232" s="86">
        <v>0</v>
      </c>
      <c r="F232" s="86">
        <v>0</v>
      </c>
      <c r="G232" s="86">
        <v>0</v>
      </c>
      <c r="H232" s="86">
        <v>0</v>
      </c>
      <c r="I232" s="86">
        <v>0</v>
      </c>
      <c r="J232" s="86">
        <v>0</v>
      </c>
      <c r="K232" s="86">
        <v>0</v>
      </c>
      <c r="L232" s="86">
        <f t="shared" si="14"/>
        <v>1</v>
      </c>
      <c r="M232" s="257">
        <v>0</v>
      </c>
      <c r="N232" s="257">
        <v>0</v>
      </c>
      <c r="O232" s="257">
        <f t="shared" si="15"/>
        <v>0</v>
      </c>
      <c r="P232" s="257">
        <v>0</v>
      </c>
      <c r="U232" s="226"/>
    </row>
    <row r="233" spans="1:21" ht="14.1" customHeight="1" thickBot="1">
      <c r="A233" s="74" t="s">
        <v>2475</v>
      </c>
      <c r="B233" s="75">
        <v>11.277552999999999</v>
      </c>
      <c r="C233" s="73">
        <f t="shared" si="12"/>
        <v>10</v>
      </c>
      <c r="D233" s="86">
        <f t="shared" si="13"/>
        <v>171</v>
      </c>
      <c r="E233" s="86">
        <v>0</v>
      </c>
      <c r="F233" s="86">
        <v>0</v>
      </c>
      <c r="G233" s="86">
        <v>0</v>
      </c>
      <c r="H233" s="86">
        <v>0</v>
      </c>
      <c r="I233" s="86">
        <v>0</v>
      </c>
      <c r="J233" s="86">
        <v>0</v>
      </c>
      <c r="K233" s="86">
        <v>0</v>
      </c>
      <c r="L233" s="86">
        <f t="shared" si="14"/>
        <v>1</v>
      </c>
      <c r="M233" s="257">
        <v>0</v>
      </c>
      <c r="N233" s="257">
        <v>0</v>
      </c>
      <c r="O233" s="257">
        <f t="shared" si="15"/>
        <v>0</v>
      </c>
      <c r="P233" s="257">
        <v>0</v>
      </c>
      <c r="U233" s="226"/>
    </row>
    <row r="234" spans="1:21" ht="14.1" customHeight="1" thickBot="1">
      <c r="A234" s="74" t="s">
        <v>2476</v>
      </c>
      <c r="B234" s="75">
        <v>0.23299300000000001</v>
      </c>
      <c r="C234" s="73">
        <f t="shared" si="12"/>
        <v>10</v>
      </c>
      <c r="D234" s="86">
        <f t="shared" si="13"/>
        <v>222</v>
      </c>
      <c r="E234" s="86">
        <v>0</v>
      </c>
      <c r="F234" s="86">
        <v>0</v>
      </c>
      <c r="G234" s="86">
        <v>0</v>
      </c>
      <c r="H234" s="86">
        <v>0</v>
      </c>
      <c r="I234" s="86">
        <v>0</v>
      </c>
      <c r="J234" s="86">
        <v>0</v>
      </c>
      <c r="K234" s="86">
        <v>0</v>
      </c>
      <c r="L234" s="86">
        <f t="shared" si="14"/>
        <v>1</v>
      </c>
      <c r="M234" s="257">
        <v>0</v>
      </c>
      <c r="N234" s="257">
        <v>0</v>
      </c>
      <c r="O234" s="257">
        <f t="shared" si="15"/>
        <v>0</v>
      </c>
      <c r="P234" s="257">
        <v>0</v>
      </c>
      <c r="U234" s="226"/>
    </row>
    <row r="235" spans="1:21" ht="24" customHeight="1" thickBot="1">
      <c r="A235" s="74" t="s">
        <v>2478</v>
      </c>
      <c r="B235" s="75">
        <v>138.09186700000001</v>
      </c>
      <c r="C235" s="73">
        <f t="shared" si="12"/>
        <v>10</v>
      </c>
      <c r="D235" s="86">
        <f t="shared" si="13"/>
        <v>123</v>
      </c>
      <c r="E235" s="86">
        <v>0</v>
      </c>
      <c r="F235" s="86">
        <v>0</v>
      </c>
      <c r="G235" s="86">
        <v>0</v>
      </c>
      <c r="H235" s="86">
        <v>0</v>
      </c>
      <c r="I235" s="86">
        <v>0</v>
      </c>
      <c r="J235" s="86">
        <v>0</v>
      </c>
      <c r="K235" s="86">
        <v>0</v>
      </c>
      <c r="L235" s="86">
        <f t="shared" si="14"/>
        <v>1</v>
      </c>
      <c r="M235" s="257">
        <v>0</v>
      </c>
      <c r="N235" s="257">
        <v>0</v>
      </c>
      <c r="O235" s="257">
        <f t="shared" si="15"/>
        <v>1</v>
      </c>
      <c r="P235" s="257">
        <v>15</v>
      </c>
      <c r="U235" s="226"/>
    </row>
    <row r="236" spans="1:21" ht="13.7" customHeight="1" thickBot="1">
      <c r="A236" s="74" t="s">
        <v>2479</v>
      </c>
      <c r="B236" s="75">
        <v>1230.3924790000001</v>
      </c>
      <c r="C236" s="73">
        <f t="shared" si="12"/>
        <v>10</v>
      </c>
      <c r="D236" s="86">
        <f t="shared" si="13"/>
        <v>81</v>
      </c>
      <c r="E236" s="86">
        <v>0</v>
      </c>
      <c r="F236" s="86">
        <v>0</v>
      </c>
      <c r="G236" s="86">
        <v>0</v>
      </c>
      <c r="H236" s="86">
        <v>0</v>
      </c>
      <c r="I236" s="86">
        <v>0</v>
      </c>
      <c r="J236" s="86">
        <v>0</v>
      </c>
      <c r="K236" s="86">
        <v>0</v>
      </c>
      <c r="L236" s="86">
        <f t="shared" si="14"/>
        <v>1</v>
      </c>
      <c r="M236" s="257">
        <v>0</v>
      </c>
      <c r="N236" s="257">
        <v>0</v>
      </c>
      <c r="O236" s="257">
        <f t="shared" si="15"/>
        <v>0</v>
      </c>
      <c r="P236" s="257">
        <v>0</v>
      </c>
      <c r="U236" s="226"/>
    </row>
    <row r="237" spans="1:21" ht="14.1" customHeight="1" thickBot="1">
      <c r="A237" s="74" t="s">
        <v>2480</v>
      </c>
      <c r="B237" s="75">
        <v>7800.3030019999997</v>
      </c>
      <c r="C237" s="73">
        <f t="shared" si="12"/>
        <v>10</v>
      </c>
      <c r="D237" s="86">
        <f t="shared" si="13"/>
        <v>44</v>
      </c>
      <c r="E237" s="86">
        <v>0</v>
      </c>
      <c r="F237" s="86">
        <v>0</v>
      </c>
      <c r="G237" s="86">
        <v>0</v>
      </c>
      <c r="H237" s="86">
        <v>0</v>
      </c>
      <c r="I237" s="86">
        <v>0</v>
      </c>
      <c r="J237" s="86">
        <v>0</v>
      </c>
      <c r="K237" s="86">
        <v>0</v>
      </c>
      <c r="L237" s="86">
        <f t="shared" si="14"/>
        <v>1</v>
      </c>
      <c r="M237" s="257">
        <v>0</v>
      </c>
      <c r="N237" s="257">
        <v>0</v>
      </c>
      <c r="O237" s="257">
        <f t="shared" si="15"/>
        <v>0</v>
      </c>
      <c r="P237" s="257">
        <v>0</v>
      </c>
      <c r="U237" s="226"/>
    </row>
    <row r="238" spans="1:21" ht="14.1" customHeight="1" thickBot="1">
      <c r="A238" s="74" t="s">
        <v>2481</v>
      </c>
      <c r="B238" s="75">
        <v>69269.460546000002</v>
      </c>
      <c r="C238" s="73">
        <f t="shared" si="12"/>
        <v>10</v>
      </c>
      <c r="D238" s="86">
        <f t="shared" si="13"/>
        <v>12</v>
      </c>
      <c r="E238" s="86">
        <v>1</v>
      </c>
      <c r="F238" s="86">
        <v>0</v>
      </c>
      <c r="G238" s="86">
        <v>0</v>
      </c>
      <c r="H238" s="86">
        <v>0</v>
      </c>
      <c r="I238" s="86">
        <v>0</v>
      </c>
      <c r="J238" s="86">
        <v>0</v>
      </c>
      <c r="K238" s="86">
        <v>0</v>
      </c>
      <c r="L238" s="86">
        <f t="shared" si="14"/>
        <v>0</v>
      </c>
      <c r="M238" s="257">
        <v>0</v>
      </c>
      <c r="N238" s="257">
        <v>0</v>
      </c>
      <c r="O238" s="257">
        <f t="shared" si="15"/>
        <v>0</v>
      </c>
      <c r="P238" s="257">
        <v>0</v>
      </c>
      <c r="U238" s="226"/>
    </row>
    <row r="239" spans="1:21" ht="14.1" customHeight="1" thickBot="1">
      <c r="A239" s="74" t="s">
        <v>2483</v>
      </c>
      <c r="B239" s="75">
        <v>1276.1326320000001</v>
      </c>
      <c r="C239" s="73">
        <f t="shared" si="12"/>
        <v>10</v>
      </c>
      <c r="D239" s="86">
        <f t="shared" si="13"/>
        <v>79</v>
      </c>
      <c r="E239" s="86">
        <v>0</v>
      </c>
      <c r="F239" s="86">
        <v>0</v>
      </c>
      <c r="G239" s="86">
        <v>0</v>
      </c>
      <c r="H239" s="86">
        <v>0</v>
      </c>
      <c r="I239" s="86">
        <v>0</v>
      </c>
      <c r="J239" s="86">
        <v>0</v>
      </c>
      <c r="K239" s="86">
        <v>0</v>
      </c>
      <c r="L239" s="86">
        <f t="shared" si="14"/>
        <v>1</v>
      </c>
      <c r="M239" s="257">
        <v>0</v>
      </c>
      <c r="N239" s="257">
        <v>0</v>
      </c>
      <c r="O239" s="257">
        <f t="shared" si="15"/>
        <v>0</v>
      </c>
      <c r="P239" s="257">
        <v>0</v>
      </c>
      <c r="U239" s="226"/>
    </row>
    <row r="240" spans="1:21" ht="14.1" customHeight="1" thickBot="1">
      <c r="A240" s="74" t="s">
        <v>2512</v>
      </c>
      <c r="B240" s="75">
        <v>44.409142000000003</v>
      </c>
      <c r="C240" s="73">
        <f t="shared" si="12"/>
        <v>10</v>
      </c>
      <c r="D240" s="86">
        <f t="shared" si="13"/>
        <v>144</v>
      </c>
      <c r="E240" s="86">
        <v>0</v>
      </c>
      <c r="F240" s="86">
        <v>0</v>
      </c>
      <c r="G240" s="86">
        <v>0</v>
      </c>
      <c r="H240" s="86">
        <v>0</v>
      </c>
      <c r="I240" s="86">
        <v>0</v>
      </c>
      <c r="J240" s="86">
        <v>0</v>
      </c>
      <c r="K240" s="86">
        <v>0</v>
      </c>
      <c r="L240" s="86">
        <f t="shared" si="14"/>
        <v>1</v>
      </c>
      <c r="M240" s="257">
        <v>0</v>
      </c>
      <c r="N240" s="257">
        <v>0</v>
      </c>
      <c r="O240" s="257">
        <f t="shared" si="15"/>
        <v>0</v>
      </c>
      <c r="P240" s="257">
        <v>0</v>
      </c>
      <c r="U240" s="226"/>
    </row>
    <row r="241" spans="1:21" ht="24" customHeight="1" thickBot="1">
      <c r="A241" s="74" t="s">
        <v>2513</v>
      </c>
      <c r="B241" s="75">
        <v>14.201121000000001</v>
      </c>
      <c r="C241" s="73">
        <f t="shared" si="12"/>
        <v>10</v>
      </c>
      <c r="D241" s="86">
        <f t="shared" si="13"/>
        <v>169</v>
      </c>
      <c r="E241" s="86">
        <v>0</v>
      </c>
      <c r="F241" s="86">
        <v>0</v>
      </c>
      <c r="G241" s="86">
        <v>0</v>
      </c>
      <c r="H241" s="86">
        <v>0</v>
      </c>
      <c r="I241" s="86">
        <v>0</v>
      </c>
      <c r="J241" s="86">
        <v>0</v>
      </c>
      <c r="K241" s="86">
        <v>0</v>
      </c>
      <c r="L241" s="86">
        <f t="shared" si="14"/>
        <v>1</v>
      </c>
      <c r="M241" s="257">
        <v>0</v>
      </c>
      <c r="N241" s="257">
        <v>0</v>
      </c>
      <c r="O241" s="257">
        <f t="shared" si="15"/>
        <v>1</v>
      </c>
      <c r="P241" s="257">
        <v>15</v>
      </c>
      <c r="U241" s="226"/>
    </row>
    <row r="242" spans="1:21" ht="14.25" customHeight="1" thickBot="1">
      <c r="A242" s="74" t="s">
        <v>2514</v>
      </c>
      <c r="B242" s="75">
        <v>0.17841299999999999</v>
      </c>
      <c r="C242" s="73">
        <f t="shared" si="12"/>
        <v>10</v>
      </c>
      <c r="D242" s="86">
        <f t="shared" si="13"/>
        <v>226</v>
      </c>
      <c r="E242" s="86">
        <v>0</v>
      </c>
      <c r="F242" s="86">
        <v>0</v>
      </c>
      <c r="G242" s="86">
        <v>0</v>
      </c>
      <c r="H242" s="86">
        <v>0</v>
      </c>
      <c r="I242" s="86">
        <v>0</v>
      </c>
      <c r="J242" s="86">
        <v>0</v>
      </c>
      <c r="K242" s="86">
        <v>0</v>
      </c>
      <c r="L242" s="86">
        <f t="shared" si="14"/>
        <v>1</v>
      </c>
      <c r="M242" s="257">
        <v>0</v>
      </c>
      <c r="N242" s="257">
        <v>0</v>
      </c>
      <c r="O242" s="257">
        <f t="shared" si="15"/>
        <v>0</v>
      </c>
      <c r="P242" s="257">
        <v>0</v>
      </c>
      <c r="U242" s="226"/>
    </row>
    <row r="243" spans="1:21" ht="13.5" customHeight="1" thickBot="1">
      <c r="A243" s="74" t="s">
        <v>2353</v>
      </c>
      <c r="B243" s="75">
        <v>6316.6680500000002</v>
      </c>
      <c r="C243" s="73">
        <f t="shared" si="12"/>
        <v>15</v>
      </c>
      <c r="D243" s="86">
        <f t="shared" si="13"/>
        <v>51</v>
      </c>
      <c r="E243" s="86">
        <v>0</v>
      </c>
      <c r="F243" s="86">
        <v>0</v>
      </c>
      <c r="G243" s="86">
        <v>0</v>
      </c>
      <c r="H243" s="86">
        <v>0</v>
      </c>
      <c r="I243" s="86">
        <v>0</v>
      </c>
      <c r="J243" s="86">
        <v>0</v>
      </c>
      <c r="K243" s="86">
        <v>0</v>
      </c>
      <c r="L243" s="86">
        <f t="shared" si="14"/>
        <v>1</v>
      </c>
      <c r="M243" s="257">
        <v>0</v>
      </c>
      <c r="N243" s="257">
        <v>0</v>
      </c>
      <c r="O243" s="257">
        <f t="shared" si="15"/>
        <v>1</v>
      </c>
      <c r="P243" s="257">
        <v>15</v>
      </c>
      <c r="U243" s="226"/>
    </row>
    <row r="244" spans="1:21" ht="14.1" customHeight="1" thickBot="1">
      <c r="A244" s="74" t="s">
        <v>2274</v>
      </c>
      <c r="B244" s="75">
        <v>142475.98733800001</v>
      </c>
      <c r="C244" s="73">
        <f t="shared" si="12"/>
        <v>46</v>
      </c>
      <c r="D244" s="86">
        <f t="shared" si="13"/>
        <v>6</v>
      </c>
      <c r="E244" s="86">
        <v>0</v>
      </c>
      <c r="F244" s="86">
        <v>0</v>
      </c>
      <c r="G244" s="86">
        <v>0</v>
      </c>
      <c r="H244" s="86">
        <v>0</v>
      </c>
      <c r="I244" s="86">
        <v>0</v>
      </c>
      <c r="J244" s="86">
        <v>0</v>
      </c>
      <c r="K244" s="86">
        <v>0</v>
      </c>
      <c r="L244" s="86">
        <f t="shared" si="14"/>
        <v>1</v>
      </c>
      <c r="M244" s="257">
        <v>0</v>
      </c>
      <c r="N244" s="257">
        <v>0</v>
      </c>
      <c r="O244" s="257">
        <f t="shared" si="15"/>
        <v>1</v>
      </c>
      <c r="P244" s="257">
        <f>'Weighted US Tariff'!$B$30*(1-'Weighted US Tariff'!$B$23)+40*'Weighted US Tariff'!$B$23</f>
        <v>23.3</v>
      </c>
      <c r="U244" s="226"/>
    </row>
    <row r="245" spans="1:21" ht="24" customHeight="1" thickBot="1">
      <c r="A245" s="74" t="s">
        <v>2515</v>
      </c>
      <c r="B245" s="75" t="s">
        <v>2381</v>
      </c>
      <c r="C245" s="73">
        <f t="shared" si="12"/>
        <v>10</v>
      </c>
      <c r="D245" s="86" t="e">
        <f t="shared" si="13"/>
        <v>#VALUE!</v>
      </c>
      <c r="E245" s="86">
        <v>0</v>
      </c>
      <c r="F245" s="86">
        <v>0</v>
      </c>
      <c r="G245" s="86">
        <v>0</v>
      </c>
      <c r="H245" s="86">
        <v>0</v>
      </c>
      <c r="I245" s="86">
        <v>0</v>
      </c>
      <c r="J245" s="86">
        <v>0</v>
      </c>
      <c r="K245" s="86">
        <v>0</v>
      </c>
      <c r="L245" s="86">
        <f t="shared" si="14"/>
        <v>1</v>
      </c>
      <c r="M245" s="257">
        <v>0</v>
      </c>
      <c r="N245" s="257">
        <v>0</v>
      </c>
      <c r="O245" s="257">
        <f t="shared" si="15"/>
        <v>0</v>
      </c>
      <c r="P245" s="257">
        <v>0</v>
      </c>
      <c r="U245" s="226"/>
    </row>
    <row r="246" spans="1:21" ht="13.7" customHeight="1" thickBot="1">
      <c r="A246" s="74" t="s">
        <v>2516</v>
      </c>
      <c r="B246" s="75">
        <v>7.4205920000000001</v>
      </c>
      <c r="C246" s="73">
        <f t="shared" si="12"/>
        <v>10</v>
      </c>
      <c r="D246" s="86">
        <f t="shared" si="13"/>
        <v>179</v>
      </c>
      <c r="E246" s="86">
        <v>0</v>
      </c>
      <c r="F246" s="86">
        <v>0</v>
      </c>
      <c r="G246" s="86">
        <v>0</v>
      </c>
      <c r="H246" s="86">
        <v>0</v>
      </c>
      <c r="I246" s="86">
        <v>0</v>
      </c>
      <c r="J246" s="86">
        <v>0</v>
      </c>
      <c r="K246" s="86">
        <v>0</v>
      </c>
      <c r="L246" s="86">
        <f t="shared" si="14"/>
        <v>1</v>
      </c>
      <c r="M246" s="257">
        <v>0</v>
      </c>
      <c r="N246" s="257">
        <v>0</v>
      </c>
      <c r="O246" s="257">
        <f t="shared" si="15"/>
        <v>0</v>
      </c>
      <c r="P246" s="257">
        <v>0</v>
      </c>
      <c r="U246" s="226"/>
    </row>
    <row r="247" spans="1:21" ht="23.25" customHeight="1" thickBot="1">
      <c r="A247" s="74" t="s">
        <v>2484</v>
      </c>
      <c r="B247" s="75">
        <v>9.3280499999999993</v>
      </c>
      <c r="C247" s="73">
        <f t="shared" si="12"/>
        <v>10</v>
      </c>
      <c r="D247" s="86">
        <f t="shared" si="13"/>
        <v>175</v>
      </c>
      <c r="E247" s="86">
        <v>0</v>
      </c>
      <c r="F247" s="86">
        <v>0</v>
      </c>
      <c r="G247" s="86">
        <v>0</v>
      </c>
      <c r="H247" s="86">
        <v>0</v>
      </c>
      <c r="I247" s="86">
        <v>0</v>
      </c>
      <c r="J247" s="86">
        <v>0</v>
      </c>
      <c r="K247" s="86">
        <v>0</v>
      </c>
      <c r="L247" s="86">
        <f t="shared" si="14"/>
        <v>1</v>
      </c>
      <c r="M247" s="257">
        <v>0</v>
      </c>
      <c r="N247" s="257">
        <v>0</v>
      </c>
      <c r="O247" s="257">
        <f t="shared" si="15"/>
        <v>0</v>
      </c>
      <c r="P247" s="257">
        <v>0</v>
      </c>
      <c r="U247" s="226"/>
    </row>
    <row r="248" spans="1:21" ht="24" customHeight="1" thickBot="1">
      <c r="A248" s="74" t="s">
        <v>2348</v>
      </c>
      <c r="B248" s="75">
        <v>171.47426400000001</v>
      </c>
      <c r="C248" s="73">
        <f t="shared" si="12"/>
        <v>17</v>
      </c>
      <c r="D248" s="86">
        <f t="shared" si="13"/>
        <v>120</v>
      </c>
      <c r="E248" s="86">
        <v>0</v>
      </c>
      <c r="F248" s="86">
        <v>0</v>
      </c>
      <c r="G248" s="86">
        <v>0</v>
      </c>
      <c r="H248" s="86">
        <v>0</v>
      </c>
      <c r="I248" s="86">
        <v>0</v>
      </c>
      <c r="J248" s="86">
        <v>0</v>
      </c>
      <c r="K248" s="86">
        <v>0</v>
      </c>
      <c r="L248" s="86">
        <f t="shared" si="14"/>
        <v>1</v>
      </c>
      <c r="M248" s="257">
        <v>0</v>
      </c>
      <c r="N248" s="257">
        <v>0</v>
      </c>
      <c r="O248" s="257">
        <f t="shared" si="15"/>
        <v>1</v>
      </c>
      <c r="P248" s="257">
        <v>15</v>
      </c>
      <c r="U248" s="226"/>
    </row>
    <row r="249" spans="1:21" ht="16.5" customHeight="1" thickBot="1">
      <c r="A249" s="74" t="s">
        <v>2517</v>
      </c>
      <c r="B249" s="75">
        <v>69.530056000000002</v>
      </c>
      <c r="C249" s="73">
        <f t="shared" si="12"/>
        <v>10</v>
      </c>
      <c r="D249" s="86">
        <f t="shared" si="13"/>
        <v>136</v>
      </c>
      <c r="E249" s="86">
        <v>0</v>
      </c>
      <c r="F249" s="86">
        <v>0</v>
      </c>
      <c r="G249" s="86">
        <v>0</v>
      </c>
      <c r="H249" s="86">
        <v>0</v>
      </c>
      <c r="I249" s="86">
        <v>0</v>
      </c>
      <c r="J249" s="86">
        <v>0</v>
      </c>
      <c r="K249" s="86">
        <v>0</v>
      </c>
      <c r="L249" s="86">
        <f t="shared" si="14"/>
        <v>1</v>
      </c>
      <c r="M249" s="257">
        <v>0</v>
      </c>
      <c r="N249" s="257">
        <v>0</v>
      </c>
      <c r="O249" s="257">
        <f t="shared" si="15"/>
        <v>1</v>
      </c>
      <c r="P249" s="257">
        <v>15</v>
      </c>
      <c r="U249" s="226"/>
    </row>
    <row r="250" spans="1:21" ht="23.25" customHeight="1" thickBot="1">
      <c r="A250" s="74" t="s">
        <v>1838</v>
      </c>
      <c r="B250" s="75"/>
      <c r="C250" s="73"/>
      <c r="D250" s="86" t="e">
        <f t="shared" si="13"/>
        <v>#N/A</v>
      </c>
      <c r="E250" s="86">
        <f>SUMPRODUCT(E$17:E$249,$C$17:$C$249,$B$17:$B$249)/SUMPRODUCT(E$17:E$249,$B$17:$B$249)</f>
        <v>10</v>
      </c>
      <c r="F250" s="86">
        <f>SUMPRODUCT(F$17:F$249,$C$17:$C$249,$B$17:$B$249)/SUMPRODUCT(F$17:F$249,$B$17:$B$249)</f>
        <v>24</v>
      </c>
      <c r="G250" s="86">
        <f>SUMPRODUCT(G$17:G$249,$C$17:$C$249,$B$17:$B$249)/SUMPRODUCT(G$17:G$249,$B$17:$B$249)</f>
        <v>20</v>
      </c>
      <c r="H250" s="86">
        <f>SUMPRODUCT(H$17:H$249,$C$17:$C$249,$B$17:$B$249)/SUMPRODUCT(H$17:H$249,$B$17:$B$249)</f>
        <v>0</v>
      </c>
      <c r="I250" s="86">
        <f t="shared" ref="I250:L250" si="16">SUMPRODUCT(I$17:I$249,$C$17:$C$249,$B$17:$B$249)/SUMPRODUCT(I$17:I$249,$B$17:$B$249)</f>
        <v>0</v>
      </c>
      <c r="J250" s="86">
        <f t="shared" si="16"/>
        <v>34</v>
      </c>
      <c r="K250" s="87">
        <f t="shared" si="16"/>
        <v>17.258907701116112</v>
      </c>
      <c r="L250" s="88">
        <f t="shared" si="16"/>
        <v>29.61920217044506</v>
      </c>
    </row>
    <row r="251" spans="1:21" ht="23.25" customHeight="1" thickBot="1">
      <c r="A251" s="74"/>
      <c r="B251" s="75"/>
      <c r="C251" s="73"/>
      <c r="D251" s="86" t="e">
        <f t="shared" si="13"/>
        <v>#N/A</v>
      </c>
      <c r="E251" s="88">
        <f>SUMPRODUCT(E17:E249,$C$17:$C$249,$B$17:$B$249)/(SUM($B$17:$B$249)-$B$59-$B$112)</f>
        <v>0.23963540507469658</v>
      </c>
      <c r="F251" s="88">
        <f t="shared" ref="F251:L251" si="17">SUMPRODUCT(F17:F249,$C$17:$C$249,$B$17:$B$249)/(SUM($B$17:$B$249)-$B$59-$B$112)</f>
        <v>1.2625616294092745</v>
      </c>
      <c r="G251" s="88">
        <f>SUMPRODUCT(G17:G249,$C$17:$C$249,$B$17:$B$249)/(SUM($B$17:$B$249)-$B$59-$B$112)</f>
        <v>4.2743445590963001</v>
      </c>
      <c r="H251" s="88">
        <f t="shared" si="17"/>
        <v>0</v>
      </c>
      <c r="I251" s="88">
        <f t="shared" si="17"/>
        <v>0</v>
      </c>
      <c r="J251" s="86"/>
      <c r="K251" s="88">
        <f t="shared" si="17"/>
        <v>1.8606817788938386</v>
      </c>
      <c r="L251" s="88">
        <f t="shared" si="17"/>
        <v>8.2763797715070559</v>
      </c>
      <c r="U251" s="226"/>
    </row>
    <row r="252" spans="1:21" ht="24" customHeight="1" thickBot="1">
      <c r="A252" s="74"/>
      <c r="B252" s="75"/>
      <c r="C252" s="73"/>
      <c r="D252" s="86"/>
      <c r="E252" s="86"/>
      <c r="F252" s="86"/>
      <c r="G252" s="86"/>
      <c r="H252" s="86"/>
      <c r="I252" s="86"/>
      <c r="J252" s="86"/>
      <c r="K252" s="86"/>
      <c r="L252" s="86"/>
    </row>
    <row r="253" spans="1:21" ht="15" customHeight="1" thickBot="1">
      <c r="A253" s="74"/>
      <c r="B253" s="75">
        <f>SUM(B17:B249)</f>
        <v>3359310.2353860023</v>
      </c>
      <c r="C253" s="73"/>
      <c r="D253" s="86"/>
      <c r="E253" s="86"/>
      <c r="F253" s="86"/>
      <c r="G253" s="86"/>
      <c r="H253" s="86"/>
      <c r="I253" s="86"/>
      <c r="J253" s="86"/>
      <c r="K253" s="86"/>
      <c r="L253" s="88">
        <f>SUM(E251:L251)</f>
        <v>15.913603143981167</v>
      </c>
    </row>
    <row r="254" spans="1:21" ht="15" customHeight="1" thickBot="1">
      <c r="A254" s="74" t="s">
        <v>32</v>
      </c>
      <c r="B254" s="75">
        <v>34</v>
      </c>
      <c r="C254" s="73"/>
      <c r="D254" s="86"/>
      <c r="E254" s="86"/>
      <c r="F254" s="86"/>
      <c r="G254" s="86"/>
      <c r="H254" s="86"/>
      <c r="I254" s="86"/>
      <c r="J254" s="86"/>
      <c r="K254" s="86"/>
      <c r="L254" s="86"/>
    </row>
    <row r="255" spans="1:21" ht="15" customHeight="1" thickBot="1">
      <c r="A255" s="74"/>
      <c r="B255" s="75"/>
      <c r="C255" s="73"/>
      <c r="D255" s="86"/>
      <c r="E255" s="86"/>
      <c r="F255" s="86"/>
      <c r="G255" s="86"/>
      <c r="H255" s="86"/>
      <c r="I255" s="86"/>
      <c r="J255" s="86"/>
      <c r="K255" s="86"/>
      <c r="L255" s="86"/>
    </row>
    <row r="256" spans="1:21" ht="15" customHeight="1" thickBot="1">
      <c r="A256" s="74" t="s">
        <v>2518</v>
      </c>
      <c r="B256" s="75"/>
      <c r="C256" s="73"/>
      <c r="D256" s="86"/>
      <c r="E256" s="86"/>
      <c r="F256" s="86"/>
      <c r="G256" s="86"/>
      <c r="H256" s="86"/>
      <c r="I256" s="86"/>
      <c r="J256" s="86"/>
      <c r="K256" s="86"/>
      <c r="L256" s="86"/>
    </row>
    <row r="257" spans="1:12" ht="15" customHeight="1" thickBot="1">
      <c r="A257" s="74"/>
      <c r="B257" s="75"/>
      <c r="C257" s="73"/>
      <c r="D257" s="86"/>
      <c r="E257" s="86"/>
      <c r="F257" s="86"/>
      <c r="G257" s="86"/>
      <c r="H257" s="86"/>
      <c r="I257" s="86"/>
      <c r="J257" s="86"/>
      <c r="K257" s="86"/>
      <c r="L257" s="86"/>
    </row>
    <row r="258" spans="1:12" ht="15" customHeight="1" thickBot="1">
      <c r="A258" s="74"/>
      <c r="B258" s="75"/>
      <c r="C258" s="73"/>
      <c r="D258" s="86"/>
      <c r="E258" s="86"/>
      <c r="F258" s="86"/>
      <c r="G258" s="86"/>
      <c r="H258" s="86"/>
      <c r="I258" s="86"/>
      <c r="J258" s="86"/>
      <c r="K258" s="86"/>
      <c r="L258" s="86"/>
    </row>
    <row r="259" spans="1:12" ht="15" customHeight="1" thickBot="1">
      <c r="A259" s="74"/>
      <c r="B259" s="75"/>
      <c r="C259" s="73"/>
      <c r="D259" s="86"/>
      <c r="E259" s="86"/>
      <c r="F259" s="86"/>
      <c r="G259" s="86"/>
      <c r="H259" s="86"/>
      <c r="I259" s="86"/>
      <c r="J259" s="86"/>
      <c r="K259" s="86"/>
      <c r="L259" s="86"/>
    </row>
    <row r="260" spans="1:12" ht="15" customHeight="1" thickBot="1">
      <c r="A260" s="74"/>
      <c r="B260" s="75"/>
      <c r="C260" s="73"/>
      <c r="D260" s="86"/>
      <c r="E260" s="86"/>
      <c r="F260" s="86"/>
      <c r="G260" s="86"/>
      <c r="H260" s="86"/>
      <c r="I260" s="86"/>
      <c r="J260" s="86"/>
      <c r="K260" s="86"/>
      <c r="L260" s="86"/>
    </row>
    <row r="261" spans="1:12" ht="15" customHeight="1" thickBot="1">
      <c r="A261" s="74"/>
      <c r="B261" s="75"/>
      <c r="C261" s="73"/>
      <c r="D261" s="86"/>
      <c r="E261" s="86"/>
      <c r="F261" s="86"/>
      <c r="G261" s="86"/>
      <c r="H261" s="86"/>
      <c r="I261" s="86"/>
      <c r="J261" s="86"/>
      <c r="K261" s="86"/>
      <c r="L261" s="86"/>
    </row>
    <row r="262" spans="1:12" ht="15" customHeight="1" thickBot="1">
      <c r="A262" s="74"/>
      <c r="B262" s="75"/>
      <c r="C262" s="73"/>
      <c r="D262" s="86"/>
      <c r="E262" s="86"/>
      <c r="F262" s="86"/>
      <c r="G262" s="86"/>
      <c r="H262" s="86"/>
      <c r="I262" s="86"/>
      <c r="J262" s="86"/>
      <c r="K262" s="86"/>
      <c r="L262" s="86"/>
    </row>
    <row r="263" spans="1:12" ht="15" customHeight="1" thickBot="1">
      <c r="A263" s="74"/>
      <c r="B263" s="75"/>
      <c r="C263" s="73"/>
      <c r="D263" s="86"/>
      <c r="E263" s="86"/>
      <c r="F263" s="86"/>
      <c r="G263" s="86"/>
      <c r="H263" s="86"/>
      <c r="I263" s="86"/>
      <c r="J263" s="86"/>
      <c r="K263" s="86"/>
      <c r="L263" s="86"/>
    </row>
    <row r="264" spans="1:12" ht="15" customHeight="1" thickBot="1">
      <c r="A264" s="74"/>
      <c r="B264" s="75"/>
      <c r="C264" s="73"/>
      <c r="D264" s="86"/>
      <c r="E264" s="86"/>
      <c r="F264" s="86"/>
      <c r="G264" s="86"/>
      <c r="H264" s="86"/>
      <c r="I264" s="86"/>
      <c r="J264" s="86"/>
      <c r="K264" s="86"/>
      <c r="L264" s="86"/>
    </row>
    <row r="265" spans="1:12" ht="15" customHeight="1" thickBot="1">
      <c r="A265" s="74"/>
      <c r="B265" s="75"/>
      <c r="C265" s="73"/>
      <c r="D265" s="86"/>
      <c r="E265" s="86"/>
      <c r="F265" s="86"/>
      <c r="G265" s="86"/>
      <c r="H265" s="86"/>
      <c r="I265" s="86"/>
      <c r="J265" s="86"/>
      <c r="K265" s="86"/>
      <c r="L265" s="86"/>
    </row>
    <row r="266" spans="1:12" ht="15" customHeight="1" thickBot="1">
      <c r="A266" s="74"/>
      <c r="B266" s="75"/>
      <c r="C266" s="73"/>
      <c r="D266" s="86"/>
      <c r="E266" s="86"/>
      <c r="F266" s="86"/>
      <c r="G266" s="86"/>
      <c r="H266" s="86"/>
      <c r="I266" s="86"/>
      <c r="J266" s="86"/>
      <c r="K266" s="86"/>
      <c r="L266" s="86"/>
    </row>
    <row r="267" spans="1:12" ht="15" customHeight="1" thickBot="1">
      <c r="A267" s="77"/>
      <c r="B267" s="78"/>
      <c r="C267" s="73"/>
      <c r="D267" s="86"/>
      <c r="E267" s="86"/>
      <c r="F267" s="86"/>
      <c r="G267" s="86"/>
      <c r="H267" s="86"/>
      <c r="I267" s="86"/>
      <c r="J267" s="86"/>
      <c r="K267" s="86"/>
      <c r="L267" s="86"/>
    </row>
    <row r="268" spans="1:12" ht="24" customHeight="1" thickBot="1">
      <c r="C268" s="73"/>
      <c r="D268" s="86"/>
      <c r="E268" s="86"/>
      <c r="F268" s="86"/>
      <c r="G268" s="86"/>
      <c r="H268" s="86"/>
      <c r="I268" s="86"/>
      <c r="J268" s="86"/>
      <c r="K268" s="86"/>
      <c r="L268" s="86"/>
    </row>
    <row r="269" spans="1:12" ht="14.1" customHeight="1" thickBot="1">
      <c r="C269" s="73"/>
      <c r="D269" s="86"/>
      <c r="E269" s="86"/>
      <c r="F269" s="86"/>
      <c r="G269" s="86"/>
      <c r="H269" s="86"/>
      <c r="I269" s="86"/>
      <c r="J269" s="86"/>
      <c r="K269" s="86"/>
      <c r="L269" s="86"/>
    </row>
    <row r="270" spans="1:12" ht="24" customHeight="1" thickBot="1">
      <c r="C270" s="73"/>
      <c r="D270" s="86"/>
      <c r="E270" s="86"/>
      <c r="F270" s="86"/>
      <c r="G270" s="86"/>
      <c r="H270" s="86"/>
      <c r="I270" s="86"/>
      <c r="J270" s="86"/>
      <c r="K270" s="86"/>
      <c r="L270" s="86"/>
    </row>
    <row r="271" spans="1:12" ht="13.5" customHeight="1" thickBot="1">
      <c r="C271" s="73"/>
      <c r="D271" s="86"/>
      <c r="E271" s="86"/>
      <c r="F271" s="86"/>
      <c r="G271" s="86"/>
      <c r="H271" s="86"/>
      <c r="I271" s="86"/>
      <c r="J271" s="86"/>
      <c r="K271" s="86"/>
      <c r="L271" s="86"/>
    </row>
    <row r="272" spans="1:12" ht="13.5" customHeight="1" thickBot="1">
      <c r="C272" s="73"/>
      <c r="D272" s="86"/>
      <c r="E272" s="86"/>
      <c r="F272" s="86"/>
      <c r="G272" s="86"/>
      <c r="H272" s="86"/>
      <c r="I272" s="86"/>
      <c r="J272" s="86"/>
      <c r="K272" s="86"/>
      <c r="L272" s="86"/>
    </row>
    <row r="273" spans="1:12" ht="14.1" customHeight="1" thickBot="1">
      <c r="C273" s="73"/>
      <c r="D273" s="86"/>
      <c r="E273" s="86"/>
      <c r="F273" s="86"/>
      <c r="G273" s="86"/>
      <c r="H273" s="86"/>
      <c r="I273" s="86"/>
      <c r="J273" s="86"/>
      <c r="K273" s="86"/>
      <c r="L273" s="86"/>
    </row>
    <row r="274" spans="1:12" ht="14.1" customHeight="1" thickBot="1">
      <c r="C274" s="73"/>
      <c r="D274" s="86"/>
      <c r="E274" s="86"/>
      <c r="F274" s="86"/>
      <c r="G274" s="86"/>
      <c r="H274" s="86"/>
      <c r="I274" s="86"/>
      <c r="J274" s="86"/>
      <c r="K274" s="86"/>
      <c r="L274" s="86"/>
    </row>
    <row r="275" spans="1:12" ht="23.25" customHeight="1" thickBot="1">
      <c r="A275" s="66" t="s">
        <v>2519</v>
      </c>
      <c r="C275" s="73">
        <f t="shared" ref="C275:C307" si="18">IF(SUMIFS($T$18:$T$177,$R$18:$R$177,A275)=0,10,SUMIFS($T$18:$T$177,$R$18:$R$177,A275))</f>
        <v>10</v>
      </c>
      <c r="D275" s="86"/>
      <c r="E275" s="86"/>
      <c r="F275" s="86"/>
      <c r="G275" s="86"/>
      <c r="H275" s="86"/>
      <c r="I275" s="86"/>
      <c r="J275" s="86"/>
      <c r="K275" s="86"/>
      <c r="L275" s="86"/>
    </row>
    <row r="276" spans="1:12" ht="13.5" customHeight="1" thickBot="1">
      <c r="A276" s="66" t="s">
        <v>2520</v>
      </c>
      <c r="C276" s="73">
        <f t="shared" si="18"/>
        <v>10</v>
      </c>
      <c r="D276" s="86"/>
      <c r="E276" s="86"/>
      <c r="F276" s="86"/>
      <c r="G276" s="86"/>
      <c r="H276" s="86"/>
      <c r="I276" s="86"/>
      <c r="J276" s="86"/>
      <c r="K276" s="86"/>
      <c r="L276" s="86"/>
    </row>
    <row r="277" spans="1:12" ht="24" customHeight="1" thickBot="1">
      <c r="A277" s="66" t="s">
        <v>2521</v>
      </c>
      <c r="C277" s="73">
        <f t="shared" si="18"/>
        <v>10</v>
      </c>
      <c r="D277" s="86"/>
      <c r="E277" s="86"/>
      <c r="F277" s="86"/>
      <c r="G277" s="86"/>
      <c r="H277" s="86"/>
      <c r="I277" s="86"/>
      <c r="J277" s="86"/>
      <c r="K277" s="86"/>
      <c r="L277" s="86"/>
    </row>
    <row r="278" spans="1:12" ht="23.25" customHeight="1" thickBot="1">
      <c r="A278" s="66" t="s">
        <v>2522</v>
      </c>
      <c r="C278" s="73">
        <f t="shared" si="18"/>
        <v>10</v>
      </c>
      <c r="D278" s="86"/>
      <c r="E278" s="86"/>
      <c r="F278" s="86"/>
      <c r="G278" s="86"/>
      <c r="H278" s="86"/>
      <c r="I278" s="86"/>
      <c r="J278" s="86"/>
      <c r="K278" s="86"/>
      <c r="L278" s="86"/>
    </row>
    <row r="279" spans="1:12" ht="24" customHeight="1" thickBot="1">
      <c r="A279" s="66" t="s">
        <v>2523</v>
      </c>
      <c r="C279" s="73">
        <f t="shared" si="18"/>
        <v>10</v>
      </c>
      <c r="D279" s="86"/>
      <c r="E279" s="86"/>
      <c r="F279" s="86"/>
      <c r="G279" s="86"/>
      <c r="H279" s="86"/>
      <c r="I279" s="86"/>
      <c r="J279" s="86"/>
      <c r="K279" s="86"/>
      <c r="L279" s="86"/>
    </row>
    <row r="280" spans="1:12" ht="14.25" customHeight="1" thickBot="1">
      <c r="A280" s="66" t="s">
        <v>2524</v>
      </c>
      <c r="C280" s="73">
        <f t="shared" si="18"/>
        <v>10</v>
      </c>
      <c r="D280" s="86"/>
      <c r="E280" s="86"/>
      <c r="F280" s="86"/>
      <c r="G280" s="86"/>
      <c r="H280" s="86"/>
      <c r="I280" s="86"/>
      <c r="J280" s="86"/>
      <c r="K280" s="86"/>
      <c r="L280" s="86"/>
    </row>
    <row r="281" spans="1:12" ht="24" customHeight="1" thickBot="1">
      <c r="A281" s="66" t="s">
        <v>2525</v>
      </c>
      <c r="C281" s="73">
        <f t="shared" si="18"/>
        <v>10</v>
      </c>
      <c r="D281" s="86"/>
      <c r="E281" s="86"/>
      <c r="F281" s="86"/>
      <c r="G281" s="86"/>
      <c r="H281" s="86"/>
      <c r="I281" s="86"/>
      <c r="J281" s="86"/>
      <c r="K281" s="86"/>
      <c r="L281" s="86"/>
    </row>
    <row r="282" spans="1:12" ht="23.25" customHeight="1" thickBot="1">
      <c r="A282" s="66" t="s">
        <v>2526</v>
      </c>
      <c r="C282" s="73">
        <f t="shared" si="18"/>
        <v>10</v>
      </c>
      <c r="D282" s="86"/>
      <c r="E282" s="86"/>
      <c r="F282" s="86"/>
      <c r="G282" s="86"/>
      <c r="H282" s="86"/>
      <c r="I282" s="86"/>
      <c r="J282" s="86"/>
      <c r="K282" s="86"/>
      <c r="L282" s="86"/>
    </row>
    <row r="283" spans="1:12" ht="24" customHeight="1" thickBot="1">
      <c r="A283" s="66" t="s">
        <v>2527</v>
      </c>
      <c r="C283" s="73">
        <f t="shared" si="18"/>
        <v>10</v>
      </c>
      <c r="D283" s="86"/>
      <c r="E283" s="86"/>
      <c r="F283" s="86"/>
      <c r="G283" s="86"/>
      <c r="H283" s="86"/>
      <c r="I283" s="86"/>
      <c r="J283" s="86"/>
      <c r="K283" s="86"/>
      <c r="L283" s="86"/>
    </row>
    <row r="284" spans="1:12" ht="14.1" customHeight="1" thickBot="1">
      <c r="A284" s="66" t="s">
        <v>2528</v>
      </c>
      <c r="C284" s="73">
        <f t="shared" si="18"/>
        <v>10</v>
      </c>
      <c r="D284" s="86"/>
      <c r="E284" s="86"/>
      <c r="F284" s="86"/>
      <c r="G284" s="86"/>
      <c r="H284" s="86"/>
      <c r="I284" s="86"/>
      <c r="J284" s="86"/>
      <c r="K284" s="86"/>
      <c r="L284" s="86"/>
    </row>
    <row r="285" spans="1:12" ht="24" customHeight="1" thickBot="1">
      <c r="A285" s="66" t="s">
        <v>2529</v>
      </c>
      <c r="C285" s="73">
        <f t="shared" si="18"/>
        <v>10</v>
      </c>
      <c r="D285" s="86"/>
      <c r="E285" s="86"/>
      <c r="F285" s="86"/>
      <c r="G285" s="86"/>
      <c r="H285" s="86"/>
      <c r="I285" s="86"/>
      <c r="J285" s="86"/>
      <c r="K285" s="86"/>
      <c r="L285" s="86"/>
    </row>
    <row r="286" spans="1:12" ht="14.1" customHeight="1" thickBot="1">
      <c r="A286" s="66" t="s">
        <v>2530</v>
      </c>
      <c r="C286" s="73">
        <f t="shared" si="18"/>
        <v>10</v>
      </c>
      <c r="D286" s="86"/>
      <c r="E286" s="86"/>
      <c r="F286" s="86"/>
      <c r="G286" s="86"/>
      <c r="H286" s="86"/>
      <c r="I286" s="86"/>
      <c r="J286" s="86"/>
      <c r="K286" s="86"/>
      <c r="L286" s="86"/>
    </row>
    <row r="287" spans="1:12" ht="13.5" customHeight="1" thickBot="1">
      <c r="A287" s="66" t="s">
        <v>2531</v>
      </c>
      <c r="C287" s="73">
        <f t="shared" si="18"/>
        <v>10</v>
      </c>
      <c r="D287" s="86"/>
      <c r="E287" s="86"/>
      <c r="F287" s="86"/>
      <c r="G287" s="86"/>
      <c r="H287" s="86"/>
      <c r="I287" s="86"/>
      <c r="J287" s="86"/>
      <c r="K287" s="86"/>
      <c r="L287" s="86"/>
    </row>
    <row r="288" spans="1:12" ht="15" customHeight="1" thickBot="1">
      <c r="A288" s="66" t="s">
        <v>2532</v>
      </c>
      <c r="C288" s="73">
        <f t="shared" si="18"/>
        <v>10</v>
      </c>
      <c r="D288" s="86"/>
      <c r="E288" s="86"/>
      <c r="F288" s="86"/>
      <c r="G288" s="86"/>
      <c r="H288" s="86"/>
      <c r="I288" s="86"/>
      <c r="J288" s="86"/>
      <c r="K288" s="86"/>
      <c r="L288" s="86"/>
    </row>
    <row r="289" spans="1:12" ht="23.25" customHeight="1" thickBot="1">
      <c r="A289" s="66" t="s">
        <v>2533</v>
      </c>
      <c r="C289" s="73">
        <f t="shared" si="18"/>
        <v>10</v>
      </c>
      <c r="D289" s="86"/>
      <c r="E289" s="86"/>
      <c r="F289" s="86"/>
      <c r="G289" s="86"/>
      <c r="H289" s="86"/>
      <c r="I289" s="86"/>
      <c r="J289" s="86"/>
      <c r="K289" s="86"/>
      <c r="L289" s="86"/>
    </row>
    <row r="290" spans="1:12" ht="14.25" customHeight="1" thickBot="1">
      <c r="A290" s="66" t="s">
        <v>2534</v>
      </c>
      <c r="C290" s="73">
        <f t="shared" si="18"/>
        <v>10</v>
      </c>
      <c r="D290" s="86"/>
      <c r="E290" s="86"/>
      <c r="F290" s="86"/>
      <c r="G290" s="86"/>
      <c r="H290" s="86"/>
      <c r="I290" s="86"/>
      <c r="J290" s="86"/>
      <c r="K290" s="86"/>
      <c r="L290" s="86"/>
    </row>
    <row r="291" spans="1:12" ht="24" customHeight="1" thickBot="1">
      <c r="A291" s="66" t="s">
        <v>2535</v>
      </c>
      <c r="C291" s="73">
        <f t="shared" si="18"/>
        <v>10</v>
      </c>
      <c r="D291" s="86"/>
      <c r="E291" s="86"/>
      <c r="F291" s="86"/>
      <c r="G291" s="86"/>
      <c r="H291" s="86"/>
      <c r="I291" s="86"/>
      <c r="J291" s="86"/>
      <c r="K291" s="86"/>
      <c r="L291" s="86"/>
    </row>
    <row r="292" spans="1:12" ht="23.25" customHeight="1" thickBot="1">
      <c r="A292" s="66" t="s">
        <v>2536</v>
      </c>
      <c r="C292" s="73">
        <f t="shared" si="18"/>
        <v>10</v>
      </c>
      <c r="D292" s="86"/>
      <c r="E292" s="86"/>
      <c r="F292" s="86"/>
      <c r="G292" s="86"/>
      <c r="H292" s="86"/>
      <c r="I292" s="86"/>
      <c r="J292" s="86"/>
      <c r="K292" s="86"/>
      <c r="L292" s="86"/>
    </row>
    <row r="293" spans="1:12" ht="14.25" customHeight="1" thickBot="1">
      <c r="A293" s="66" t="s">
        <v>2537</v>
      </c>
      <c r="C293" s="73">
        <f t="shared" si="18"/>
        <v>10</v>
      </c>
      <c r="D293" s="86"/>
      <c r="E293" s="86"/>
      <c r="F293" s="86"/>
      <c r="G293" s="86"/>
      <c r="H293" s="86"/>
      <c r="I293" s="86"/>
      <c r="J293" s="86"/>
      <c r="K293" s="86"/>
      <c r="L293" s="86"/>
    </row>
    <row r="294" spans="1:12" ht="24" customHeight="1" thickBot="1">
      <c r="A294" s="66" t="s">
        <v>2538</v>
      </c>
      <c r="C294" s="73">
        <f t="shared" si="18"/>
        <v>10</v>
      </c>
      <c r="D294" s="86"/>
      <c r="E294" s="86"/>
      <c r="F294" s="86"/>
      <c r="G294" s="86"/>
      <c r="H294" s="86"/>
      <c r="I294" s="86"/>
      <c r="J294" s="86"/>
      <c r="K294" s="86"/>
      <c r="L294" s="86"/>
    </row>
    <row r="295" spans="1:12" ht="23.25" customHeight="1" thickBot="1">
      <c r="A295" s="66" t="s">
        <v>2539</v>
      </c>
      <c r="C295" s="73">
        <f t="shared" si="18"/>
        <v>10</v>
      </c>
      <c r="D295" s="86"/>
      <c r="E295" s="86"/>
      <c r="F295" s="86"/>
      <c r="G295" s="86"/>
      <c r="H295" s="86"/>
      <c r="I295" s="86"/>
      <c r="J295" s="86"/>
      <c r="K295" s="86"/>
      <c r="L295" s="86"/>
    </row>
    <row r="296" spans="1:12" ht="14.25" customHeight="1" thickBot="1">
      <c r="A296" s="66" t="s">
        <v>2540</v>
      </c>
      <c r="C296" s="73">
        <f t="shared" si="18"/>
        <v>10</v>
      </c>
      <c r="D296" s="86"/>
      <c r="E296" s="86"/>
      <c r="F296" s="86"/>
      <c r="G296" s="86"/>
      <c r="H296" s="86"/>
      <c r="I296" s="86"/>
      <c r="J296" s="86"/>
      <c r="K296" s="86"/>
      <c r="L296" s="86"/>
    </row>
    <row r="297" spans="1:12" ht="14.25" customHeight="1" thickBot="1">
      <c r="A297" s="66" t="s">
        <v>2541</v>
      </c>
      <c r="C297" s="73">
        <f t="shared" si="18"/>
        <v>10</v>
      </c>
      <c r="D297" s="86"/>
      <c r="E297" s="86"/>
      <c r="F297" s="86"/>
      <c r="G297" s="86"/>
      <c r="H297" s="86"/>
      <c r="I297" s="86"/>
      <c r="J297" s="86"/>
      <c r="K297" s="86"/>
      <c r="L297" s="86"/>
    </row>
    <row r="298" spans="1:12" ht="23.25" customHeight="1" thickBot="1">
      <c r="A298" s="66" t="s">
        <v>2542</v>
      </c>
      <c r="C298" s="73">
        <f t="shared" si="18"/>
        <v>10</v>
      </c>
      <c r="D298" s="86"/>
      <c r="E298" s="86"/>
      <c r="F298" s="86"/>
      <c r="G298" s="86"/>
      <c r="H298" s="86"/>
      <c r="I298" s="86"/>
      <c r="J298" s="86"/>
      <c r="K298" s="86"/>
      <c r="L298" s="86"/>
    </row>
    <row r="299" spans="1:12" ht="13.5" customHeight="1" thickBot="1">
      <c r="A299" s="66" t="s">
        <v>2543</v>
      </c>
      <c r="C299" s="73">
        <f t="shared" si="18"/>
        <v>10</v>
      </c>
      <c r="D299" s="86"/>
      <c r="E299" s="86"/>
      <c r="F299" s="86"/>
      <c r="G299" s="86"/>
      <c r="H299" s="86"/>
      <c r="I299" s="86"/>
      <c r="J299" s="86"/>
      <c r="K299" s="86"/>
      <c r="L299" s="86"/>
    </row>
    <row r="300" spans="1:12" ht="24" customHeight="1" thickBot="1">
      <c r="A300" s="66" t="s">
        <v>2544</v>
      </c>
      <c r="C300" s="73">
        <f t="shared" si="18"/>
        <v>10</v>
      </c>
      <c r="D300" s="86"/>
      <c r="E300" s="86"/>
      <c r="F300" s="86"/>
      <c r="G300" s="86"/>
      <c r="H300" s="86"/>
      <c r="I300" s="86"/>
      <c r="J300" s="86"/>
      <c r="K300" s="86"/>
      <c r="L300" s="86"/>
    </row>
    <row r="301" spans="1:12" ht="13.5" customHeight="1" thickBot="1">
      <c r="A301" s="66" t="s">
        <v>2545</v>
      </c>
      <c r="C301" s="73">
        <f t="shared" si="18"/>
        <v>10</v>
      </c>
      <c r="D301" s="86"/>
      <c r="E301" s="86"/>
      <c r="F301" s="86"/>
      <c r="G301" s="86"/>
      <c r="H301" s="86"/>
      <c r="I301" s="86"/>
      <c r="J301" s="86"/>
      <c r="K301" s="86"/>
      <c r="L301" s="86"/>
    </row>
    <row r="302" spans="1:12" ht="14.25" customHeight="1" thickBot="1">
      <c r="A302" s="66" t="s">
        <v>2546</v>
      </c>
      <c r="C302" s="73">
        <f t="shared" si="18"/>
        <v>10</v>
      </c>
      <c r="D302" s="86"/>
      <c r="E302" s="86"/>
      <c r="F302" s="86"/>
      <c r="G302" s="86"/>
      <c r="H302" s="86"/>
      <c r="I302" s="86"/>
      <c r="J302" s="86"/>
      <c r="K302" s="86"/>
      <c r="L302" s="86"/>
    </row>
    <row r="303" spans="1:12" ht="15" customHeight="1" thickBot="1">
      <c r="A303" s="66" t="s">
        <v>2547</v>
      </c>
      <c r="C303" s="73">
        <f t="shared" si="18"/>
        <v>10</v>
      </c>
      <c r="D303" s="86"/>
      <c r="E303" s="86"/>
      <c r="F303" s="86"/>
      <c r="G303" s="86"/>
      <c r="H303" s="86"/>
      <c r="I303" s="86"/>
      <c r="J303" s="86"/>
      <c r="K303" s="86"/>
      <c r="L303" s="86"/>
    </row>
    <row r="304" spans="1:12" ht="24" customHeight="1" thickBot="1">
      <c r="A304" s="66" t="s">
        <v>2548</v>
      </c>
      <c r="C304" s="73">
        <f t="shared" si="18"/>
        <v>10</v>
      </c>
      <c r="D304" s="86"/>
      <c r="E304" s="86"/>
      <c r="F304" s="86"/>
      <c r="G304" s="86"/>
      <c r="H304" s="86"/>
      <c r="I304" s="86"/>
      <c r="J304" s="86"/>
      <c r="K304" s="86"/>
      <c r="L304" s="86"/>
    </row>
    <row r="305" spans="1:12" ht="15" customHeight="1" thickBot="1">
      <c r="A305" s="66" t="s">
        <v>2549</v>
      </c>
      <c r="C305" s="73">
        <f t="shared" si="18"/>
        <v>10</v>
      </c>
      <c r="D305" s="86"/>
      <c r="E305" s="86"/>
      <c r="F305" s="86"/>
      <c r="G305" s="86"/>
      <c r="H305" s="86"/>
      <c r="I305" s="86"/>
      <c r="J305" s="86"/>
      <c r="K305" s="86"/>
      <c r="L305" s="86"/>
    </row>
    <row r="306" spans="1:12" ht="24" customHeight="1" thickBot="1">
      <c r="A306" s="66" t="s">
        <v>2550</v>
      </c>
      <c r="B306" s="68"/>
      <c r="C306" s="73">
        <f t="shared" si="18"/>
        <v>10</v>
      </c>
      <c r="D306" s="86"/>
      <c r="E306" s="86"/>
      <c r="F306" s="86"/>
      <c r="G306" s="86"/>
      <c r="H306" s="86"/>
      <c r="I306" s="86"/>
      <c r="J306" s="86"/>
      <c r="K306" s="86"/>
      <c r="L306" s="86"/>
    </row>
    <row r="307" spans="1:12" ht="23.25" customHeight="1">
      <c r="A307" s="80" t="s">
        <v>2551</v>
      </c>
      <c r="B307" s="68"/>
      <c r="C307" s="73">
        <f t="shared" si="18"/>
        <v>10</v>
      </c>
      <c r="D307" s="86"/>
      <c r="E307" s="86"/>
      <c r="F307" s="86"/>
      <c r="G307" s="86"/>
      <c r="H307" s="86"/>
      <c r="I307" s="86"/>
      <c r="J307" s="86"/>
      <c r="K307" s="86"/>
      <c r="L307" s="86"/>
    </row>
    <row r="308" spans="1:12" ht="14.1" customHeight="1">
      <c r="A308" s="80"/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</row>
    <row r="309" spans="1:12" ht="21.95" customHeight="1">
      <c r="A309" s="80"/>
      <c r="B309" s="68"/>
      <c r="C309" s="68"/>
      <c r="D309" s="68"/>
      <c r="E309" s="68"/>
      <c r="F309" s="68"/>
      <c r="G309" s="68"/>
      <c r="H309" s="68"/>
      <c r="I309" s="68"/>
      <c r="J309" s="68"/>
      <c r="K309" s="68"/>
      <c r="L309" s="68"/>
    </row>
    <row r="310" spans="1:12" ht="15" customHeight="1">
      <c r="A310" s="80"/>
      <c r="B310" s="68"/>
      <c r="C310" s="79"/>
      <c r="D310" s="79"/>
      <c r="E310" s="79"/>
      <c r="F310" s="79"/>
      <c r="G310" s="79"/>
      <c r="H310" s="79"/>
      <c r="I310" s="79"/>
      <c r="J310" s="79"/>
      <c r="K310" s="79"/>
      <c r="L310" s="79"/>
    </row>
    <row r="311" spans="1:12" ht="24" customHeight="1">
      <c r="A311" s="80"/>
      <c r="B311" s="81"/>
    </row>
    <row r="312" spans="1:12" ht="15" customHeight="1">
      <c r="A312" s="80"/>
      <c r="C312" s="68"/>
      <c r="D312" s="68"/>
      <c r="E312" s="68"/>
      <c r="F312" s="68"/>
      <c r="G312" s="68"/>
      <c r="H312" s="68"/>
      <c r="I312" s="68"/>
      <c r="J312" s="68"/>
      <c r="K312" s="68"/>
      <c r="L312" s="68"/>
    </row>
    <row r="313" spans="1:12" ht="15" customHeight="1">
      <c r="B313" s="68"/>
    </row>
    <row r="314" spans="1:12" ht="15" customHeight="1"/>
    <row r="315" spans="1:12" ht="15" customHeight="1"/>
    <row r="316" spans="1:12" ht="15" customHeight="1"/>
    <row r="317" spans="1:12" ht="15" customHeight="1">
      <c r="A317" s="82"/>
    </row>
    <row r="318" spans="1:12" ht="15" customHeight="1"/>
    <row r="319" spans="1:12" ht="15" customHeight="1"/>
    <row r="320" spans="1:12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</sheetData>
  <sortState xmlns:xlrd2="http://schemas.microsoft.com/office/spreadsheetml/2017/richdata2" ref="R18:T177">
    <sortCondition descending="1" ref="T17:T177"/>
  </sortState>
  <mergeCells count="3">
    <mergeCell ref="A12:A15"/>
    <mergeCell ref="B14:B15"/>
    <mergeCell ref="C14:C15"/>
  </mergeCells>
  <printOptions horizontalCentered="1"/>
  <pageMargins left="0.5" right="0.5" top="0.5" bottom="0.5" header="0" footer="0"/>
  <pageSetup scale="52" firstPageNumber="5" orientation="portrait" useFirstPageNumber="1" r:id="rId1"/>
  <headerFooter alignWithMargins="0">
    <oddHeader>&amp;C- &amp;P -</oddHeader>
  </headerFooter>
  <rowBreaks count="5" manualBreakCount="5">
    <brk id="82" max="12" man="1"/>
    <brk id="82" min="127" max="191" man="1"/>
    <brk id="144" max="12" man="1"/>
    <brk id="209" max="12" man="1"/>
    <brk id="251" max="12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BDD7-D57A-4C76-9DA0-FD87B782246D}">
  <sheetPr codeName="Sheet13">
    <tabColor rgb="FFFF0000"/>
  </sheetPr>
  <dimension ref="A1"/>
  <sheetViews>
    <sheetView workbookViewId="0">
      <selection activeCell="Q60" sqref="Q60"/>
    </sheetView>
  </sheetViews>
  <sheetFormatPr defaultRowHeight="12.6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2ECB-6FB5-45B7-B3C1-0671F3C83D01}">
  <sheetPr codeName="Sheet6"/>
  <dimension ref="A1:CU63"/>
  <sheetViews>
    <sheetView zoomScale="85" zoomScaleNormal="85" workbookViewId="0">
      <selection activeCell="B53" sqref="B53:H53"/>
    </sheetView>
  </sheetViews>
  <sheetFormatPr defaultRowHeight="12.6"/>
  <cols>
    <col min="47" max="48" width="11.42578125" customWidth="1"/>
    <col min="54" max="54" width="13.140625" bestFit="1" customWidth="1"/>
  </cols>
  <sheetData>
    <row r="1" spans="1:99" ht="12.95" thickBot="1">
      <c r="A1" s="154"/>
      <c r="B1" s="155" t="s">
        <v>312</v>
      </c>
      <c r="C1" t="s">
        <v>527</v>
      </c>
      <c r="D1" t="s">
        <v>2552</v>
      </c>
      <c r="G1" s="143" t="s">
        <v>2553</v>
      </c>
      <c r="H1" s="144">
        <v>0.02</v>
      </c>
      <c r="BE1" t="e">
        <f>BE2</f>
        <v>#REF!</v>
      </c>
      <c r="BF1" t="e">
        <f>BF2-SUM($BE$1:BE1)</f>
        <v>#REF!</v>
      </c>
      <c r="BG1" t="e">
        <f>BG2-SUM($BE$1:BF1)</f>
        <v>#REF!</v>
      </c>
      <c r="BH1" t="e">
        <f>BH2-SUM($BE$1:BG1)</f>
        <v>#REF!</v>
      </c>
      <c r="BI1" t="e">
        <f>BI2-SUM($BE$1:BH1)</f>
        <v>#REF!</v>
      </c>
      <c r="BJ1" t="e">
        <f>BJ2-SUM($BE$1:BI1)</f>
        <v>#REF!</v>
      </c>
      <c r="BK1" t="e">
        <f>BK2-SUM($BE$1:BJ1)</f>
        <v>#REF!</v>
      </c>
      <c r="BL1" t="e">
        <f>BL2-SUM($BE$1:BK1)</f>
        <v>#REF!</v>
      </c>
      <c r="BM1" t="e">
        <f>BM2-SUM($BE$1:BL1)</f>
        <v>#REF!</v>
      </c>
      <c r="BN1" t="e">
        <f>BN2-SUM($BE$1:BM1)</f>
        <v>#REF!</v>
      </c>
      <c r="BO1" t="e">
        <f>BO2-SUM($BE$1:BN1)</f>
        <v>#REF!</v>
      </c>
      <c r="BP1" t="e">
        <f>BP2-SUM($BE$1:BO1)</f>
        <v>#REF!</v>
      </c>
      <c r="BQ1" t="e">
        <f>BQ2-SUM($BE$1:BP1)</f>
        <v>#REF!</v>
      </c>
      <c r="BR1" t="e">
        <f>BR2-SUM($BE$1:BQ1)</f>
        <v>#REF!</v>
      </c>
      <c r="BS1" t="e">
        <f>BS2-SUM($BE$1:BR1)</f>
        <v>#REF!</v>
      </c>
      <c r="BT1" t="e">
        <f>BT2-SUM($BE$1:BS1)</f>
        <v>#REF!</v>
      </c>
      <c r="BU1" t="e">
        <f>BU2-SUM($BE$1:BT1)</f>
        <v>#REF!</v>
      </c>
      <c r="BV1" t="e">
        <f>BV2-SUM($BE$1:BU1)</f>
        <v>#REF!</v>
      </c>
      <c r="BW1" t="e">
        <f>BW2-SUM($BE$1:BV1)</f>
        <v>#REF!</v>
      </c>
      <c r="BX1" t="e">
        <f>BX2-SUM($BE$1:BW1)</f>
        <v>#REF!</v>
      </c>
      <c r="BY1" t="e">
        <f>BY2-SUM($BE$1:BX1)</f>
        <v>#REF!</v>
      </c>
      <c r="BZ1" t="e">
        <f>BZ2-SUM($BE$1:BY1)</f>
        <v>#REF!</v>
      </c>
      <c r="CA1" t="e">
        <f>CA2-SUM($BE$1:BZ1)</f>
        <v>#REF!</v>
      </c>
      <c r="CB1" t="e">
        <f>CB2-SUM($BE$1:CA1)</f>
        <v>#REF!</v>
      </c>
      <c r="CC1" t="e">
        <f>CC2-SUM($BE$1:CB1)</f>
        <v>#REF!</v>
      </c>
      <c r="CD1" t="e">
        <f>CD2-SUM($BE$1:CC1)</f>
        <v>#REF!</v>
      </c>
      <c r="CE1" t="e">
        <f>CE2-SUM($BE$1:CD1)</f>
        <v>#REF!</v>
      </c>
      <c r="CF1" t="e">
        <f>CF2-SUM($BE$1:CE1)</f>
        <v>#REF!</v>
      </c>
      <c r="CG1" t="e">
        <f>CG2-SUM($BE$1:CF1)</f>
        <v>#REF!</v>
      </c>
      <c r="CH1" t="e">
        <f>CH2-SUM($BE$1:CG1)</f>
        <v>#REF!</v>
      </c>
      <c r="CI1" t="e">
        <f>CI2-SUM($BE$1:CH1)</f>
        <v>#REF!</v>
      </c>
      <c r="CJ1" t="e">
        <f>CJ2-SUM($BE$1:CI1)</f>
        <v>#REF!</v>
      </c>
      <c r="CK1" t="e">
        <f>CK2-SUM($BE$1:CJ1)</f>
        <v>#REF!</v>
      </c>
      <c r="CL1" t="e">
        <f>CL2-SUM($BE$1:CK1)</f>
        <v>#REF!</v>
      </c>
      <c r="CM1" t="e">
        <f>CM2-SUM($BE$1:CL1)</f>
        <v>#REF!</v>
      </c>
      <c r="CN1" t="e">
        <f>CN2-SUM($BE$1:CM1)</f>
        <v>#REF!</v>
      </c>
      <c r="CO1" t="e">
        <f>CO2-SUM($BE$1:CN1)</f>
        <v>#REF!</v>
      </c>
      <c r="CP1" t="e">
        <f>CP2-SUM($BE$1:CO1)</f>
        <v>#REF!</v>
      </c>
      <c r="CQ1" t="e">
        <f>CQ2-SUM($BE$1:CP1)</f>
        <v>#REF!</v>
      </c>
      <c r="CR1" t="e">
        <f>CR2-SUM($BE$1:CQ1)</f>
        <v>#REF!</v>
      </c>
      <c r="CS1" t="e">
        <f>CS2-SUM($BE$1:CR1)</f>
        <v>#REF!</v>
      </c>
      <c r="CT1" t="e">
        <f>CT2-SUM($BE$1:CS1)</f>
        <v>#REF!</v>
      </c>
      <c r="CU1" t="e">
        <f>CU2-SUM($BE$1:CT1)</f>
        <v>#REF!</v>
      </c>
    </row>
    <row r="2" spans="1:99">
      <c r="A2" s="156">
        <v>45474</v>
      </c>
      <c r="B2" s="157">
        <f ca="1">100*(AS3/H3-1)</f>
        <v>0</v>
      </c>
      <c r="C2">
        <v>0</v>
      </c>
      <c r="D2">
        <v>1</v>
      </c>
      <c r="E2" s="94">
        <f t="shared" ref="E2:E47" si="0">100*(AO3/I3-1)</f>
        <v>1.0972044117707469E-5</v>
      </c>
      <c r="H2" s="25" t="s">
        <v>313</v>
      </c>
      <c r="I2" s="25" t="s">
        <v>314</v>
      </c>
      <c r="J2" s="25" t="s">
        <v>315</v>
      </c>
      <c r="K2" s="25" t="s">
        <v>316</v>
      </c>
      <c r="L2" s="25" t="s">
        <v>317</v>
      </c>
      <c r="M2" s="25" t="s">
        <v>318</v>
      </c>
      <c r="N2" s="25" t="s">
        <v>2554</v>
      </c>
      <c r="O2" s="130" t="s">
        <v>2555</v>
      </c>
      <c r="P2" s="25" t="s">
        <v>319</v>
      </c>
      <c r="S2" t="s">
        <v>2556</v>
      </c>
      <c r="T2" t="s">
        <v>2557</v>
      </c>
      <c r="U2" t="s">
        <v>2558</v>
      </c>
      <c r="V2" t="s">
        <v>2559</v>
      </c>
      <c r="W2" t="s">
        <v>2560</v>
      </c>
      <c r="Z2" s="97" t="s">
        <v>2555</v>
      </c>
      <c r="AA2" s="97" t="s">
        <v>318</v>
      </c>
      <c r="AB2" s="25" t="s">
        <v>319</v>
      </c>
      <c r="AE2" t="s">
        <v>2561</v>
      </c>
      <c r="AF2" t="s">
        <v>2562</v>
      </c>
      <c r="AG2" t="s">
        <v>2563</v>
      </c>
      <c r="AH2" t="s">
        <v>2564</v>
      </c>
      <c r="AK2" t="s">
        <v>2565</v>
      </c>
      <c r="AL2" t="s">
        <v>2566</v>
      </c>
      <c r="AN2" s="25" t="s">
        <v>313</v>
      </c>
      <c r="AO2" s="25" t="s">
        <v>314</v>
      </c>
      <c r="AP2" s="25" t="s">
        <v>315</v>
      </c>
      <c r="AQ2" s="25" t="s">
        <v>316</v>
      </c>
      <c r="AS2" t="s">
        <v>2567</v>
      </c>
      <c r="AT2" t="s">
        <v>2568</v>
      </c>
      <c r="BB2" s="193">
        <f t="array" ref="BB2:CU2">TRANSPOSE($AH$3:$AH$48)</f>
        <v>0</v>
      </c>
      <c r="BC2" s="193">
        <v>0</v>
      </c>
      <c r="BD2" s="193">
        <v>0</v>
      </c>
      <c r="BE2" s="193" t="e">
        <v>#REF!</v>
      </c>
      <c r="BF2" s="193" t="e">
        <v>#REF!</v>
      </c>
      <c r="BG2" s="193" t="e">
        <v>#REF!</v>
      </c>
      <c r="BH2" s="193" t="e">
        <v>#REF!</v>
      </c>
      <c r="BI2" s="193" t="e">
        <v>#REF!</v>
      </c>
      <c r="BJ2" s="193" t="e">
        <v>#REF!</v>
      </c>
      <c r="BK2" s="193" t="e">
        <v>#REF!</v>
      </c>
      <c r="BL2" s="193" t="e">
        <v>#REF!</v>
      </c>
      <c r="BM2" s="193" t="e">
        <v>#REF!</v>
      </c>
      <c r="BN2" s="193" t="e">
        <v>#REF!</v>
      </c>
      <c r="BO2" s="193" t="e">
        <v>#REF!</v>
      </c>
      <c r="BP2" s="193" t="e">
        <v>#REF!</v>
      </c>
      <c r="BQ2" s="193" t="e">
        <v>#REF!</v>
      </c>
      <c r="BR2" s="193" t="e">
        <v>#REF!</v>
      </c>
      <c r="BS2" s="193" t="e">
        <v>#REF!</v>
      </c>
      <c r="BT2" s="193" t="e">
        <v>#REF!</v>
      </c>
      <c r="BU2" s="193" t="e">
        <v>#REF!</v>
      </c>
      <c r="BV2" s="193" t="e">
        <v>#REF!</v>
      </c>
      <c r="BW2" s="193" t="e">
        <v>#REF!</v>
      </c>
      <c r="BX2" s="193" t="e">
        <v>#REF!</v>
      </c>
      <c r="BY2" s="193" t="e">
        <v>#REF!</v>
      </c>
      <c r="BZ2" s="193" t="e">
        <v>#REF!</v>
      </c>
      <c r="CA2" s="193" t="e">
        <v>#REF!</v>
      </c>
      <c r="CB2" s="193" t="e">
        <v>#REF!</v>
      </c>
      <c r="CC2" s="193" t="e">
        <v>#REF!</v>
      </c>
      <c r="CD2" s="193" t="e">
        <v>#REF!</v>
      </c>
      <c r="CE2" s="193" t="e">
        <v>#REF!</v>
      </c>
      <c r="CF2" s="193" t="e">
        <v>#REF!</v>
      </c>
      <c r="CG2" s="193" t="e">
        <v>#REF!</v>
      </c>
      <c r="CH2" s="193" t="e">
        <v>#REF!</v>
      </c>
      <c r="CI2" s="193" t="e">
        <v>#REF!</v>
      </c>
      <c r="CJ2" s="193" t="e">
        <v>#REF!</v>
      </c>
      <c r="CK2" s="193" t="e">
        <v>#REF!</v>
      </c>
      <c r="CL2" s="193" t="e">
        <v>#REF!</v>
      </c>
      <c r="CM2" s="193" t="e">
        <v>#REF!</v>
      </c>
      <c r="CN2" s="193" t="e">
        <v>#REF!</v>
      </c>
      <c r="CO2" s="193" t="e">
        <v>#REF!</v>
      </c>
      <c r="CP2" s="193" t="e">
        <v>#REF!</v>
      </c>
      <c r="CQ2" s="193" t="e">
        <v>#REF!</v>
      </c>
      <c r="CR2" s="193" t="e">
        <v>#REF!</v>
      </c>
      <c r="CS2" s="193" t="e">
        <v>#REF!</v>
      </c>
      <c r="CT2" s="193" t="e">
        <v>#REF!</v>
      </c>
      <c r="CU2" s="193" t="e">
        <v>#REF!</v>
      </c>
    </row>
    <row r="3" spans="1:99">
      <c r="A3" s="156">
        <v>45566</v>
      </c>
      <c r="B3" s="157">
        <f t="shared" ref="B3:B47" ca="1" si="1">100*(AS4/H4-1)</f>
        <v>-7.5101673580046935E-5</v>
      </c>
      <c r="C3">
        <v>-7.5101673580046935E-5</v>
      </c>
      <c r="D3">
        <v>1</v>
      </c>
      <c r="E3" s="94">
        <f t="shared" si="0"/>
        <v>6.5558702733170549E-5</v>
      </c>
      <c r="G3" s="90">
        <v>45474</v>
      </c>
      <c r="H3" s="131">
        <v>20707.943359375</v>
      </c>
      <c r="I3" s="131">
        <v>139.0697021484375</v>
      </c>
      <c r="J3" s="132">
        <v>132.99978637695313</v>
      </c>
      <c r="K3" s="132">
        <v>4.174835205078125</v>
      </c>
      <c r="L3" s="133">
        <v>5.2648801803588867</v>
      </c>
      <c r="M3" s="134">
        <v>17.116506576538086</v>
      </c>
      <c r="N3" s="133">
        <v>2.9436273574829102</v>
      </c>
      <c r="O3" s="135">
        <v>0.8688044548034668</v>
      </c>
      <c r="P3" s="136">
        <v>2.9500000476837158</v>
      </c>
      <c r="Q3" s="92"/>
      <c r="R3" s="92"/>
      <c r="S3" s="109">
        <v>3052.560302734375</v>
      </c>
      <c r="T3" s="109">
        <v>29471.57421875</v>
      </c>
      <c r="U3" s="109">
        <v>29331.728515625</v>
      </c>
      <c r="V3" s="109">
        <v>1121.8948974609375</v>
      </c>
      <c r="W3" s="109"/>
      <c r="X3" s="109"/>
      <c r="Y3" s="92"/>
      <c r="Z3" s="92">
        <f>AH3*$H$1+O3</f>
        <v>0.8688044548034668</v>
      </c>
      <c r="AA3" s="92">
        <f>M3</f>
        <v>17.116506576538086</v>
      </c>
      <c r="AB3" s="98">
        <f>P3</f>
        <v>2.9500000476837158</v>
      </c>
      <c r="AE3">
        <f t="shared" ref="AE3" si="2">((AB3-P3)*S3/(100+(AB3-P3)))/4</f>
        <v>0</v>
      </c>
      <c r="AF3">
        <v>0</v>
      </c>
      <c r="AG3" s="112">
        <f>T3</f>
        <v>29471.57421875</v>
      </c>
      <c r="AH3">
        <f>(AG3-T3)*100/U3</f>
        <v>0</v>
      </c>
      <c r="AJ3">
        <v>1</v>
      </c>
      <c r="AK3">
        <f ca="1">PRODUCT(BB3:OFFSET(BA3,0,AJ3))</f>
        <v>1</v>
      </c>
      <c r="AL3">
        <f ca="1">(AN3/H3)*(AK3)</f>
        <v>1</v>
      </c>
      <c r="AN3" s="190">
        <v>20707.943359375</v>
      </c>
      <c r="AO3" s="190">
        <v>139.06971740722656</v>
      </c>
      <c r="AP3" s="190">
        <v>132.99984741210938</v>
      </c>
      <c r="AQ3" s="190">
        <v>4.174781322479248</v>
      </c>
      <c r="AR3" s="91"/>
      <c r="AS3" s="93">
        <f ca="1">AL3*H3</f>
        <v>20707.943359375</v>
      </c>
      <c r="AT3">
        <f t="shared" ref="AT3:AT48" ca="1" si="3">H3*(1+B2/100)</f>
        <v>20707.943359375</v>
      </c>
      <c r="AU3" s="94"/>
      <c r="AV3" s="94"/>
      <c r="BB3">
        <f t="array" ref="BB3:BB48">(1+'Crowd In Multipliers'!$G$2:$G$47*BB$2/-100)</f>
        <v>1</v>
      </c>
      <c r="BC3">
        <f t="array" ref="BC3:BC48">(1+'Crowd In Multipliers'!$G$2:$G$47*BC$2/-100)</f>
        <v>1</v>
      </c>
      <c r="BD3">
        <f t="array" ref="BD3:BD48">(1+'Crowd In Multipliers'!$G$2:$G$47*BD$2/-100)</f>
        <v>1</v>
      </c>
      <c r="BE3" t="e">
        <f t="array" ref="BE3:BE48">(1+'Crowd In Multipliers'!$G$2:$G$47*BE$1/-100)</f>
        <v>#REF!</v>
      </c>
      <c r="BF3" t="e">
        <f t="array" ref="BF3:BF48">(1+'Crowd In Multipliers'!$G$2:$G$47*BF$1/-100)</f>
        <v>#REF!</v>
      </c>
      <c r="BG3" t="e">
        <f t="array" ref="BG3:BG48">(1+'Crowd In Multipliers'!$G$2:$G$47*BG$1/-100)</f>
        <v>#REF!</v>
      </c>
      <c r="BH3" t="e">
        <f t="array" ref="BH3:BH48">(1+'Crowd In Multipliers'!$G$2:$G$47*BH$1/-100)</f>
        <v>#REF!</v>
      </c>
      <c r="BI3" t="e">
        <f t="array" ref="BI3:BI48">(1+'Crowd In Multipliers'!$G$2:$G$47*BI$1/-100)</f>
        <v>#REF!</v>
      </c>
      <c r="BJ3" t="e">
        <f t="array" ref="BJ3:BJ48">(1+'Crowd In Multipliers'!$G$2:$G$47*BJ$1/-100)</f>
        <v>#REF!</v>
      </c>
      <c r="BK3" t="e">
        <f t="array" ref="BK3:BK48">(1+'Crowd In Multipliers'!$G$2:$G$47*BK$1/-100)</f>
        <v>#REF!</v>
      </c>
      <c r="BL3" t="e">
        <f t="array" ref="BL3:BL48">(1+'Crowd In Multipliers'!$G$2:$G$47*BL$1/-100)</f>
        <v>#REF!</v>
      </c>
      <c r="BM3" t="e">
        <f t="array" ref="BM3:BM48">(1+'Crowd In Multipliers'!$G$2:$G$47*BM$1/-100)</f>
        <v>#REF!</v>
      </c>
      <c r="BN3" t="e">
        <f t="array" ref="BN3:BN48">(1+'Crowd In Multipliers'!$G$2:$G$47*BN$1/-100)</f>
        <v>#REF!</v>
      </c>
      <c r="BO3" t="e">
        <f t="array" ref="BO3:BO48">(1+'Crowd In Multipliers'!$G$2:$G$47*BO$1/-100)</f>
        <v>#REF!</v>
      </c>
      <c r="BP3" t="e">
        <f t="array" ref="BP3:BP48">(1+'Crowd In Multipliers'!$G$2:$G$47*BP$1/-100)</f>
        <v>#REF!</v>
      </c>
      <c r="BQ3" t="e">
        <f t="array" ref="BQ3:BQ48">(1+'Crowd In Multipliers'!$G$2:$G$47*BQ$1/-100)</f>
        <v>#REF!</v>
      </c>
      <c r="BR3" t="e">
        <f t="array" ref="BR3:BR48">(1+'Crowd In Multipliers'!$G$2:$G$47*BR$1/-100)</f>
        <v>#REF!</v>
      </c>
      <c r="BS3" t="e">
        <f t="array" ref="BS3:BS48">(1+'Crowd In Multipliers'!$G$2:$G$47*BS$1/-100)</f>
        <v>#REF!</v>
      </c>
      <c r="BT3" t="e">
        <f t="array" ref="BT3:BT48">(1+'Crowd In Multipliers'!$G$2:$G$47*BT$1/-100)</f>
        <v>#REF!</v>
      </c>
      <c r="BU3" t="e">
        <f t="array" ref="BU3:BU48">(1+'Crowd In Multipliers'!$G$2:$G$47*BU$1/-100)</f>
        <v>#REF!</v>
      </c>
      <c r="BV3" t="e">
        <f t="array" ref="BV3:BV48">(1+'Crowd In Multipliers'!$G$2:$G$47*BV$1/-100)</f>
        <v>#REF!</v>
      </c>
      <c r="BW3" t="e">
        <f t="array" ref="BW3:BW48">(1+'Crowd In Multipliers'!$G$2:$G$47*BW$1/-100)</f>
        <v>#REF!</v>
      </c>
      <c r="BX3" t="e">
        <f t="array" ref="BX3:BX48">(1+'Crowd In Multipliers'!$G$2:$G$47*BX$1/-100)</f>
        <v>#REF!</v>
      </c>
      <c r="BY3" t="e">
        <f t="array" ref="BY3:BY48">(1+'Crowd In Multipliers'!$G$2:$G$47*BY$1/-100)</f>
        <v>#REF!</v>
      </c>
      <c r="BZ3" t="e">
        <f t="array" ref="BZ3:BZ48">(1+'Crowd In Multipliers'!$G$2:$G$47*BZ$1/-100)</f>
        <v>#REF!</v>
      </c>
      <c r="CA3" t="e">
        <f t="array" ref="CA3:CA48">(1+'Crowd In Multipliers'!$G$2:$G$47*CA$1/-100)</f>
        <v>#REF!</v>
      </c>
      <c r="CB3" t="e">
        <f t="array" ref="CB3:CB48">(1+'Crowd In Multipliers'!$G$2:$G$47*CB$1/-100)</f>
        <v>#REF!</v>
      </c>
      <c r="CC3" t="e">
        <f t="array" ref="CC3:CC48">(1+'Crowd In Multipliers'!$G$2:$G$47*CC$1/-100)</f>
        <v>#REF!</v>
      </c>
      <c r="CD3" t="e">
        <f t="array" ref="CD3:CD48">(1+'Crowd In Multipliers'!$G$2:$G$47*CD$1/-100)</f>
        <v>#REF!</v>
      </c>
      <c r="CE3" t="e">
        <f t="array" ref="CE3:CE48">(1+'Crowd In Multipliers'!$G$2:$G$47*CE$1/-100)</f>
        <v>#REF!</v>
      </c>
      <c r="CF3" t="e">
        <f t="array" ref="CF3:CF48">(1+'Crowd In Multipliers'!$G$2:$G$47*CF$1/-100)</f>
        <v>#REF!</v>
      </c>
      <c r="CG3" t="e">
        <f t="array" ref="CG3:CG48">(1+'Crowd In Multipliers'!$G$2:$G$47*CG$1/-100)</f>
        <v>#REF!</v>
      </c>
      <c r="CH3" t="e">
        <f t="array" ref="CH3:CH48">(1+'Crowd In Multipliers'!$G$2:$G$47*CH$1/-100)</f>
        <v>#REF!</v>
      </c>
      <c r="CI3" t="e">
        <f t="array" ref="CI3:CI48">(1+'Crowd In Multipliers'!$G$2:$G$47*CI$1/-100)</f>
        <v>#REF!</v>
      </c>
      <c r="CJ3" t="e">
        <f t="array" ref="CJ3:CJ48">(1+'Crowd In Multipliers'!$G$2:$G$47*CJ$1/-100)</f>
        <v>#REF!</v>
      </c>
      <c r="CK3" t="e">
        <f t="array" ref="CK3:CK48">(1+'Crowd In Multipliers'!$G$2:$G$47*CK$1/-100)</f>
        <v>#REF!</v>
      </c>
      <c r="CL3" t="e">
        <f t="array" ref="CL3:CL48">(1+'Crowd In Multipliers'!$G$2:$G$47*CL$1/-100)</f>
        <v>#REF!</v>
      </c>
      <c r="CM3" t="e">
        <f t="array" ref="CM3:CM48">(1+'Crowd In Multipliers'!$G$2:$G$47*CM$1/-100)</f>
        <v>#REF!</v>
      </c>
      <c r="CN3" t="e">
        <f t="array" ref="CN3:CN48">(1+'Crowd In Multipliers'!$G$2:$G$47*CN$1/-100)</f>
        <v>#REF!</v>
      </c>
      <c r="CO3" t="e">
        <f t="array" ref="CO3:CO48">(1+'Crowd In Multipliers'!$G$2:$G$47*CO$1/-100)</f>
        <v>#REF!</v>
      </c>
      <c r="CP3" t="e">
        <f t="array" ref="CP3:CP48">(1+'Crowd In Multipliers'!$G$2:$G$47*CP$1/-100)</f>
        <v>#REF!</v>
      </c>
      <c r="CQ3" t="e">
        <f t="array" ref="CQ3:CQ48">(1+'Crowd In Multipliers'!$G$2:$G$47*CQ$1/-100)</f>
        <v>#REF!</v>
      </c>
      <c r="CR3" t="e">
        <f t="array" ref="CR3:CR48">(1+'Crowd In Multipliers'!$G$2:$G$47*CR$1/-100)</f>
        <v>#REF!</v>
      </c>
      <c r="CS3" t="e">
        <f t="array" ref="CS3:CS48">(1+'Crowd In Multipliers'!$G$2:$G$47*CS$1/-100)</f>
        <v>#REF!</v>
      </c>
      <c r="CT3" t="e">
        <f t="array" ref="CT3:CT48">(1+'Crowd In Multipliers'!$G$2:$G$47*CT$1/-100)</f>
        <v>#REF!</v>
      </c>
      <c r="CU3" t="e">
        <f t="array" ref="CU3:CU48">(1+'Crowd In Multipliers'!$G$2:$G$47*CU$1/-100)</f>
        <v>#REF!</v>
      </c>
    </row>
    <row r="4" spans="1:99">
      <c r="A4" s="156">
        <v>45658</v>
      </c>
      <c r="B4" s="157">
        <f t="shared" ca="1" si="1"/>
        <v>-2.8023272025112789E-5</v>
      </c>
      <c r="C4">
        <v>-2.8023272025112789E-5</v>
      </c>
      <c r="D4" t="e">
        <f>D5</f>
        <v>#REF!</v>
      </c>
      <c r="E4" s="94">
        <f t="shared" si="0"/>
        <v>1.0877152030186465E-4</v>
      </c>
      <c r="F4">
        <f ca="1">30000*B4/(4*100)</f>
        <v>-2.1017454018834592E-3</v>
      </c>
      <c r="G4" s="90">
        <v>45566</v>
      </c>
      <c r="H4" s="137">
        <v>20805.12890625</v>
      </c>
      <c r="I4" s="137">
        <v>139.65000915527344</v>
      </c>
      <c r="J4" s="138">
        <v>133.35044860839844</v>
      </c>
      <c r="K4" s="138">
        <v>4.1929054260253906</v>
      </c>
      <c r="L4" s="139">
        <v>4.6590728759765625</v>
      </c>
      <c r="M4" s="140">
        <v>17.010202407836914</v>
      </c>
      <c r="N4" s="139">
        <v>2.8742825984954834</v>
      </c>
      <c r="O4" s="141">
        <v>0.17000000178813934</v>
      </c>
      <c r="P4" s="142">
        <v>2.9500000476837158</v>
      </c>
      <c r="Q4" s="92"/>
      <c r="R4" s="92"/>
      <c r="S4" s="110">
        <v>3096.13671875</v>
      </c>
      <c r="T4" s="110">
        <v>29932.2109375</v>
      </c>
      <c r="U4" s="110">
        <v>29602.404296875</v>
      </c>
      <c r="V4" s="110">
        <v>1137.4246826171875</v>
      </c>
      <c r="W4" s="111">
        <f>(V4/4)/AVERAGE(T3:T4)</f>
        <v>9.5736717755056776E-3</v>
      </c>
      <c r="X4" s="109"/>
      <c r="Y4" s="92"/>
      <c r="Z4" s="92">
        <f t="shared" ref="Z4:Z48" si="4">AH4*$H$1+O4</f>
        <v>0.17000000178813934</v>
      </c>
      <c r="AA4" s="92">
        <f t="shared" ref="AA4" si="5">M4</f>
        <v>17.010202407836914</v>
      </c>
      <c r="AB4" s="98">
        <f>P4</f>
        <v>2.9500000476837158</v>
      </c>
      <c r="AE4">
        <f>((AB4-P4)*(S4*(1-(AB4-P4)/100))/(100+(AB4-P4)))/4</f>
        <v>0</v>
      </c>
      <c r="AF4">
        <f>-SUM($AE$3:AE4)*W4</f>
        <v>0</v>
      </c>
      <c r="AG4" s="112">
        <f>AG3+(T4-T3)+AF4-AE4</f>
        <v>29932.2109375</v>
      </c>
      <c r="AH4">
        <f t="shared" ref="AH4:AH48" si="6">(AG4-T4)*100/U4</f>
        <v>0</v>
      </c>
      <c r="AJ4">
        <v>2</v>
      </c>
      <c r="AK4">
        <f ca="1">PRODUCT(BB4:OFFSET(BA4,0,AJ4))</f>
        <v>1</v>
      </c>
      <c r="AL4">
        <f t="shared" ref="AL4:AL9" ca="1" si="7">(AN4/H4)*(AK4)</f>
        <v>0.9999992489832642</v>
      </c>
      <c r="AN4" s="191">
        <v>20805.11328125</v>
      </c>
      <c r="AO4" s="191">
        <v>139.65010070800781</v>
      </c>
      <c r="AP4" s="191">
        <v>133.35057067871094</v>
      </c>
      <c r="AQ4" s="191">
        <v>4.1927986145019531</v>
      </c>
      <c r="AR4" s="91"/>
      <c r="AS4" s="93">
        <f t="shared" ref="AS4:AS48" ca="1" si="8">AL4*H4</f>
        <v>20805.11328125</v>
      </c>
      <c r="AT4">
        <f t="shared" ca="1" si="3"/>
        <v>20805.11328125</v>
      </c>
      <c r="AU4" s="94"/>
      <c r="AV4" s="94"/>
      <c r="BB4">
        <v>1</v>
      </c>
      <c r="BC4">
        <v>1</v>
      </c>
      <c r="BD4">
        <v>1</v>
      </c>
      <c r="BE4" t="e">
        <v>#REF!</v>
      </c>
      <c r="BF4" t="e">
        <v>#REF!</v>
      </c>
      <c r="BG4" t="e">
        <v>#REF!</v>
      </c>
      <c r="BH4" t="e">
        <v>#REF!</v>
      </c>
      <c r="BI4" t="e">
        <v>#REF!</v>
      </c>
      <c r="BJ4" t="e">
        <v>#REF!</v>
      </c>
      <c r="BK4" t="e">
        <v>#REF!</v>
      </c>
      <c r="BL4" t="e">
        <v>#REF!</v>
      </c>
      <c r="BM4" t="e">
        <v>#REF!</v>
      </c>
      <c r="BN4" t="e">
        <v>#REF!</v>
      </c>
      <c r="BO4" t="e">
        <v>#REF!</v>
      </c>
      <c r="BP4" t="e">
        <v>#REF!</v>
      </c>
      <c r="BQ4" t="e">
        <v>#REF!</v>
      </c>
      <c r="BR4" t="e">
        <v>#REF!</v>
      </c>
      <c r="BS4" t="e">
        <v>#REF!</v>
      </c>
      <c r="BT4" t="e">
        <v>#REF!</v>
      </c>
      <c r="BU4" t="e">
        <v>#REF!</v>
      </c>
      <c r="BV4" t="e">
        <v>#REF!</v>
      </c>
      <c r="BW4" t="e">
        <v>#REF!</v>
      </c>
      <c r="BX4" t="e">
        <v>#REF!</v>
      </c>
      <c r="BY4" t="e">
        <v>#REF!</v>
      </c>
      <c r="BZ4" t="e">
        <v>#REF!</v>
      </c>
      <c r="CA4" t="e">
        <v>#REF!</v>
      </c>
      <c r="CB4" t="e">
        <v>#REF!</v>
      </c>
      <c r="CC4" t="e">
        <v>#REF!</v>
      </c>
      <c r="CD4" t="e">
        <v>#REF!</v>
      </c>
      <c r="CE4" t="e">
        <v>#REF!</v>
      </c>
      <c r="CF4" t="e">
        <v>#REF!</v>
      </c>
      <c r="CG4" t="e">
        <v>#REF!</v>
      </c>
      <c r="CH4" t="e">
        <v>#REF!</v>
      </c>
      <c r="CI4" t="e">
        <v>#REF!</v>
      </c>
      <c r="CJ4" t="e">
        <v>#REF!</v>
      </c>
      <c r="CK4" t="e">
        <v>#REF!</v>
      </c>
      <c r="CL4" t="e">
        <v>#REF!</v>
      </c>
      <c r="CM4" t="e">
        <v>#REF!</v>
      </c>
      <c r="CN4" t="e">
        <v>#REF!</v>
      </c>
      <c r="CO4" t="e">
        <v>#REF!</v>
      </c>
      <c r="CP4" t="e">
        <v>#REF!</v>
      </c>
      <c r="CQ4" t="e">
        <v>#REF!</v>
      </c>
      <c r="CR4" t="e">
        <v>#REF!</v>
      </c>
      <c r="CS4" t="e">
        <v>#REF!</v>
      </c>
      <c r="CT4" t="e">
        <v>#REF!</v>
      </c>
      <c r="CU4" t="e">
        <v>#REF!</v>
      </c>
    </row>
    <row r="5" spans="1:99">
      <c r="A5" s="156">
        <v>45748</v>
      </c>
      <c r="B5" s="157" t="e">
        <f t="shared" ca="1" si="1"/>
        <v>#REF!</v>
      </c>
      <c r="C5">
        <v>-0.44674036009220153</v>
      </c>
      <c r="D5" t="e">
        <f>D6</f>
        <v>#REF!</v>
      </c>
      <c r="E5" s="94">
        <f t="shared" si="0"/>
        <v>1.3907635893379844</v>
      </c>
      <c r="F5" t="e">
        <f t="shared" ref="F5:F47" ca="1" si="9">30000*B5/(4*100)</f>
        <v>#REF!</v>
      </c>
      <c r="G5" s="90">
        <v>45658</v>
      </c>
      <c r="H5" s="131">
        <v>20908.9609375</v>
      </c>
      <c r="I5" s="131">
        <v>140.28294372558594</v>
      </c>
      <c r="J5" s="132">
        <v>133.50483703613281</v>
      </c>
      <c r="K5" s="132">
        <v>4.2275867462158203</v>
      </c>
      <c r="L5" s="133">
        <v>4.3100404739379883</v>
      </c>
      <c r="M5" s="134">
        <v>17.668912887573242</v>
      </c>
      <c r="N5" s="133">
        <v>2.8207392692565918</v>
      </c>
      <c r="O5" s="135">
        <v>0.26432967185974121</v>
      </c>
      <c r="P5" s="136">
        <v>3</v>
      </c>
      <c r="Q5" s="92"/>
      <c r="R5" s="92"/>
      <c r="S5" s="109">
        <v>3126.1552734375</v>
      </c>
      <c r="T5" s="109">
        <v>30398.9296875</v>
      </c>
      <c r="U5" s="109">
        <v>29905.90625</v>
      </c>
      <c r="V5" s="109">
        <v>1149.0516357421875</v>
      </c>
      <c r="W5" s="111">
        <f t="shared" ref="W5:W48" si="10">(V5/4)/AVERAGE(T4:T5)</f>
        <v>9.5228734600290629E-3</v>
      </c>
      <c r="X5" s="109"/>
      <c r="Y5" s="92"/>
      <c r="Z5" s="92">
        <f t="shared" si="4"/>
        <v>0.26432967185974121</v>
      </c>
      <c r="AA5" s="92">
        <f>VIX!B9</f>
        <v>18.50734375</v>
      </c>
      <c r="AB5" s="98">
        <f t="shared" ref="AB5:AB48" si="11">P5+AC5</f>
        <v>3</v>
      </c>
      <c r="AE5">
        <f t="shared" ref="AE5:AE48" si="12">((AB5-P5)*(S5*(1-(AB5-P5)/100))/(100+(AB5-P5)))/4</f>
        <v>0</v>
      </c>
      <c r="AF5">
        <f>-SUM($AE$3:AE5)*W5</f>
        <v>0</v>
      </c>
      <c r="AG5" s="112">
        <f t="shared" ref="AG5:AG48" si="13">AG4+(T5-T4)+AF5-AE5</f>
        <v>30398.9296875</v>
      </c>
      <c r="AH5">
        <f t="shared" si="6"/>
        <v>0</v>
      </c>
      <c r="AJ5">
        <v>3</v>
      </c>
      <c r="AK5">
        <f ca="1">PRODUCT(BB5:OFFSET(BA5,0,AJ5))</f>
        <v>1</v>
      </c>
      <c r="AL5">
        <f t="shared" ca="1" si="7"/>
        <v>0.99999971976727975</v>
      </c>
      <c r="AN5" s="190">
        <v>20908.955078125</v>
      </c>
      <c r="AO5" s="190">
        <v>140.28309631347656</v>
      </c>
      <c r="AP5" s="190">
        <v>133.50503540039063</v>
      </c>
      <c r="AQ5" s="190">
        <v>4.2274870872497559</v>
      </c>
      <c r="AR5" s="91"/>
      <c r="AS5" s="93">
        <f t="shared" ca="1" si="8"/>
        <v>20908.955078125</v>
      </c>
      <c r="AT5">
        <f t="shared" ca="1" si="3"/>
        <v>20908.955078125</v>
      </c>
      <c r="AU5" s="94"/>
      <c r="AV5" s="94"/>
      <c r="BB5">
        <v>1</v>
      </c>
      <c r="BC5">
        <v>1</v>
      </c>
      <c r="BD5">
        <v>1</v>
      </c>
      <c r="BE5" t="e">
        <v>#REF!</v>
      </c>
      <c r="BF5" t="e">
        <v>#REF!</v>
      </c>
      <c r="BG5" t="e">
        <v>#REF!</v>
      </c>
      <c r="BH5" t="e">
        <v>#REF!</v>
      </c>
      <c r="BI5" t="e">
        <v>#REF!</v>
      </c>
      <c r="BJ5" t="e">
        <v>#REF!</v>
      </c>
      <c r="BK5" t="e">
        <v>#REF!</v>
      </c>
      <c r="BL5" t="e">
        <v>#REF!</v>
      </c>
      <c r="BM5" t="e">
        <v>#REF!</v>
      </c>
      <c r="BN5" t="e">
        <v>#REF!</v>
      </c>
      <c r="BO5" t="e">
        <v>#REF!</v>
      </c>
      <c r="BP5" t="e">
        <v>#REF!</v>
      </c>
      <c r="BQ5" t="e">
        <v>#REF!</v>
      </c>
      <c r="BR5" t="e">
        <v>#REF!</v>
      </c>
      <c r="BS5" t="e">
        <v>#REF!</v>
      </c>
      <c r="BT5" t="e">
        <v>#REF!</v>
      </c>
      <c r="BU5" t="e">
        <v>#REF!</v>
      </c>
      <c r="BV5" t="e">
        <v>#REF!</v>
      </c>
      <c r="BW5" t="e">
        <v>#REF!</v>
      </c>
      <c r="BX5" t="e">
        <v>#REF!</v>
      </c>
      <c r="BY5" t="e">
        <v>#REF!</v>
      </c>
      <c r="BZ5" t="e">
        <v>#REF!</v>
      </c>
      <c r="CA5" t="e">
        <v>#REF!</v>
      </c>
      <c r="CB5" t="e">
        <v>#REF!</v>
      </c>
      <c r="CC5" t="e">
        <v>#REF!</v>
      </c>
      <c r="CD5" t="e">
        <v>#REF!</v>
      </c>
      <c r="CE5" t="e">
        <v>#REF!</v>
      </c>
      <c r="CF5" t="e">
        <v>#REF!</v>
      </c>
      <c r="CG5" t="e">
        <v>#REF!</v>
      </c>
      <c r="CH5" t="e">
        <v>#REF!</v>
      </c>
      <c r="CI5" t="e">
        <v>#REF!</v>
      </c>
      <c r="CJ5" t="e">
        <v>#REF!</v>
      </c>
      <c r="CK5" t="e">
        <v>#REF!</v>
      </c>
      <c r="CL5" t="e">
        <v>#REF!</v>
      </c>
      <c r="CM5" t="e">
        <v>#REF!</v>
      </c>
      <c r="CN5" t="e">
        <v>#REF!</v>
      </c>
      <c r="CO5" t="e">
        <v>#REF!</v>
      </c>
      <c r="CP5" t="e">
        <v>#REF!</v>
      </c>
      <c r="CQ5" t="e">
        <v>#REF!</v>
      </c>
      <c r="CR5" t="e">
        <v>#REF!</v>
      </c>
      <c r="CS5" t="e">
        <v>#REF!</v>
      </c>
      <c r="CT5" t="e">
        <v>#REF!</v>
      </c>
      <c r="CU5" t="e">
        <v>#REF!</v>
      </c>
    </row>
    <row r="6" spans="1:99">
      <c r="A6" s="156">
        <v>45839</v>
      </c>
      <c r="B6" s="157" t="e">
        <f t="shared" ca="1" si="1"/>
        <v>#REF!</v>
      </c>
      <c r="C6">
        <v>-0.18237134953039691</v>
      </c>
      <c r="D6" t="e">
        <f>D7</f>
        <v>#REF!</v>
      </c>
      <c r="E6" s="94">
        <f t="shared" si="0"/>
        <v>1.4185761712370626</v>
      </c>
      <c r="F6" t="e">
        <f t="shared" ca="1" si="9"/>
        <v>#REF!</v>
      </c>
      <c r="G6" s="90">
        <v>45748</v>
      </c>
      <c r="H6" s="131">
        <v>21007.640625</v>
      </c>
      <c r="I6" s="131">
        <v>141.04765319824219</v>
      </c>
      <c r="J6" s="132">
        <v>133.58798217773438</v>
      </c>
      <c r="K6" s="132">
        <v>4.2792401313781738</v>
      </c>
      <c r="L6" s="133">
        <v>4.0673336982727051</v>
      </c>
      <c r="M6" s="134">
        <v>17.809577941894531</v>
      </c>
      <c r="N6" s="133">
        <v>2.7762551307678223</v>
      </c>
      <c r="O6" s="135">
        <v>0.26217365264892578</v>
      </c>
      <c r="P6" s="136">
        <v>3</v>
      </c>
      <c r="Q6" s="92"/>
      <c r="R6" s="92"/>
      <c r="S6" s="109">
        <v>3154.117919921875</v>
      </c>
      <c r="T6" s="109">
        <v>30868.95703125</v>
      </c>
      <c r="U6" s="109">
        <v>30221.94140625</v>
      </c>
      <c r="V6" s="109">
        <v>1157.9459228515625</v>
      </c>
      <c r="W6" s="111">
        <f t="shared" si="10"/>
        <v>9.4498601540404757E-3</v>
      </c>
      <c r="X6" s="109"/>
      <c r="Y6" s="92"/>
      <c r="Z6" s="92" t="e">
        <f t="shared" si="4"/>
        <v>#REF!</v>
      </c>
      <c r="AA6" s="92">
        <f>VIX!B10</f>
        <v>23.687153846153837</v>
      </c>
      <c r="AB6" s="98" t="e">
        <f t="shared" si="11"/>
        <v>#REF!</v>
      </c>
      <c r="AC6" t="e">
        <f>#REF!*100</f>
        <v>#REF!</v>
      </c>
      <c r="AE6" t="e">
        <f t="shared" si="12"/>
        <v>#REF!</v>
      </c>
      <c r="AF6" t="e">
        <f>-SUM($AE$3:AE6)*W6</f>
        <v>#REF!</v>
      </c>
      <c r="AG6" s="112" t="e">
        <f t="shared" si="13"/>
        <v>#REF!</v>
      </c>
      <c r="AH6" t="e">
        <f t="shared" si="6"/>
        <v>#REF!</v>
      </c>
      <c r="AJ6">
        <v>4</v>
      </c>
      <c r="AK6" t="e">
        <f ca="1">PRODUCT(BB6:OFFSET(BA6,0,AJ6))</f>
        <v>#REF!</v>
      </c>
      <c r="AL6" t="e">
        <f t="shared" ca="1" si="7"/>
        <v>#REF!</v>
      </c>
      <c r="AN6" s="190">
        <v>20914.296875</v>
      </c>
      <c r="AO6" s="190">
        <v>143.00929260253906</v>
      </c>
      <c r="AP6" s="190">
        <v>133.37442016601563</v>
      </c>
      <c r="AQ6" s="190">
        <v>4.3983283042907715</v>
      </c>
      <c r="AR6" s="91"/>
      <c r="AS6" s="93" t="e">
        <f t="shared" ca="1" si="8"/>
        <v>#REF!</v>
      </c>
      <c r="AT6" t="e">
        <f t="shared" ca="1" si="3"/>
        <v>#REF!</v>
      </c>
      <c r="AU6" s="94"/>
      <c r="AV6" s="94"/>
      <c r="BB6">
        <v>1</v>
      </c>
      <c r="BC6">
        <v>1</v>
      </c>
      <c r="BD6">
        <v>1</v>
      </c>
      <c r="BE6" t="e">
        <v>#REF!</v>
      </c>
      <c r="BF6" t="e">
        <v>#REF!</v>
      </c>
      <c r="BG6" t="e">
        <v>#REF!</v>
      </c>
      <c r="BH6" t="e">
        <v>#REF!</v>
      </c>
      <c r="BI6" t="e">
        <v>#REF!</v>
      </c>
      <c r="BJ6" t="e">
        <v>#REF!</v>
      </c>
      <c r="BK6" t="e">
        <v>#REF!</v>
      </c>
      <c r="BL6" t="e">
        <v>#REF!</v>
      </c>
      <c r="BM6" t="e">
        <v>#REF!</v>
      </c>
      <c r="BN6" t="e">
        <v>#REF!</v>
      </c>
      <c r="BO6" t="e">
        <v>#REF!</v>
      </c>
      <c r="BP6" t="e">
        <v>#REF!</v>
      </c>
      <c r="BQ6" t="e">
        <v>#REF!</v>
      </c>
      <c r="BR6" t="e">
        <v>#REF!</v>
      </c>
      <c r="BS6" t="e">
        <v>#REF!</v>
      </c>
      <c r="BT6" t="e">
        <v>#REF!</v>
      </c>
      <c r="BU6" t="e">
        <v>#REF!</v>
      </c>
      <c r="BV6" t="e">
        <v>#REF!</v>
      </c>
      <c r="BW6" t="e">
        <v>#REF!</v>
      </c>
      <c r="BX6" t="e">
        <v>#REF!</v>
      </c>
      <c r="BY6" t="e">
        <v>#REF!</v>
      </c>
      <c r="BZ6" t="e">
        <v>#REF!</v>
      </c>
      <c r="CA6" t="e">
        <v>#REF!</v>
      </c>
      <c r="CB6" t="e">
        <v>#REF!</v>
      </c>
      <c r="CC6" t="e">
        <v>#REF!</v>
      </c>
      <c r="CD6" t="e">
        <v>#REF!</v>
      </c>
      <c r="CE6" t="e">
        <v>#REF!</v>
      </c>
      <c r="CF6" t="e">
        <v>#REF!</v>
      </c>
      <c r="CG6" t="e">
        <v>#REF!</v>
      </c>
      <c r="CH6" t="e">
        <v>#REF!</v>
      </c>
      <c r="CI6" t="e">
        <v>#REF!</v>
      </c>
      <c r="CJ6" t="e">
        <v>#REF!</v>
      </c>
      <c r="CK6" t="e">
        <v>#REF!</v>
      </c>
      <c r="CL6" t="e">
        <v>#REF!</v>
      </c>
      <c r="CM6" t="e">
        <v>#REF!</v>
      </c>
      <c r="CN6" t="e">
        <v>#REF!</v>
      </c>
      <c r="CO6" t="e">
        <v>#REF!</v>
      </c>
      <c r="CP6" t="e">
        <v>#REF!</v>
      </c>
      <c r="CQ6" t="e">
        <v>#REF!</v>
      </c>
      <c r="CR6" t="e">
        <v>#REF!</v>
      </c>
      <c r="CS6" t="e">
        <v>#REF!</v>
      </c>
      <c r="CT6" t="e">
        <v>#REF!</v>
      </c>
      <c r="CU6" t="e">
        <v>#REF!</v>
      </c>
    </row>
    <row r="7" spans="1:99">
      <c r="A7" s="156">
        <v>45931</v>
      </c>
      <c r="B7" s="157" t="e">
        <f t="shared" ca="1" si="1"/>
        <v>#REF!</v>
      </c>
      <c r="C7">
        <v>-0.53009848107459234</v>
      </c>
      <c r="D7" t="e">
        <f>#REF!/#REF!</f>
        <v>#REF!</v>
      </c>
      <c r="E7" s="94">
        <f t="shared" si="0"/>
        <v>1.4104703737834123</v>
      </c>
      <c r="F7" t="e">
        <f t="shared" ca="1" si="9"/>
        <v>#REF!</v>
      </c>
      <c r="G7" s="90">
        <v>45839</v>
      </c>
      <c r="H7" s="131">
        <v>21103.275390625</v>
      </c>
      <c r="I7" s="131">
        <v>141.88029479980469</v>
      </c>
      <c r="J7" s="132">
        <v>133.62071228027344</v>
      </c>
      <c r="K7" s="132">
        <v>4.3288960456848145</v>
      </c>
      <c r="L7" s="133">
        <v>3.6477868556976318</v>
      </c>
      <c r="M7" s="134">
        <v>17.771753311157227</v>
      </c>
      <c r="N7" s="133">
        <v>2.7385451793670654</v>
      </c>
      <c r="O7" s="135">
        <v>0.29006528854370117</v>
      </c>
      <c r="P7" s="136">
        <v>3</v>
      </c>
      <c r="Q7" s="92"/>
      <c r="R7" s="92"/>
      <c r="S7" s="109">
        <v>3184.2294921875</v>
      </c>
      <c r="T7" s="109">
        <v>31342.0625</v>
      </c>
      <c r="U7" s="109">
        <v>30549.361328125</v>
      </c>
      <c r="V7" s="109">
        <v>1165.27490234375</v>
      </c>
      <c r="W7" s="111">
        <f t="shared" si="10"/>
        <v>9.3655023750125656E-3</v>
      </c>
      <c r="X7" s="109"/>
      <c r="Y7" s="92"/>
      <c r="Z7" s="92" t="e">
        <f t="shared" si="4"/>
        <v>#REF!</v>
      </c>
      <c r="AA7" s="92"/>
      <c r="AB7" s="98" t="e">
        <f t="shared" si="11"/>
        <v>#REF!</v>
      </c>
      <c r="AC7" t="e">
        <f>AC6+($AC$18-$AC$6)/12</f>
        <v>#REF!</v>
      </c>
      <c r="AE7" t="e">
        <f t="shared" si="12"/>
        <v>#REF!</v>
      </c>
      <c r="AF7" t="e">
        <f>-SUM($AE$3:AE7)*W7</f>
        <v>#REF!</v>
      </c>
      <c r="AG7" s="112" t="e">
        <f t="shared" si="13"/>
        <v>#REF!</v>
      </c>
      <c r="AH7" t="e">
        <f t="shared" si="6"/>
        <v>#REF!</v>
      </c>
      <c r="AJ7">
        <v>5</v>
      </c>
      <c r="AK7" t="e">
        <f ca="1">PRODUCT(BB7:OFFSET(BA7,0,AJ7))</f>
        <v>#REF!</v>
      </c>
      <c r="AL7" t="e">
        <f t="shared" ca="1" si="7"/>
        <v>#REF!</v>
      </c>
      <c r="AN7" s="190">
        <v>21064.923828125</v>
      </c>
      <c r="AO7" s="190">
        <v>143.89297485351563</v>
      </c>
      <c r="AP7" s="190">
        <v>133.35411071777344</v>
      </c>
      <c r="AQ7" s="190">
        <v>4.469233512878418</v>
      </c>
      <c r="AR7" s="91"/>
      <c r="AS7" s="93" t="e">
        <f t="shared" ca="1" si="8"/>
        <v>#REF!</v>
      </c>
      <c r="AT7" t="e">
        <f t="shared" ca="1" si="3"/>
        <v>#REF!</v>
      </c>
      <c r="AU7" s="94"/>
      <c r="AV7" s="94"/>
      <c r="AY7" t="e">
        <f ca="1">AVERAGE(B3:B6)-AY3</f>
        <v>#REF!</v>
      </c>
      <c r="AZ7">
        <f>AVERAGE(C3:C6)-AZ3</f>
        <v>-0.1573037086420509</v>
      </c>
      <c r="BB7">
        <v>1</v>
      </c>
      <c r="BC7">
        <v>1</v>
      </c>
      <c r="BD7">
        <v>1</v>
      </c>
      <c r="BE7" t="e">
        <v>#REF!</v>
      </c>
      <c r="BF7" t="e">
        <v>#REF!</v>
      </c>
      <c r="BG7" t="e">
        <v>#REF!</v>
      </c>
      <c r="BH7" t="e">
        <v>#REF!</v>
      </c>
      <c r="BI7" t="e">
        <v>#REF!</v>
      </c>
      <c r="BJ7" t="e">
        <v>#REF!</v>
      </c>
      <c r="BK7" t="e">
        <v>#REF!</v>
      </c>
      <c r="BL7" t="e">
        <v>#REF!</v>
      </c>
      <c r="BM7" t="e">
        <v>#REF!</v>
      </c>
      <c r="BN7" t="e">
        <v>#REF!</v>
      </c>
      <c r="BO7" t="e">
        <v>#REF!</v>
      </c>
      <c r="BP7" t="e">
        <v>#REF!</v>
      </c>
      <c r="BQ7" t="e">
        <v>#REF!</v>
      </c>
      <c r="BR7" t="e">
        <v>#REF!</v>
      </c>
      <c r="BS7" t="e">
        <v>#REF!</v>
      </c>
      <c r="BT7" t="e">
        <v>#REF!</v>
      </c>
      <c r="BU7" t="e">
        <v>#REF!</v>
      </c>
      <c r="BV7" t="e">
        <v>#REF!</v>
      </c>
      <c r="BW7" t="e">
        <v>#REF!</v>
      </c>
      <c r="BX7" t="e">
        <v>#REF!</v>
      </c>
      <c r="BY7" t="e">
        <v>#REF!</v>
      </c>
      <c r="BZ7" t="e">
        <v>#REF!</v>
      </c>
      <c r="CA7" t="e">
        <v>#REF!</v>
      </c>
      <c r="CB7" t="e">
        <v>#REF!</v>
      </c>
      <c r="CC7" t="e">
        <v>#REF!</v>
      </c>
      <c r="CD7" t="e">
        <v>#REF!</v>
      </c>
      <c r="CE7" t="e">
        <v>#REF!</v>
      </c>
      <c r="CF7" t="e">
        <v>#REF!</v>
      </c>
      <c r="CG7" t="e">
        <v>#REF!</v>
      </c>
      <c r="CH7" t="e">
        <v>#REF!</v>
      </c>
      <c r="CI7" t="e">
        <v>#REF!</v>
      </c>
      <c r="CJ7" t="e">
        <v>#REF!</v>
      </c>
      <c r="CK7" t="e">
        <v>#REF!</v>
      </c>
      <c r="CL7" t="e">
        <v>#REF!</v>
      </c>
      <c r="CM7" t="e">
        <v>#REF!</v>
      </c>
      <c r="CN7" t="e">
        <v>#REF!</v>
      </c>
      <c r="CO7" t="e">
        <v>#REF!</v>
      </c>
      <c r="CP7" t="e">
        <v>#REF!</v>
      </c>
      <c r="CQ7" t="e">
        <v>#REF!</v>
      </c>
      <c r="CR7" t="e">
        <v>#REF!</v>
      </c>
      <c r="CS7" t="e">
        <v>#REF!</v>
      </c>
      <c r="CT7" t="e">
        <v>#REF!</v>
      </c>
      <c r="CU7" t="e">
        <v>#REF!</v>
      </c>
    </row>
    <row r="8" spans="1:99">
      <c r="A8" s="156">
        <v>46023</v>
      </c>
      <c r="B8" s="157" t="e">
        <f t="shared" ca="1" si="1"/>
        <v>#REF!</v>
      </c>
      <c r="C8">
        <v>-0.72587918034487942</v>
      </c>
      <c r="D8" t="e">
        <f>D7+(D11-D7)/4</f>
        <v>#REF!</v>
      </c>
      <c r="E8" s="94">
        <f t="shared" si="0"/>
        <v>1.3815299098519196</v>
      </c>
      <c r="F8" t="e">
        <f t="shared" ca="1" si="9"/>
        <v>#REF!</v>
      </c>
      <c r="G8" s="90">
        <v>45931</v>
      </c>
      <c r="H8" s="137">
        <v>21203.3125</v>
      </c>
      <c r="I8" s="137">
        <v>142.74867248535156</v>
      </c>
      <c r="J8" s="138">
        <v>133.65066528320313</v>
      </c>
      <c r="K8" s="138">
        <v>4.3751745223999023</v>
      </c>
      <c r="L8" s="139">
        <v>3.1304893493652344</v>
      </c>
      <c r="M8" s="140">
        <v>17.748319625854492</v>
      </c>
      <c r="N8" s="139">
        <v>2.7115180492401123</v>
      </c>
      <c r="O8" s="141">
        <v>0.27980303764343262</v>
      </c>
      <c r="P8" s="142">
        <v>3</v>
      </c>
      <c r="Q8" s="92"/>
      <c r="R8" s="92"/>
      <c r="S8" s="110">
        <v>3211.7294921875</v>
      </c>
      <c r="T8" s="110">
        <v>31814.14453125</v>
      </c>
      <c r="U8" s="110">
        <v>30892.48046875</v>
      </c>
      <c r="V8" s="110">
        <v>1171.9122314453125</v>
      </c>
      <c r="W8" s="111">
        <f t="shared" si="10"/>
        <v>9.2778864226713657E-3</v>
      </c>
      <c r="X8" s="109"/>
      <c r="Y8" s="92"/>
      <c r="Z8" s="92" t="e">
        <f t="shared" si="4"/>
        <v>#REF!</v>
      </c>
      <c r="AA8" s="92"/>
      <c r="AB8" s="98" t="e">
        <f t="shared" si="11"/>
        <v>#REF!</v>
      </c>
      <c r="AC8" t="e">
        <f t="shared" ref="AC8:AC17" si="14">AC7+($AC$18-$AC$6)/12</f>
        <v>#REF!</v>
      </c>
      <c r="AE8" t="e">
        <f t="shared" si="12"/>
        <v>#REF!</v>
      </c>
      <c r="AF8" t="e">
        <f>-SUM($AE$3:AE8)*W8</f>
        <v>#REF!</v>
      </c>
      <c r="AG8" s="112" t="e">
        <f t="shared" si="13"/>
        <v>#REF!</v>
      </c>
      <c r="AH8" t="e">
        <f t="shared" si="6"/>
        <v>#REF!</v>
      </c>
      <c r="AJ8">
        <v>6</v>
      </c>
      <c r="AK8" t="e">
        <f ca="1">PRODUCT(BB8:OFFSET(BA8,0,AJ8))</f>
        <v>#REF!</v>
      </c>
      <c r="AL8" t="e">
        <f t="shared" ca="1" si="7"/>
        <v>#REF!</v>
      </c>
      <c r="AN8" s="191">
        <v>21091.3828125</v>
      </c>
      <c r="AO8" s="191">
        <v>144.76210021972656</v>
      </c>
      <c r="AP8" s="191">
        <v>133.27511596679688</v>
      </c>
      <c r="AQ8" s="191">
        <v>4.6618986129760742</v>
      </c>
      <c r="AR8" s="91"/>
      <c r="AS8" s="93" t="e">
        <f t="shared" ca="1" si="8"/>
        <v>#REF!</v>
      </c>
      <c r="AT8" t="e">
        <f t="shared" ca="1" si="3"/>
        <v>#REF!</v>
      </c>
      <c r="AU8" s="94"/>
      <c r="AV8" s="94" t="e">
        <f ca="1">100*((AT8/AT4)-(H8/H4))</f>
        <v>#REF!</v>
      </c>
      <c r="AW8" s="22" t="e">
        <f t="shared" ref="AW8:AW17" ca="1" si="15">100*((AS8/AS4)-(H8/H4))</f>
        <v>#REF!</v>
      </c>
      <c r="BB8">
        <v>1</v>
      </c>
      <c r="BC8">
        <v>1</v>
      </c>
      <c r="BD8">
        <v>1</v>
      </c>
      <c r="BE8" t="e">
        <v>#REF!</v>
      </c>
      <c r="BF8" t="e">
        <v>#REF!</v>
      </c>
      <c r="BG8" t="e">
        <v>#REF!</v>
      </c>
      <c r="BH8" t="e">
        <v>#REF!</v>
      </c>
      <c r="BI8" t="e">
        <v>#REF!</v>
      </c>
      <c r="BJ8" t="e">
        <v>#REF!</v>
      </c>
      <c r="BK8" t="e">
        <v>#REF!</v>
      </c>
      <c r="BL8" t="e">
        <v>#REF!</v>
      </c>
      <c r="BM8" t="e">
        <v>#REF!</v>
      </c>
      <c r="BN8" t="e">
        <v>#REF!</v>
      </c>
      <c r="BO8" t="e">
        <v>#REF!</v>
      </c>
      <c r="BP8" t="e">
        <v>#REF!</v>
      </c>
      <c r="BQ8" t="e">
        <v>#REF!</v>
      </c>
      <c r="BR8" t="e">
        <v>#REF!</v>
      </c>
      <c r="BS8" t="e">
        <v>#REF!</v>
      </c>
      <c r="BT8" t="e">
        <v>#REF!</v>
      </c>
      <c r="BU8" t="e">
        <v>#REF!</v>
      </c>
      <c r="BV8" t="e">
        <v>#REF!</v>
      </c>
      <c r="BW8" t="e">
        <v>#REF!</v>
      </c>
      <c r="BX8" t="e">
        <v>#REF!</v>
      </c>
      <c r="BY8" t="e">
        <v>#REF!</v>
      </c>
      <c r="BZ8" t="e">
        <v>#REF!</v>
      </c>
      <c r="CA8" t="e">
        <v>#REF!</v>
      </c>
      <c r="CB8" t="e">
        <v>#REF!</v>
      </c>
      <c r="CC8" t="e">
        <v>#REF!</v>
      </c>
      <c r="CD8" t="e">
        <v>#REF!</v>
      </c>
      <c r="CE8" t="e">
        <v>#REF!</v>
      </c>
      <c r="CF8" t="e">
        <v>#REF!</v>
      </c>
      <c r="CG8" t="e">
        <v>#REF!</v>
      </c>
      <c r="CH8" t="e">
        <v>#REF!</v>
      </c>
      <c r="CI8" t="e">
        <v>#REF!</v>
      </c>
      <c r="CJ8" t="e">
        <v>#REF!</v>
      </c>
      <c r="CK8" t="e">
        <v>#REF!</v>
      </c>
      <c r="CL8" t="e">
        <v>#REF!</v>
      </c>
      <c r="CM8" t="e">
        <v>#REF!</v>
      </c>
      <c r="CN8" t="e">
        <v>#REF!</v>
      </c>
      <c r="CO8" t="e">
        <v>#REF!</v>
      </c>
      <c r="CP8" t="e">
        <v>#REF!</v>
      </c>
      <c r="CQ8" t="e">
        <v>#REF!</v>
      </c>
      <c r="CR8" t="e">
        <v>#REF!</v>
      </c>
      <c r="CS8" t="e">
        <v>#REF!</v>
      </c>
      <c r="CT8" t="e">
        <v>#REF!</v>
      </c>
      <c r="CU8" t="e">
        <v>#REF!</v>
      </c>
    </row>
    <row r="9" spans="1:99">
      <c r="A9" s="156">
        <v>46113</v>
      </c>
      <c r="B9" s="157" t="e">
        <f t="shared" ca="1" si="1"/>
        <v>#REF!</v>
      </c>
      <c r="C9">
        <v>-0.80209219052307379</v>
      </c>
      <c r="D9" t="e">
        <f>D8+(D11-D7)/4</f>
        <v>#REF!</v>
      </c>
      <c r="E9" s="94">
        <f t="shared" si="0"/>
        <v>1.3541928937269576</v>
      </c>
      <c r="F9" t="e">
        <f t="shared" ca="1" si="9"/>
        <v>#REF!</v>
      </c>
      <c r="G9" s="90">
        <v>46023</v>
      </c>
      <c r="H9" s="131">
        <v>21302.0234375</v>
      </c>
      <c r="I9" s="131">
        <v>143.77079772949219</v>
      </c>
      <c r="J9" s="132">
        <v>133.68601989746094</v>
      </c>
      <c r="K9" s="132">
        <v>4.420567512512207</v>
      </c>
      <c r="L9" s="133">
        <v>2.6881453990936279</v>
      </c>
      <c r="M9" s="134">
        <v>17.615402221679688</v>
      </c>
      <c r="N9" s="133">
        <v>2.6982026100158691</v>
      </c>
      <c r="O9" s="135">
        <v>0.27512192726135254</v>
      </c>
      <c r="P9" s="136">
        <v>3.0999999046325684</v>
      </c>
      <c r="Q9" s="92"/>
      <c r="R9" s="92"/>
      <c r="S9" s="109">
        <v>3242.683349609375</v>
      </c>
      <c r="T9" s="109">
        <v>32290.611328125</v>
      </c>
      <c r="U9" s="109">
        <v>31279.24609375</v>
      </c>
      <c r="V9" s="109">
        <v>1178.66943359375</v>
      </c>
      <c r="W9" s="111">
        <f t="shared" si="10"/>
        <v>9.1933072499282859E-3</v>
      </c>
      <c r="X9" s="109"/>
      <c r="Y9" s="92"/>
      <c r="Z9" s="92" t="e">
        <f t="shared" si="4"/>
        <v>#REF!</v>
      </c>
      <c r="AA9" s="92"/>
      <c r="AB9" s="98" t="e">
        <f t="shared" si="11"/>
        <v>#REF!</v>
      </c>
      <c r="AC9" t="e">
        <f t="shared" si="14"/>
        <v>#REF!</v>
      </c>
      <c r="AE9" t="e">
        <f t="shared" si="12"/>
        <v>#REF!</v>
      </c>
      <c r="AF9" t="e">
        <f>-SUM($AE$3:AE9)*W9</f>
        <v>#REF!</v>
      </c>
      <c r="AG9" s="112" t="e">
        <f t="shared" si="13"/>
        <v>#REF!</v>
      </c>
      <c r="AH9" t="e">
        <f t="shared" si="6"/>
        <v>#REF!</v>
      </c>
      <c r="AJ9">
        <v>7</v>
      </c>
      <c r="AK9" t="e">
        <f ca="1">PRODUCT(BB9:OFFSET(BA9,0,AJ9))</f>
        <v>#REF!</v>
      </c>
      <c r="AL9" t="e">
        <f t="shared" ca="1" si="7"/>
        <v>#REF!</v>
      </c>
      <c r="AN9" s="190">
        <v>21148.025390625</v>
      </c>
      <c r="AO9" s="190">
        <v>145.75703430175781</v>
      </c>
      <c r="AP9" s="190">
        <v>133.090576171875</v>
      </c>
      <c r="AQ9" s="190">
        <v>4.8236074447631836</v>
      </c>
      <c r="AR9" s="91"/>
      <c r="AS9" s="93" t="e">
        <f t="shared" ca="1" si="8"/>
        <v>#REF!</v>
      </c>
      <c r="AT9" t="e">
        <f t="shared" ca="1" si="3"/>
        <v>#REF!</v>
      </c>
      <c r="AU9" s="94"/>
      <c r="AV9" s="94" t="e">
        <f t="shared" ref="AV9:AV17" ca="1" si="16">100*((AT9/AT5)-(H9/H5))</f>
        <v>#REF!</v>
      </c>
      <c r="AW9" t="e">
        <f t="shared" ca="1" si="15"/>
        <v>#REF!</v>
      </c>
      <c r="BB9">
        <v>1</v>
      </c>
      <c r="BC9">
        <v>1</v>
      </c>
      <c r="BD9">
        <v>1</v>
      </c>
      <c r="BE9" t="e">
        <v>#REF!</v>
      </c>
      <c r="BF9" t="e">
        <v>#REF!</v>
      </c>
      <c r="BG9" t="e">
        <v>#REF!</v>
      </c>
      <c r="BH9" t="e">
        <v>#REF!</v>
      </c>
      <c r="BI9" t="e">
        <v>#REF!</v>
      </c>
      <c r="BJ9" t="e">
        <v>#REF!</v>
      </c>
      <c r="BK9" t="e">
        <v>#REF!</v>
      </c>
      <c r="BL9" t="e">
        <v>#REF!</v>
      </c>
      <c r="BM9" t="e">
        <v>#REF!</v>
      </c>
      <c r="BN9" t="e">
        <v>#REF!</v>
      </c>
      <c r="BO9" t="e">
        <v>#REF!</v>
      </c>
      <c r="BP9" t="e">
        <v>#REF!</v>
      </c>
      <c r="BQ9" t="e">
        <v>#REF!</v>
      </c>
      <c r="BR9" t="e">
        <v>#REF!</v>
      </c>
      <c r="BS9" t="e">
        <v>#REF!</v>
      </c>
      <c r="BT9" t="e">
        <v>#REF!</v>
      </c>
      <c r="BU9" t="e">
        <v>#REF!</v>
      </c>
      <c r="BV9" t="e">
        <v>#REF!</v>
      </c>
      <c r="BW9" t="e">
        <v>#REF!</v>
      </c>
      <c r="BX9" t="e">
        <v>#REF!</v>
      </c>
      <c r="BY9" t="e">
        <v>#REF!</v>
      </c>
      <c r="BZ9" t="e">
        <v>#REF!</v>
      </c>
      <c r="CA9" t="e">
        <v>#REF!</v>
      </c>
      <c r="CB9" t="e">
        <v>#REF!</v>
      </c>
      <c r="CC9" t="e">
        <v>#REF!</v>
      </c>
      <c r="CD9" t="e">
        <v>#REF!</v>
      </c>
      <c r="CE9" t="e">
        <v>#REF!</v>
      </c>
      <c r="CF9" t="e">
        <v>#REF!</v>
      </c>
      <c r="CG9" t="e">
        <v>#REF!</v>
      </c>
      <c r="CH9" t="e">
        <v>#REF!</v>
      </c>
      <c r="CI9" t="e">
        <v>#REF!</v>
      </c>
      <c r="CJ9" t="e">
        <v>#REF!</v>
      </c>
      <c r="CK9" t="e">
        <v>#REF!</v>
      </c>
      <c r="CL9" t="e">
        <v>#REF!</v>
      </c>
      <c r="CM9" t="e">
        <v>#REF!</v>
      </c>
      <c r="CN9" t="e">
        <v>#REF!</v>
      </c>
      <c r="CO9" t="e">
        <v>#REF!</v>
      </c>
      <c r="CP9" t="e">
        <v>#REF!</v>
      </c>
      <c r="CQ9" t="e">
        <v>#REF!</v>
      </c>
      <c r="CR9" t="e">
        <v>#REF!</v>
      </c>
      <c r="CS9" t="e">
        <v>#REF!</v>
      </c>
      <c r="CT9" t="e">
        <v>#REF!</v>
      </c>
      <c r="CU9" t="e">
        <v>#REF!</v>
      </c>
    </row>
    <row r="10" spans="1:99">
      <c r="A10" s="156">
        <v>46204</v>
      </c>
      <c r="B10" s="157" t="e">
        <f t="shared" ca="1" si="1"/>
        <v>#REF!</v>
      </c>
      <c r="C10">
        <v>-0.71582380631227682</v>
      </c>
      <c r="D10" t="e">
        <f>D9+(D11-D7)/4</f>
        <v>#REF!</v>
      </c>
      <c r="E10" s="94">
        <f t="shared" si="0"/>
        <v>1.3324098629326819</v>
      </c>
      <c r="F10" t="e">
        <f t="shared" ca="1" si="9"/>
        <v>#REF!</v>
      </c>
      <c r="G10" s="90">
        <v>46113</v>
      </c>
      <c r="H10" s="131">
        <v>21392.052734375</v>
      </c>
      <c r="I10" s="131">
        <v>144.479248046875</v>
      </c>
      <c r="J10" s="132">
        <v>133.71315002441406</v>
      </c>
      <c r="K10" s="132">
        <v>4.4670042991638184</v>
      </c>
      <c r="L10" s="133">
        <v>2.6198172569274902</v>
      </c>
      <c r="M10" s="134">
        <v>17.369510650634766</v>
      </c>
      <c r="N10" s="133">
        <v>2.6966352462768555</v>
      </c>
      <c r="O10" s="135">
        <v>0.27937483787536621</v>
      </c>
      <c r="P10" s="136">
        <v>3.0999999046325684</v>
      </c>
      <c r="Q10" s="92"/>
      <c r="R10" s="92"/>
      <c r="S10" s="109">
        <v>3268.625732421875</v>
      </c>
      <c r="T10" s="109">
        <v>32772.75390625</v>
      </c>
      <c r="U10" s="109">
        <v>31541.091796875</v>
      </c>
      <c r="V10" s="109">
        <v>1185.8399658203125</v>
      </c>
      <c r="W10" s="111">
        <f t="shared" si="10"/>
        <v>9.112962121991473E-3</v>
      </c>
      <c r="X10" s="109"/>
      <c r="Y10" s="92"/>
      <c r="Z10" s="92" t="e">
        <f t="shared" si="4"/>
        <v>#REF!</v>
      </c>
      <c r="AA10" s="92"/>
      <c r="AB10" s="98" t="e">
        <f t="shared" si="11"/>
        <v>#REF!</v>
      </c>
      <c r="AC10" t="e">
        <f t="shared" si="14"/>
        <v>#REF!</v>
      </c>
      <c r="AE10" t="e">
        <f t="shared" si="12"/>
        <v>#REF!</v>
      </c>
      <c r="AF10" t="e">
        <f>-SUM($AE$3:AE10)*W10</f>
        <v>#REF!</v>
      </c>
      <c r="AG10" s="112" t="e">
        <f t="shared" si="13"/>
        <v>#REF!</v>
      </c>
      <c r="AH10" t="e">
        <f t="shared" si="6"/>
        <v>#REF!</v>
      </c>
      <c r="AJ10">
        <v>8</v>
      </c>
      <c r="AK10" t="e">
        <f ca="1">PRODUCT(BB10:OFFSET(BA10,0,AJ10))</f>
        <v>#REF!</v>
      </c>
      <c r="AL10" t="e">
        <f ca="1">MIN((AN10/H10)*(AK10),(1+'F5 Foreign GDP'!$H$2/100)*AK10)</f>
        <v>#REF!</v>
      </c>
      <c r="AN10" s="190">
        <v>21221.044921875</v>
      </c>
      <c r="AO10" s="190">
        <v>146.43577575683594</v>
      </c>
      <c r="AP10" s="190">
        <v>132.8819580078125</v>
      </c>
      <c r="AQ10" s="190">
        <v>4.9385409355163574</v>
      </c>
      <c r="AR10" s="91"/>
      <c r="AS10" s="93" t="e">
        <f t="shared" ca="1" si="8"/>
        <v>#REF!</v>
      </c>
      <c r="AT10" t="e">
        <f t="shared" ca="1" si="3"/>
        <v>#REF!</v>
      </c>
      <c r="AU10" s="94"/>
      <c r="AV10" s="94" t="e">
        <f t="shared" ca="1" si="16"/>
        <v>#REF!</v>
      </c>
      <c r="AW10" t="e">
        <f t="shared" ca="1" si="15"/>
        <v>#REF!</v>
      </c>
      <c r="BB10">
        <v>1</v>
      </c>
      <c r="BC10">
        <v>1</v>
      </c>
      <c r="BD10">
        <v>1</v>
      </c>
      <c r="BE10" t="e">
        <v>#REF!</v>
      </c>
      <c r="BF10" t="e">
        <v>#REF!</v>
      </c>
      <c r="BG10" t="e">
        <v>#REF!</v>
      </c>
      <c r="BH10" t="e">
        <v>#REF!</v>
      </c>
      <c r="BI10" t="e">
        <v>#REF!</v>
      </c>
      <c r="BJ10" t="e">
        <v>#REF!</v>
      </c>
      <c r="BK10" t="e">
        <v>#REF!</v>
      </c>
      <c r="BL10" t="e">
        <v>#REF!</v>
      </c>
      <c r="BM10" t="e">
        <v>#REF!</v>
      </c>
      <c r="BN10" t="e">
        <v>#REF!</v>
      </c>
      <c r="BO10" t="e">
        <v>#REF!</v>
      </c>
      <c r="BP10" t="e">
        <v>#REF!</v>
      </c>
      <c r="BQ10" t="e">
        <v>#REF!</v>
      </c>
      <c r="BR10" t="e">
        <v>#REF!</v>
      </c>
      <c r="BS10" t="e">
        <v>#REF!</v>
      </c>
      <c r="BT10" t="e">
        <v>#REF!</v>
      </c>
      <c r="BU10" t="e">
        <v>#REF!</v>
      </c>
      <c r="BV10" t="e">
        <v>#REF!</v>
      </c>
      <c r="BW10" t="e">
        <v>#REF!</v>
      </c>
      <c r="BX10" t="e">
        <v>#REF!</v>
      </c>
      <c r="BY10" t="e">
        <v>#REF!</v>
      </c>
      <c r="BZ10" t="e">
        <v>#REF!</v>
      </c>
      <c r="CA10" t="e">
        <v>#REF!</v>
      </c>
      <c r="CB10" t="e">
        <v>#REF!</v>
      </c>
      <c r="CC10" t="e">
        <v>#REF!</v>
      </c>
      <c r="CD10" t="e">
        <v>#REF!</v>
      </c>
      <c r="CE10" t="e">
        <v>#REF!</v>
      </c>
      <c r="CF10" t="e">
        <v>#REF!</v>
      </c>
      <c r="CG10" t="e">
        <v>#REF!</v>
      </c>
      <c r="CH10" t="e">
        <v>#REF!</v>
      </c>
      <c r="CI10" t="e">
        <v>#REF!</v>
      </c>
      <c r="CJ10" t="e">
        <v>#REF!</v>
      </c>
      <c r="CK10" t="e">
        <v>#REF!</v>
      </c>
      <c r="CL10" t="e">
        <v>#REF!</v>
      </c>
      <c r="CM10" t="e">
        <v>#REF!</v>
      </c>
      <c r="CN10" t="e">
        <v>#REF!</v>
      </c>
      <c r="CO10" t="e">
        <v>#REF!</v>
      </c>
      <c r="CP10" t="e">
        <v>#REF!</v>
      </c>
      <c r="CQ10" t="e">
        <v>#REF!</v>
      </c>
      <c r="CR10" t="e">
        <v>#REF!</v>
      </c>
      <c r="CS10" t="e">
        <v>#REF!</v>
      </c>
      <c r="CT10" t="e">
        <v>#REF!</v>
      </c>
      <c r="CU10" t="e">
        <v>#REF!</v>
      </c>
    </row>
    <row r="11" spans="1:99">
      <c r="A11" s="156">
        <v>46296</v>
      </c>
      <c r="B11" s="157" t="e">
        <f t="shared" ca="1" si="1"/>
        <v>#REF!</v>
      </c>
      <c r="C11">
        <v>-0.61022571085415089</v>
      </c>
      <c r="D11" t="e">
        <f>#REF!/#REF!</f>
        <v>#REF!</v>
      </c>
      <c r="E11" s="94">
        <f t="shared" si="0"/>
        <v>1.3210346135242634</v>
      </c>
      <c r="F11" t="e">
        <f t="shared" ca="1" si="9"/>
        <v>#REF!</v>
      </c>
      <c r="G11" s="90">
        <v>46204</v>
      </c>
      <c r="H11" s="131">
        <v>21473.837890625</v>
      </c>
      <c r="I11" s="131">
        <v>145.3170166015625</v>
      </c>
      <c r="J11" s="132">
        <v>133.69392395019531</v>
      </c>
      <c r="K11" s="132">
        <v>4.4973759651184082</v>
      </c>
      <c r="L11" s="133">
        <v>2.6201097965240479</v>
      </c>
      <c r="M11" s="134">
        <v>17.119178771972656</v>
      </c>
      <c r="N11" s="133">
        <v>2.6969268321990967</v>
      </c>
      <c r="O11" s="135">
        <v>0.28136944770812988</v>
      </c>
      <c r="P11" s="136">
        <v>3.0999999046325684</v>
      </c>
      <c r="Q11" s="92"/>
      <c r="R11" s="92"/>
      <c r="S11" s="109">
        <v>3295.542236328125</v>
      </c>
      <c r="T11" s="109">
        <v>33260.078125</v>
      </c>
      <c r="U11" s="109">
        <v>31851.44140625</v>
      </c>
      <c r="V11" s="109">
        <v>1193.344970703125</v>
      </c>
      <c r="W11" s="111">
        <f t="shared" si="10"/>
        <v>9.0359972001380698E-3</v>
      </c>
      <c r="X11" s="109"/>
      <c r="Y11" s="92"/>
      <c r="Z11" s="92" t="e">
        <f t="shared" si="4"/>
        <v>#REF!</v>
      </c>
      <c r="AA11" s="92"/>
      <c r="AB11" s="98" t="e">
        <f t="shared" si="11"/>
        <v>#REF!</v>
      </c>
      <c r="AC11" t="e">
        <f t="shared" si="14"/>
        <v>#REF!</v>
      </c>
      <c r="AE11" t="e">
        <f t="shared" si="12"/>
        <v>#REF!</v>
      </c>
      <c r="AF11" t="e">
        <f>-SUM($AE$3:AE11)*W11</f>
        <v>#REF!</v>
      </c>
      <c r="AG11" s="112" t="e">
        <f t="shared" si="13"/>
        <v>#REF!</v>
      </c>
      <c r="AH11" t="e">
        <f t="shared" si="6"/>
        <v>#REF!</v>
      </c>
      <c r="AJ11">
        <v>9</v>
      </c>
      <c r="AK11" t="e">
        <f ca="1">PRODUCT(BB11:OFFSET(BA11,0,AJ11))</f>
        <v>#REF!</v>
      </c>
      <c r="AL11" t="e">
        <f ca="1">MIN((AN11/H11)*(AK11),(1+'F5 Foreign GDP'!$H$2/100)*AK11)</f>
        <v>#REF!</v>
      </c>
      <c r="AN11" s="190">
        <v>21320.44921875</v>
      </c>
      <c r="AO11" s="190">
        <v>147.25323486328125</v>
      </c>
      <c r="AP11" s="190">
        <v>132.7442626953125</v>
      </c>
      <c r="AQ11" s="190">
        <v>4.9932751655578613</v>
      </c>
      <c r="AR11" s="91"/>
      <c r="AS11" s="93" t="e">
        <f t="shared" ca="1" si="8"/>
        <v>#REF!</v>
      </c>
      <c r="AT11" t="e">
        <f t="shared" ca="1" si="3"/>
        <v>#REF!</v>
      </c>
      <c r="AU11" s="94"/>
      <c r="AV11" s="94" t="e">
        <f t="shared" ca="1" si="16"/>
        <v>#REF!</v>
      </c>
      <c r="AW11" t="e">
        <f t="shared" ca="1" si="15"/>
        <v>#REF!</v>
      </c>
      <c r="AY11" t="e">
        <f ca="1">AVERAGE(B7:B10)-AY7</f>
        <v>#REF!</v>
      </c>
      <c r="AZ11">
        <f>AVERAGE(C7:C10)-AZ7</f>
        <v>-0.53616970592165469</v>
      </c>
      <c r="BB11">
        <v>1</v>
      </c>
      <c r="BC11">
        <v>1</v>
      </c>
      <c r="BD11">
        <v>1</v>
      </c>
      <c r="BE11" t="e">
        <v>#REF!</v>
      </c>
      <c r="BF11" t="e">
        <v>#REF!</v>
      </c>
      <c r="BG11" t="e">
        <v>#REF!</v>
      </c>
      <c r="BH11" t="e">
        <v>#REF!</v>
      </c>
      <c r="BI11" t="e">
        <v>#REF!</v>
      </c>
      <c r="BJ11" t="e">
        <v>#REF!</v>
      </c>
      <c r="BK11" t="e">
        <v>#REF!</v>
      </c>
      <c r="BL11" t="e">
        <v>#REF!</v>
      </c>
      <c r="BM11" t="e">
        <v>#REF!</v>
      </c>
      <c r="BN11" t="e">
        <v>#REF!</v>
      </c>
      <c r="BO11" t="e">
        <v>#REF!</v>
      </c>
      <c r="BP11" t="e">
        <v>#REF!</v>
      </c>
      <c r="BQ11" t="e">
        <v>#REF!</v>
      </c>
      <c r="BR11" t="e">
        <v>#REF!</v>
      </c>
      <c r="BS11" t="e">
        <v>#REF!</v>
      </c>
      <c r="BT11" t="e">
        <v>#REF!</v>
      </c>
      <c r="BU11" t="e">
        <v>#REF!</v>
      </c>
      <c r="BV11" t="e">
        <v>#REF!</v>
      </c>
      <c r="BW11" t="e">
        <v>#REF!</v>
      </c>
      <c r="BX11" t="e">
        <v>#REF!</v>
      </c>
      <c r="BY11" t="e">
        <v>#REF!</v>
      </c>
      <c r="BZ11" t="e">
        <v>#REF!</v>
      </c>
      <c r="CA11" t="e">
        <v>#REF!</v>
      </c>
      <c r="CB11" t="e">
        <v>#REF!</v>
      </c>
      <c r="CC11" t="e">
        <v>#REF!</v>
      </c>
      <c r="CD11" t="e">
        <v>#REF!</v>
      </c>
      <c r="CE11" t="e">
        <v>#REF!</v>
      </c>
      <c r="CF11" t="e">
        <v>#REF!</v>
      </c>
      <c r="CG11" t="e">
        <v>#REF!</v>
      </c>
      <c r="CH11" t="e">
        <v>#REF!</v>
      </c>
      <c r="CI11" t="e">
        <v>#REF!</v>
      </c>
      <c r="CJ11" t="e">
        <v>#REF!</v>
      </c>
      <c r="CK11" t="e">
        <v>#REF!</v>
      </c>
      <c r="CL11" t="e">
        <v>#REF!</v>
      </c>
      <c r="CM11" t="e">
        <v>#REF!</v>
      </c>
      <c r="CN11" t="e">
        <v>#REF!</v>
      </c>
      <c r="CO11" t="e">
        <v>#REF!</v>
      </c>
      <c r="CP11" t="e">
        <v>#REF!</v>
      </c>
      <c r="CQ11" t="e">
        <v>#REF!</v>
      </c>
      <c r="CR11" t="e">
        <v>#REF!</v>
      </c>
      <c r="CS11" t="e">
        <v>#REF!</v>
      </c>
      <c r="CT11" t="e">
        <v>#REF!</v>
      </c>
      <c r="CU11" t="e">
        <v>#REF!</v>
      </c>
    </row>
    <row r="12" spans="1:99">
      <c r="A12" s="156">
        <v>46388</v>
      </c>
      <c r="B12" s="157" t="e">
        <f t="shared" ca="1" si="1"/>
        <v>#REF!</v>
      </c>
      <c r="C12">
        <v>-0.53845677757049515</v>
      </c>
      <c r="D12" t="e">
        <f>D11+(D15-D11)/4</f>
        <v>#REF!</v>
      </c>
      <c r="E12" s="94">
        <f t="shared" si="0"/>
        <v>1.3148873462365041</v>
      </c>
      <c r="F12" t="e">
        <f t="shared" ca="1" si="9"/>
        <v>#REF!</v>
      </c>
      <c r="G12" s="90">
        <v>46296</v>
      </c>
      <c r="H12" s="137">
        <v>21558.365234375</v>
      </c>
      <c r="I12" s="137">
        <v>146.06124877929688</v>
      </c>
      <c r="J12" s="138">
        <v>133.66604614257813</v>
      </c>
      <c r="K12" s="138">
        <v>4.5267491340637207</v>
      </c>
      <c r="L12" s="139">
        <v>2.6246120929718018</v>
      </c>
      <c r="M12" s="140">
        <v>16.964090347290039</v>
      </c>
      <c r="N12" s="139">
        <v>2.6967508792877197</v>
      </c>
      <c r="O12" s="141">
        <v>0.27298760414123535</v>
      </c>
      <c r="P12" s="142">
        <v>3.0999999046325684</v>
      </c>
      <c r="Q12" s="92"/>
      <c r="R12" s="92"/>
      <c r="S12" s="110">
        <v>3323.2412109375</v>
      </c>
      <c r="T12" s="110">
        <v>33752.078125</v>
      </c>
      <c r="U12" s="110">
        <v>32160.525390625</v>
      </c>
      <c r="V12" s="110">
        <v>1201.1065673828125</v>
      </c>
      <c r="W12" s="111">
        <f t="shared" si="10"/>
        <v>8.9618558377817636E-3</v>
      </c>
      <c r="X12" s="109"/>
      <c r="Y12" s="92"/>
      <c r="Z12" s="92" t="e">
        <f t="shared" si="4"/>
        <v>#REF!</v>
      </c>
      <c r="AA12" s="92"/>
      <c r="AB12" s="98" t="e">
        <f t="shared" si="11"/>
        <v>#REF!</v>
      </c>
      <c r="AC12" t="e">
        <f t="shared" si="14"/>
        <v>#REF!</v>
      </c>
      <c r="AE12" t="e">
        <f t="shared" si="12"/>
        <v>#REF!</v>
      </c>
      <c r="AF12" t="e">
        <f>-SUM($AE$3:AE12)*W12</f>
        <v>#REF!</v>
      </c>
      <c r="AG12" s="112" t="e">
        <f t="shared" si="13"/>
        <v>#REF!</v>
      </c>
      <c r="AH12" t="e">
        <f t="shared" si="6"/>
        <v>#REF!</v>
      </c>
      <c r="AJ12">
        <v>10</v>
      </c>
      <c r="AK12" t="e">
        <f ca="1">PRODUCT(BB12:OFFSET(BA12,0,AJ12))</f>
        <v>#REF!</v>
      </c>
      <c r="AL12" t="e">
        <f ca="1">MIN((AN12/H12)*(AK12),(1+'F5 Foreign GDP'!$H$2/100)*AK12)</f>
        <v>#REF!</v>
      </c>
      <c r="AN12" s="191">
        <v>21426.947265625</v>
      </c>
      <c r="AO12" s="191">
        <v>147.99076843261719</v>
      </c>
      <c r="AP12" s="191">
        <v>132.71115112304688</v>
      </c>
      <c r="AQ12" s="191">
        <v>5.009162425994873</v>
      </c>
      <c r="AR12" s="91"/>
      <c r="AS12" s="93" t="e">
        <f t="shared" ca="1" si="8"/>
        <v>#REF!</v>
      </c>
      <c r="AT12" t="e">
        <f t="shared" ca="1" si="3"/>
        <v>#REF!</v>
      </c>
      <c r="AU12" s="94"/>
      <c r="AV12" s="94" t="e">
        <f t="shared" ca="1" si="16"/>
        <v>#REF!</v>
      </c>
      <c r="AW12" t="e">
        <f t="shared" ca="1" si="15"/>
        <v>#REF!</v>
      </c>
      <c r="BB12">
        <v>1</v>
      </c>
      <c r="BC12">
        <v>1</v>
      </c>
      <c r="BD12">
        <v>1</v>
      </c>
      <c r="BE12" t="e">
        <v>#REF!</v>
      </c>
      <c r="BF12" t="e">
        <v>#REF!</v>
      </c>
      <c r="BG12" t="e">
        <v>#REF!</v>
      </c>
      <c r="BH12" t="e">
        <v>#REF!</v>
      </c>
      <c r="BI12" t="e">
        <v>#REF!</v>
      </c>
      <c r="BJ12" t="e">
        <v>#REF!</v>
      </c>
      <c r="BK12" t="e">
        <v>#REF!</v>
      </c>
      <c r="BL12" t="e">
        <v>#REF!</v>
      </c>
      <c r="BM12" t="e">
        <v>#REF!</v>
      </c>
      <c r="BN12" t="e">
        <v>#REF!</v>
      </c>
      <c r="BO12" t="e">
        <v>#REF!</v>
      </c>
      <c r="BP12" t="e">
        <v>#REF!</v>
      </c>
      <c r="BQ12" t="e">
        <v>#REF!</v>
      </c>
      <c r="BR12" t="e">
        <v>#REF!</v>
      </c>
      <c r="BS12" t="e">
        <v>#REF!</v>
      </c>
      <c r="BT12" t="e">
        <v>#REF!</v>
      </c>
      <c r="BU12" t="e">
        <v>#REF!</v>
      </c>
      <c r="BV12" t="e">
        <v>#REF!</v>
      </c>
      <c r="BW12" t="e">
        <v>#REF!</v>
      </c>
      <c r="BX12" t="e">
        <v>#REF!</v>
      </c>
      <c r="BY12" t="e">
        <v>#REF!</v>
      </c>
      <c r="BZ12" t="e">
        <v>#REF!</v>
      </c>
      <c r="CA12" t="e">
        <v>#REF!</v>
      </c>
      <c r="CB12" t="e">
        <v>#REF!</v>
      </c>
      <c r="CC12" t="e">
        <v>#REF!</v>
      </c>
      <c r="CD12" t="e">
        <v>#REF!</v>
      </c>
      <c r="CE12" t="e">
        <v>#REF!</v>
      </c>
      <c r="CF12" t="e">
        <v>#REF!</v>
      </c>
      <c r="CG12" t="e">
        <v>#REF!</v>
      </c>
      <c r="CH12" t="e">
        <v>#REF!</v>
      </c>
      <c r="CI12" t="e">
        <v>#REF!</v>
      </c>
      <c r="CJ12" t="e">
        <v>#REF!</v>
      </c>
      <c r="CK12" t="e">
        <v>#REF!</v>
      </c>
      <c r="CL12" t="e">
        <v>#REF!</v>
      </c>
      <c r="CM12" t="e">
        <v>#REF!</v>
      </c>
      <c r="CN12" t="e">
        <v>#REF!</v>
      </c>
      <c r="CO12" t="e">
        <v>#REF!</v>
      </c>
      <c r="CP12" t="e">
        <v>#REF!</v>
      </c>
      <c r="CQ12" t="e">
        <v>#REF!</v>
      </c>
      <c r="CR12" t="e">
        <v>#REF!</v>
      </c>
      <c r="CS12" t="e">
        <v>#REF!</v>
      </c>
      <c r="CT12" t="e">
        <v>#REF!</v>
      </c>
      <c r="CU12" t="e">
        <v>#REF!</v>
      </c>
    </row>
    <row r="13" spans="1:99">
      <c r="A13" s="156">
        <v>46478</v>
      </c>
      <c r="B13" s="157" t="e">
        <f t="shared" ca="1" si="1"/>
        <v>#REF!</v>
      </c>
      <c r="C13">
        <v>-0.50111000889391244</v>
      </c>
      <c r="D13" t="e">
        <f>D12+(D15-D11)/4</f>
        <v>#REF!</v>
      </c>
      <c r="E13" s="94">
        <f t="shared" si="0"/>
        <v>1.3084358320083922</v>
      </c>
      <c r="F13" t="e">
        <f t="shared" ca="1" si="9"/>
        <v>#REF!</v>
      </c>
      <c r="G13" s="90">
        <v>46388</v>
      </c>
      <c r="H13" s="131">
        <v>21648.23828125</v>
      </c>
      <c r="I13" s="131">
        <v>146.77543640136719</v>
      </c>
      <c r="J13" s="132">
        <v>133.63922119140625</v>
      </c>
      <c r="K13" s="132">
        <v>4.5589699745178223</v>
      </c>
      <c r="L13" s="133">
        <v>2.6223328113555908</v>
      </c>
      <c r="M13" s="134">
        <v>16.868007659912109</v>
      </c>
      <c r="N13" s="133">
        <v>2.69681715965271</v>
      </c>
      <c r="O13" s="135">
        <v>0.26379776000976563</v>
      </c>
      <c r="P13" s="136">
        <v>3.0999999046325684</v>
      </c>
      <c r="Q13" s="92"/>
      <c r="R13" s="92"/>
      <c r="S13" s="109">
        <v>3353.71337890625</v>
      </c>
      <c r="T13" s="109">
        <v>34259.83203125</v>
      </c>
      <c r="U13" s="109">
        <v>32468.66796875</v>
      </c>
      <c r="V13" s="109">
        <v>1209.2484130859375</v>
      </c>
      <c r="W13" s="111">
        <f t="shared" si="10"/>
        <v>8.8899753756939062E-3</v>
      </c>
      <c r="X13" s="109"/>
      <c r="Y13" s="92"/>
      <c r="Z13" s="92" t="e">
        <f t="shared" si="4"/>
        <v>#REF!</v>
      </c>
      <c r="AA13" s="92"/>
      <c r="AB13" s="98" t="e">
        <f t="shared" si="11"/>
        <v>#REF!</v>
      </c>
      <c r="AC13" t="e">
        <f t="shared" si="14"/>
        <v>#REF!</v>
      </c>
      <c r="AE13" t="e">
        <f t="shared" si="12"/>
        <v>#REF!</v>
      </c>
      <c r="AF13" t="e">
        <f>-SUM($AE$3:AE13)*W13</f>
        <v>#REF!</v>
      </c>
      <c r="AG13" s="112" t="e">
        <f t="shared" si="13"/>
        <v>#REF!</v>
      </c>
      <c r="AH13" t="e">
        <f t="shared" si="6"/>
        <v>#REF!</v>
      </c>
      <c r="AJ13">
        <v>11</v>
      </c>
      <c r="AK13" t="e">
        <f ca="1">PRODUCT(BB13:OFFSET(BA13,0,AJ13))</f>
        <v>#REF!</v>
      </c>
      <c r="AL13" t="e">
        <f ca="1">MIN((AN13/H13)*(AK13),(1+'F5 Foreign GDP'!$H$2/100)*AK13)</f>
        <v>#REF!</v>
      </c>
      <c r="AN13" s="190">
        <v>21531.599609375</v>
      </c>
      <c r="AO13" s="190">
        <v>148.70536804199219</v>
      </c>
      <c r="AP13" s="190">
        <v>132.74449157714844</v>
      </c>
      <c r="AQ13" s="190">
        <v>5.0051589012145996</v>
      </c>
      <c r="AR13" s="91"/>
      <c r="AS13" s="93" t="e">
        <f t="shared" ca="1" si="8"/>
        <v>#REF!</v>
      </c>
      <c r="AT13" t="e">
        <f t="shared" ca="1" si="3"/>
        <v>#REF!</v>
      </c>
      <c r="AU13" s="94"/>
      <c r="AV13" s="94" t="e">
        <f t="shared" ca="1" si="16"/>
        <v>#REF!</v>
      </c>
      <c r="AW13" t="e">
        <f t="shared" ca="1" si="15"/>
        <v>#REF!</v>
      </c>
      <c r="BB13">
        <v>1</v>
      </c>
      <c r="BC13">
        <v>1</v>
      </c>
      <c r="BD13">
        <v>1</v>
      </c>
      <c r="BE13" t="e">
        <v>#REF!</v>
      </c>
      <c r="BF13" t="e">
        <v>#REF!</v>
      </c>
      <c r="BG13" t="e">
        <v>#REF!</v>
      </c>
      <c r="BH13" t="e">
        <v>#REF!</v>
      </c>
      <c r="BI13" t="e">
        <v>#REF!</v>
      </c>
      <c r="BJ13" t="e">
        <v>#REF!</v>
      </c>
      <c r="BK13" t="e">
        <v>#REF!</v>
      </c>
      <c r="BL13" t="e">
        <v>#REF!</v>
      </c>
      <c r="BM13" t="e">
        <v>#REF!</v>
      </c>
      <c r="BN13" t="e">
        <v>#REF!</v>
      </c>
      <c r="BO13" t="e">
        <v>#REF!</v>
      </c>
      <c r="BP13" t="e">
        <v>#REF!</v>
      </c>
      <c r="BQ13" t="e">
        <v>#REF!</v>
      </c>
      <c r="BR13" t="e">
        <v>#REF!</v>
      </c>
      <c r="BS13" t="e">
        <v>#REF!</v>
      </c>
      <c r="BT13" t="e">
        <v>#REF!</v>
      </c>
      <c r="BU13" t="e">
        <v>#REF!</v>
      </c>
      <c r="BV13" t="e">
        <v>#REF!</v>
      </c>
      <c r="BW13" t="e">
        <v>#REF!</v>
      </c>
      <c r="BX13" t="e">
        <v>#REF!</v>
      </c>
      <c r="BY13" t="e">
        <v>#REF!</v>
      </c>
      <c r="BZ13" t="e">
        <v>#REF!</v>
      </c>
      <c r="CA13" t="e">
        <v>#REF!</v>
      </c>
      <c r="CB13" t="e">
        <v>#REF!</v>
      </c>
      <c r="CC13" t="e">
        <v>#REF!</v>
      </c>
      <c r="CD13" t="e">
        <v>#REF!</v>
      </c>
      <c r="CE13" t="e">
        <v>#REF!</v>
      </c>
      <c r="CF13" t="e">
        <v>#REF!</v>
      </c>
      <c r="CG13" t="e">
        <v>#REF!</v>
      </c>
      <c r="CH13" t="e">
        <v>#REF!</v>
      </c>
      <c r="CI13" t="e">
        <v>#REF!</v>
      </c>
      <c r="CJ13" t="e">
        <v>#REF!</v>
      </c>
      <c r="CK13" t="e">
        <v>#REF!</v>
      </c>
      <c r="CL13" t="e">
        <v>#REF!</v>
      </c>
      <c r="CM13" t="e">
        <v>#REF!</v>
      </c>
      <c r="CN13" t="e">
        <v>#REF!</v>
      </c>
      <c r="CO13" t="e">
        <v>#REF!</v>
      </c>
      <c r="CP13" t="e">
        <v>#REF!</v>
      </c>
      <c r="CQ13" t="e">
        <v>#REF!</v>
      </c>
      <c r="CR13" t="e">
        <v>#REF!</v>
      </c>
      <c r="CS13" t="e">
        <v>#REF!</v>
      </c>
      <c r="CT13" t="e">
        <v>#REF!</v>
      </c>
      <c r="CU13" t="e">
        <v>#REF!</v>
      </c>
    </row>
    <row r="14" spans="1:99">
      <c r="A14" s="156">
        <v>46569</v>
      </c>
      <c r="B14" s="157" t="e">
        <f t="shared" ca="1" si="1"/>
        <v>#REF!</v>
      </c>
      <c r="C14">
        <v>-0.48350793540895554</v>
      </c>
      <c r="D14" t="e">
        <f>D13+(D15-D11)/4</f>
        <v>#REF!</v>
      </c>
      <c r="E14" s="94">
        <f t="shared" si="0"/>
        <v>1.3025445490062015</v>
      </c>
      <c r="F14" t="e">
        <f t="shared" ca="1" si="9"/>
        <v>#REF!</v>
      </c>
      <c r="G14" s="90">
        <v>46478</v>
      </c>
      <c r="H14" s="131">
        <v>21738.458984375</v>
      </c>
      <c r="I14" s="131">
        <v>147.4886474609375</v>
      </c>
      <c r="J14" s="132">
        <v>133.6253662109375</v>
      </c>
      <c r="K14" s="132">
        <v>4.5879778861999512</v>
      </c>
      <c r="L14" s="133">
        <v>2.6235096454620361</v>
      </c>
      <c r="M14" s="134">
        <v>16.808481216430664</v>
      </c>
      <c r="N14" s="133">
        <v>2.6965641975402832</v>
      </c>
      <c r="O14" s="135">
        <v>0.26219534873962402</v>
      </c>
      <c r="P14" s="136">
        <v>3.0999999046325684</v>
      </c>
      <c r="Q14" s="92"/>
      <c r="R14" s="92"/>
      <c r="S14" s="109">
        <v>3385.804931640625</v>
      </c>
      <c r="T14" s="109">
        <v>34772.875</v>
      </c>
      <c r="U14" s="109">
        <v>32784.89453125</v>
      </c>
      <c r="V14" s="109">
        <v>1217.837646484375</v>
      </c>
      <c r="W14" s="111">
        <f t="shared" si="10"/>
        <v>8.8207293242395911E-3</v>
      </c>
      <c r="X14" s="109"/>
      <c r="Y14" s="92"/>
      <c r="Z14" s="92" t="e">
        <f t="shared" si="4"/>
        <v>#REF!</v>
      </c>
      <c r="AA14" s="92"/>
      <c r="AB14" s="98" t="e">
        <f t="shared" si="11"/>
        <v>#REF!</v>
      </c>
      <c r="AC14" t="e">
        <f t="shared" si="14"/>
        <v>#REF!</v>
      </c>
      <c r="AE14" t="e">
        <f t="shared" si="12"/>
        <v>#REF!</v>
      </c>
      <c r="AF14" t="e">
        <f>-SUM($AE$3:AE14)*W14</f>
        <v>#REF!</v>
      </c>
      <c r="AG14" s="112" t="e">
        <f t="shared" si="13"/>
        <v>#REF!</v>
      </c>
      <c r="AH14" t="e">
        <f t="shared" si="6"/>
        <v>#REF!</v>
      </c>
      <c r="AJ14">
        <v>12</v>
      </c>
      <c r="AK14" t="e">
        <f ca="1">PRODUCT(BB14:OFFSET(BA14,0,AJ14))</f>
        <v>#REF!</v>
      </c>
      <c r="AL14" t="e">
        <f ca="1">MIN((AN14/H14)*(AK14),(1+'F5 Foreign GDP'!$H$2/100)*AK14)</f>
        <v>#REF!</v>
      </c>
      <c r="AN14" s="190">
        <v>21629.310546875</v>
      </c>
      <c r="AO14" s="190">
        <v>149.41844177246094</v>
      </c>
      <c r="AP14" s="190">
        <v>132.81266784667969</v>
      </c>
      <c r="AQ14" s="190">
        <v>4.9915318489074707</v>
      </c>
      <c r="AR14" s="91"/>
      <c r="AS14" s="93" t="e">
        <f t="shared" ca="1" si="8"/>
        <v>#REF!</v>
      </c>
      <c r="AT14" t="e">
        <f t="shared" ca="1" si="3"/>
        <v>#REF!</v>
      </c>
      <c r="AU14" s="94"/>
      <c r="AV14" s="94" t="e">
        <f t="shared" ca="1" si="16"/>
        <v>#REF!</v>
      </c>
      <c r="AW14" t="e">
        <f t="shared" ca="1" si="15"/>
        <v>#REF!</v>
      </c>
      <c r="BB14">
        <v>1</v>
      </c>
      <c r="BC14">
        <v>1</v>
      </c>
      <c r="BD14">
        <v>1</v>
      </c>
      <c r="BE14" t="e">
        <v>#REF!</v>
      </c>
      <c r="BF14" t="e">
        <v>#REF!</v>
      </c>
      <c r="BG14" t="e">
        <v>#REF!</v>
      </c>
      <c r="BH14" t="e">
        <v>#REF!</v>
      </c>
      <c r="BI14" t="e">
        <v>#REF!</v>
      </c>
      <c r="BJ14" t="e">
        <v>#REF!</v>
      </c>
      <c r="BK14" t="e">
        <v>#REF!</v>
      </c>
      <c r="BL14" t="e">
        <v>#REF!</v>
      </c>
      <c r="BM14" t="e">
        <v>#REF!</v>
      </c>
      <c r="BN14" t="e">
        <v>#REF!</v>
      </c>
      <c r="BO14" t="e">
        <v>#REF!</v>
      </c>
      <c r="BP14" t="e">
        <v>#REF!</v>
      </c>
      <c r="BQ14" t="e">
        <v>#REF!</v>
      </c>
      <c r="BR14" t="e">
        <v>#REF!</v>
      </c>
      <c r="BS14" t="e">
        <v>#REF!</v>
      </c>
      <c r="BT14" t="e">
        <v>#REF!</v>
      </c>
      <c r="BU14" t="e">
        <v>#REF!</v>
      </c>
      <c r="BV14" t="e">
        <v>#REF!</v>
      </c>
      <c r="BW14" t="e">
        <v>#REF!</v>
      </c>
      <c r="BX14" t="e">
        <v>#REF!</v>
      </c>
      <c r="BY14" t="e">
        <v>#REF!</v>
      </c>
      <c r="BZ14" t="e">
        <v>#REF!</v>
      </c>
      <c r="CA14" t="e">
        <v>#REF!</v>
      </c>
      <c r="CB14" t="e">
        <v>#REF!</v>
      </c>
      <c r="CC14" t="e">
        <v>#REF!</v>
      </c>
      <c r="CD14" t="e">
        <v>#REF!</v>
      </c>
      <c r="CE14" t="e">
        <v>#REF!</v>
      </c>
      <c r="CF14" t="e">
        <v>#REF!</v>
      </c>
      <c r="CG14" t="e">
        <v>#REF!</v>
      </c>
      <c r="CH14" t="e">
        <v>#REF!</v>
      </c>
      <c r="CI14" t="e">
        <v>#REF!</v>
      </c>
      <c r="CJ14" t="e">
        <v>#REF!</v>
      </c>
      <c r="CK14" t="e">
        <v>#REF!</v>
      </c>
      <c r="CL14" t="e">
        <v>#REF!</v>
      </c>
      <c r="CM14" t="e">
        <v>#REF!</v>
      </c>
      <c r="CN14" t="e">
        <v>#REF!</v>
      </c>
      <c r="CO14" t="e">
        <v>#REF!</v>
      </c>
      <c r="CP14" t="e">
        <v>#REF!</v>
      </c>
      <c r="CQ14" t="e">
        <v>#REF!</v>
      </c>
      <c r="CR14" t="e">
        <v>#REF!</v>
      </c>
      <c r="CS14" t="e">
        <v>#REF!</v>
      </c>
      <c r="CT14" t="e">
        <v>#REF!</v>
      </c>
      <c r="CU14" t="e">
        <v>#REF!</v>
      </c>
    </row>
    <row r="15" spans="1:99">
      <c r="A15" s="156">
        <v>46661</v>
      </c>
      <c r="B15" s="157" t="e">
        <f t="shared" ca="1" si="1"/>
        <v>#REF!</v>
      </c>
      <c r="C15">
        <v>-0.45940698442152872</v>
      </c>
      <c r="D15" t="e">
        <f>#REF!/#REF!</f>
        <v>#REF!</v>
      </c>
      <c r="E15" s="94">
        <f t="shared" si="0"/>
        <v>1.2967449409218457</v>
      </c>
      <c r="F15" t="e">
        <f t="shared" ca="1" si="9"/>
        <v>#REF!</v>
      </c>
      <c r="G15" s="90">
        <v>46569</v>
      </c>
      <c r="H15" s="131">
        <v>21834.24609375</v>
      </c>
      <c r="I15" s="131">
        <v>148.07606506347656</v>
      </c>
      <c r="J15" s="132">
        <v>133.63992309570313</v>
      </c>
      <c r="K15" s="132">
        <v>4.603065013885498</v>
      </c>
      <c r="L15" s="133">
        <v>2.6235966682434082</v>
      </c>
      <c r="M15" s="134">
        <v>16.771600723266602</v>
      </c>
      <c r="N15" s="133">
        <v>2.6967277526855469</v>
      </c>
      <c r="O15" s="135">
        <v>0.26118874549865723</v>
      </c>
      <c r="P15" s="136">
        <v>3.0999999046325684</v>
      </c>
      <c r="Q15" s="92"/>
      <c r="R15" s="92"/>
      <c r="S15" s="109">
        <v>3416.66796875</v>
      </c>
      <c r="T15" s="109">
        <v>35293.03125</v>
      </c>
      <c r="U15" s="109">
        <v>33075.98828125</v>
      </c>
      <c r="V15" s="109">
        <v>1226.8082275390625</v>
      </c>
      <c r="W15" s="111">
        <f t="shared" si="10"/>
        <v>8.7546732298139831E-3</v>
      </c>
      <c r="X15" s="109"/>
      <c r="Y15" s="92"/>
      <c r="Z15" s="92" t="e">
        <f t="shared" si="4"/>
        <v>#REF!</v>
      </c>
      <c r="AA15" s="92"/>
      <c r="AB15" s="98" t="e">
        <f t="shared" si="11"/>
        <v>#REF!</v>
      </c>
      <c r="AC15" t="e">
        <f t="shared" si="14"/>
        <v>#REF!</v>
      </c>
      <c r="AE15" t="e">
        <f t="shared" si="12"/>
        <v>#REF!</v>
      </c>
      <c r="AF15" t="e">
        <f>-SUM($AE$3:AE15)*W15</f>
        <v>#REF!</v>
      </c>
      <c r="AG15" s="112" t="e">
        <f t="shared" si="13"/>
        <v>#REF!</v>
      </c>
      <c r="AH15" t="e">
        <f t="shared" si="6"/>
        <v>#REF!</v>
      </c>
      <c r="AJ15">
        <v>13</v>
      </c>
      <c r="AK15" t="e">
        <f ca="1">PRODUCT(BB15:OFFSET(BA15,0,AJ15))</f>
        <v>#REF!</v>
      </c>
      <c r="AL15" t="e">
        <f ca="1">MIN((AN15/H15)*(AK15),(1+'F5 Foreign GDP'!$H$2/100)*AK15)</f>
        <v>#REF!</v>
      </c>
      <c r="AN15" s="190">
        <v>21728.333984375</v>
      </c>
      <c r="AO15" s="190">
        <v>150.00482177734375</v>
      </c>
      <c r="AP15" s="190">
        <v>132.90780639648438</v>
      </c>
      <c r="AQ15" s="190">
        <v>4.9655718803405762</v>
      </c>
      <c r="AR15" s="91"/>
      <c r="AS15" s="93" t="e">
        <f t="shared" ca="1" si="8"/>
        <v>#REF!</v>
      </c>
      <c r="AT15" t="e">
        <f t="shared" ca="1" si="3"/>
        <v>#REF!</v>
      </c>
      <c r="AU15" s="94"/>
      <c r="AV15" s="94" t="e">
        <f t="shared" ca="1" si="16"/>
        <v>#REF!</v>
      </c>
      <c r="AW15" t="e">
        <f t="shared" ca="1" si="15"/>
        <v>#REF!</v>
      </c>
      <c r="AY15" t="e">
        <f ca="1">AVERAGE(B11:B14)-AY11-AY7</f>
        <v>#REF!</v>
      </c>
      <c r="AZ15">
        <f>AVERAGE(C11:C14)-AZ11-AZ7</f>
        <v>0.16014830638182709</v>
      </c>
      <c r="BB15">
        <v>1</v>
      </c>
      <c r="BC15">
        <v>1</v>
      </c>
      <c r="BD15">
        <v>1</v>
      </c>
      <c r="BE15" t="e">
        <v>#REF!</v>
      </c>
      <c r="BF15" t="e">
        <v>#REF!</v>
      </c>
      <c r="BG15" t="e">
        <v>#REF!</v>
      </c>
      <c r="BH15" t="e">
        <v>#REF!</v>
      </c>
      <c r="BI15" t="e">
        <v>#REF!</v>
      </c>
      <c r="BJ15" t="e">
        <v>#REF!</v>
      </c>
      <c r="BK15" t="e">
        <v>#REF!</v>
      </c>
      <c r="BL15" t="e">
        <v>#REF!</v>
      </c>
      <c r="BM15" t="e">
        <v>#REF!</v>
      </c>
      <c r="BN15" t="e">
        <v>#REF!</v>
      </c>
      <c r="BO15" t="e">
        <v>#REF!</v>
      </c>
      <c r="BP15" t="e">
        <v>#REF!</v>
      </c>
      <c r="BQ15" t="e">
        <v>#REF!</v>
      </c>
      <c r="BR15" t="e">
        <v>#REF!</v>
      </c>
      <c r="BS15" t="e">
        <v>#REF!</v>
      </c>
      <c r="BT15" t="e">
        <v>#REF!</v>
      </c>
      <c r="BU15" t="e">
        <v>#REF!</v>
      </c>
      <c r="BV15" t="e">
        <v>#REF!</v>
      </c>
      <c r="BW15" t="e">
        <v>#REF!</v>
      </c>
      <c r="BX15" t="e">
        <v>#REF!</v>
      </c>
      <c r="BY15" t="e">
        <v>#REF!</v>
      </c>
      <c r="BZ15" t="e">
        <v>#REF!</v>
      </c>
      <c r="CA15" t="e">
        <v>#REF!</v>
      </c>
      <c r="CB15" t="e">
        <v>#REF!</v>
      </c>
      <c r="CC15" t="e">
        <v>#REF!</v>
      </c>
      <c r="CD15" t="e">
        <v>#REF!</v>
      </c>
      <c r="CE15" t="e">
        <v>#REF!</v>
      </c>
      <c r="CF15" t="e">
        <v>#REF!</v>
      </c>
      <c r="CG15" t="e">
        <v>#REF!</v>
      </c>
      <c r="CH15" t="e">
        <v>#REF!</v>
      </c>
      <c r="CI15" t="e">
        <v>#REF!</v>
      </c>
      <c r="CJ15" t="e">
        <v>#REF!</v>
      </c>
      <c r="CK15" t="e">
        <v>#REF!</v>
      </c>
      <c r="CL15" t="e">
        <v>#REF!</v>
      </c>
      <c r="CM15" t="e">
        <v>#REF!</v>
      </c>
      <c r="CN15" t="e">
        <v>#REF!</v>
      </c>
      <c r="CO15" t="e">
        <v>#REF!</v>
      </c>
      <c r="CP15" t="e">
        <v>#REF!</v>
      </c>
      <c r="CQ15" t="e">
        <v>#REF!</v>
      </c>
      <c r="CR15" t="e">
        <v>#REF!</v>
      </c>
      <c r="CS15" t="e">
        <v>#REF!</v>
      </c>
      <c r="CT15" t="e">
        <v>#REF!</v>
      </c>
      <c r="CU15" t="e">
        <v>#REF!</v>
      </c>
    </row>
    <row r="16" spans="1:99">
      <c r="A16" s="156">
        <v>46753</v>
      </c>
      <c r="B16" s="157" t="e">
        <f t="shared" ca="1" si="1"/>
        <v>#REF!</v>
      </c>
      <c r="C16">
        <v>-0.42573054462645699</v>
      </c>
      <c r="D16" t="e">
        <f>D15+(D19-D15)/4</f>
        <v>#REF!</v>
      </c>
      <c r="E16" s="94">
        <f t="shared" si="0"/>
        <v>1.2932865096352719</v>
      </c>
      <c r="F16" t="e">
        <f t="shared" ca="1" si="9"/>
        <v>#REF!</v>
      </c>
      <c r="G16" s="90">
        <v>46661</v>
      </c>
      <c r="H16" s="137">
        <v>21934.697265625</v>
      </c>
      <c r="I16" s="137">
        <v>148.81010437011719</v>
      </c>
      <c r="J16" s="138">
        <v>133.69308471679688</v>
      </c>
      <c r="K16" s="138">
        <v>4.5994348526000977</v>
      </c>
      <c r="L16" s="139">
        <v>2.6231029033660889</v>
      </c>
      <c r="M16" s="140">
        <v>16.661710739135742</v>
      </c>
      <c r="N16" s="139">
        <v>2.6967554092407227</v>
      </c>
      <c r="O16" s="141">
        <v>0.26022195816040039</v>
      </c>
      <c r="P16" s="142">
        <v>3.0999999046325684</v>
      </c>
      <c r="Q16" s="92"/>
      <c r="R16" s="92"/>
      <c r="S16" s="110">
        <v>3450.80810546875</v>
      </c>
      <c r="T16" s="110">
        <v>35816.796875</v>
      </c>
      <c r="U16" s="110">
        <v>33416.3203125</v>
      </c>
      <c r="V16" s="110">
        <v>1236.2025146484375</v>
      </c>
      <c r="W16" s="111">
        <f t="shared" si="10"/>
        <v>8.6922057558301655E-3</v>
      </c>
      <c r="X16" s="109"/>
      <c r="Y16" s="92"/>
      <c r="Z16" s="92" t="e">
        <f t="shared" si="4"/>
        <v>#REF!</v>
      </c>
      <c r="AA16" s="92"/>
      <c r="AB16" s="98" t="e">
        <f t="shared" si="11"/>
        <v>#REF!</v>
      </c>
      <c r="AC16" t="e">
        <f t="shared" si="14"/>
        <v>#REF!</v>
      </c>
      <c r="AE16" t="e">
        <f t="shared" si="12"/>
        <v>#REF!</v>
      </c>
      <c r="AF16" t="e">
        <f>-SUM($AE$3:AE16)*W16</f>
        <v>#REF!</v>
      </c>
      <c r="AG16" s="112" t="e">
        <f t="shared" si="13"/>
        <v>#REF!</v>
      </c>
      <c r="AH16" t="e">
        <f t="shared" si="6"/>
        <v>#REF!</v>
      </c>
      <c r="AJ16">
        <v>14</v>
      </c>
      <c r="AK16" t="e">
        <f ca="1">PRODUCT(BB16:OFFSET(BA16,0,AJ16))</f>
        <v>#REF!</v>
      </c>
      <c r="AL16" t="e">
        <f ca="1">MIN((AN16/H16)*(AK16),(1+'F5 Foreign GDP'!$H$2/100)*AK16)</f>
        <v>#REF!</v>
      </c>
      <c r="AN16" s="191">
        <v>21833.451171875</v>
      </c>
      <c r="AO16" s="191">
        <v>150.73979187011719</v>
      </c>
      <c r="AP16" s="191">
        <v>133.03736877441406</v>
      </c>
      <c r="AQ16" s="191">
        <v>4.922337532043457</v>
      </c>
      <c r="AR16" s="91"/>
      <c r="AS16" s="93" t="e">
        <f t="shared" ca="1" si="8"/>
        <v>#REF!</v>
      </c>
      <c r="AT16" t="e">
        <f t="shared" ca="1" si="3"/>
        <v>#REF!</v>
      </c>
      <c r="AU16" s="94"/>
      <c r="AV16" s="94" t="e">
        <f t="shared" ca="1" si="16"/>
        <v>#REF!</v>
      </c>
      <c r="AW16" t="e">
        <f t="shared" ca="1" si="15"/>
        <v>#REF!</v>
      </c>
      <c r="BB16">
        <v>1</v>
      </c>
      <c r="BC16">
        <v>1</v>
      </c>
      <c r="BD16">
        <v>1</v>
      </c>
      <c r="BE16" t="e">
        <v>#REF!</v>
      </c>
      <c r="BF16" t="e">
        <v>#REF!</v>
      </c>
      <c r="BG16" t="e">
        <v>#REF!</v>
      </c>
      <c r="BH16" t="e">
        <v>#REF!</v>
      </c>
      <c r="BI16" t="e">
        <v>#REF!</v>
      </c>
      <c r="BJ16" t="e">
        <v>#REF!</v>
      </c>
      <c r="BK16" t="e">
        <v>#REF!</v>
      </c>
      <c r="BL16" t="e">
        <v>#REF!</v>
      </c>
      <c r="BM16" t="e">
        <v>#REF!</v>
      </c>
      <c r="BN16" t="e">
        <v>#REF!</v>
      </c>
      <c r="BO16" t="e">
        <v>#REF!</v>
      </c>
      <c r="BP16" t="e">
        <v>#REF!</v>
      </c>
      <c r="BQ16" t="e">
        <v>#REF!</v>
      </c>
      <c r="BR16" t="e">
        <v>#REF!</v>
      </c>
      <c r="BS16" t="e">
        <v>#REF!</v>
      </c>
      <c r="BT16" t="e">
        <v>#REF!</v>
      </c>
      <c r="BU16" t="e">
        <v>#REF!</v>
      </c>
      <c r="BV16" t="e">
        <v>#REF!</v>
      </c>
      <c r="BW16" t="e">
        <v>#REF!</v>
      </c>
      <c r="BX16" t="e">
        <v>#REF!</v>
      </c>
      <c r="BY16" t="e">
        <v>#REF!</v>
      </c>
      <c r="BZ16" t="e">
        <v>#REF!</v>
      </c>
      <c r="CA16" t="e">
        <v>#REF!</v>
      </c>
      <c r="CB16" t="e">
        <v>#REF!</v>
      </c>
      <c r="CC16" t="e">
        <v>#REF!</v>
      </c>
      <c r="CD16" t="e">
        <v>#REF!</v>
      </c>
      <c r="CE16" t="e">
        <v>#REF!</v>
      </c>
      <c r="CF16" t="e">
        <v>#REF!</v>
      </c>
      <c r="CG16" t="e">
        <v>#REF!</v>
      </c>
      <c r="CH16" t="e">
        <v>#REF!</v>
      </c>
      <c r="CI16" t="e">
        <v>#REF!</v>
      </c>
      <c r="CJ16" t="e">
        <v>#REF!</v>
      </c>
      <c r="CK16" t="e">
        <v>#REF!</v>
      </c>
      <c r="CL16" t="e">
        <v>#REF!</v>
      </c>
      <c r="CM16" t="e">
        <v>#REF!</v>
      </c>
      <c r="CN16" t="e">
        <v>#REF!</v>
      </c>
      <c r="CO16" t="e">
        <v>#REF!</v>
      </c>
      <c r="CP16" t="e">
        <v>#REF!</v>
      </c>
      <c r="CQ16" t="e">
        <v>#REF!</v>
      </c>
      <c r="CR16" t="e">
        <v>#REF!</v>
      </c>
      <c r="CS16" t="e">
        <v>#REF!</v>
      </c>
      <c r="CT16" t="e">
        <v>#REF!</v>
      </c>
      <c r="CU16" t="e">
        <v>#REF!</v>
      </c>
    </row>
    <row r="17" spans="1:99">
      <c r="A17" s="156">
        <v>46844</v>
      </c>
      <c r="B17" s="157" t="e">
        <f t="shared" ca="1" si="1"/>
        <v>#REF!</v>
      </c>
      <c r="C17">
        <v>-0.38590082449430074</v>
      </c>
      <c r="D17" t="e">
        <f>D16+(D19-D15)/4</f>
        <v>#REF!</v>
      </c>
      <c r="E17" s="94">
        <f t="shared" si="0"/>
        <v>1.2911399702377979</v>
      </c>
      <c r="F17" t="e">
        <f t="shared" ca="1" si="9"/>
        <v>#REF!</v>
      </c>
      <c r="G17" s="90">
        <v>46753</v>
      </c>
      <c r="H17" s="131">
        <v>22034.275390625</v>
      </c>
      <c r="I17" s="131">
        <v>149.56907653808594</v>
      </c>
      <c r="J17" s="132">
        <v>133.77880859375</v>
      </c>
      <c r="K17" s="132">
        <v>4.5820708274841309</v>
      </c>
      <c r="L17" s="133">
        <v>2.6229507923126221</v>
      </c>
      <c r="M17" s="134">
        <v>16.593629837036133</v>
      </c>
      <c r="N17" s="133">
        <v>2.6968929767608643</v>
      </c>
      <c r="O17" s="135">
        <v>0.26016402244567871</v>
      </c>
      <c r="P17" s="136">
        <v>3.0999999046325684</v>
      </c>
      <c r="Q17" s="92"/>
      <c r="R17" s="92"/>
      <c r="S17" s="109">
        <v>3488.665771484375</v>
      </c>
      <c r="T17" s="109">
        <v>36350.9609375</v>
      </c>
      <c r="U17" s="109">
        <v>33764.71875</v>
      </c>
      <c r="V17" s="109">
        <v>1246.122802734375</v>
      </c>
      <c r="W17" s="111">
        <f t="shared" si="10"/>
        <v>8.6335147474855944E-3</v>
      </c>
      <c r="X17" s="109"/>
      <c r="Y17" s="92"/>
      <c r="Z17" s="92" t="e">
        <f t="shared" si="4"/>
        <v>#REF!</v>
      </c>
      <c r="AA17" s="92"/>
      <c r="AB17" s="98" t="e">
        <f t="shared" si="11"/>
        <v>#REF!</v>
      </c>
      <c r="AC17" t="e">
        <f t="shared" si="14"/>
        <v>#REF!</v>
      </c>
      <c r="AE17" t="e">
        <f t="shared" si="12"/>
        <v>#REF!</v>
      </c>
      <c r="AF17" t="e">
        <f>-SUM($AE$3:AE17)*W17</f>
        <v>#REF!</v>
      </c>
      <c r="AG17" s="112" t="e">
        <f t="shared" si="13"/>
        <v>#REF!</v>
      </c>
      <c r="AH17" t="e">
        <f t="shared" si="6"/>
        <v>#REF!</v>
      </c>
      <c r="AJ17">
        <v>15</v>
      </c>
      <c r="AK17" t="e">
        <f ca="1">PRODUCT(BB17:OFFSET(BA17,0,AJ17))</f>
        <v>#REF!</v>
      </c>
      <c r="AL17" t="e">
        <f ca="1">MIN((AN17/H17)*(AK17),(1+'F5 Foreign GDP'!$H$2/100)*AK17)</f>
        <v>#REF!</v>
      </c>
      <c r="AN17" s="190">
        <v>21939.853515625</v>
      </c>
      <c r="AO17" s="190">
        <v>151.50343322753906</v>
      </c>
      <c r="AP17" s="190">
        <v>133.20022583007813</v>
      </c>
      <c r="AQ17" s="190">
        <v>4.8656148910522461</v>
      </c>
      <c r="AR17" s="91"/>
      <c r="AS17" s="93" t="e">
        <f t="shared" ca="1" si="8"/>
        <v>#REF!</v>
      </c>
      <c r="AT17" t="e">
        <f t="shared" ca="1" si="3"/>
        <v>#REF!</v>
      </c>
      <c r="AU17" s="94"/>
      <c r="AV17" s="94" t="e">
        <f t="shared" ca="1" si="16"/>
        <v>#REF!</v>
      </c>
      <c r="AW17" t="e">
        <f t="shared" ca="1" si="15"/>
        <v>#REF!</v>
      </c>
      <c r="BB17">
        <v>1</v>
      </c>
      <c r="BC17">
        <v>1</v>
      </c>
      <c r="BD17">
        <v>1</v>
      </c>
      <c r="BE17" t="e">
        <v>#REF!</v>
      </c>
      <c r="BF17" t="e">
        <v>#REF!</v>
      </c>
      <c r="BG17" t="e">
        <v>#REF!</v>
      </c>
      <c r="BH17" t="e">
        <v>#REF!</v>
      </c>
      <c r="BI17" t="e">
        <v>#REF!</v>
      </c>
      <c r="BJ17" t="e">
        <v>#REF!</v>
      </c>
      <c r="BK17" t="e">
        <v>#REF!</v>
      </c>
      <c r="BL17" t="e">
        <v>#REF!</v>
      </c>
      <c r="BM17" t="e">
        <v>#REF!</v>
      </c>
      <c r="BN17" t="e">
        <v>#REF!</v>
      </c>
      <c r="BO17" t="e">
        <v>#REF!</v>
      </c>
      <c r="BP17" t="e">
        <v>#REF!</v>
      </c>
      <c r="BQ17" t="e">
        <v>#REF!</v>
      </c>
      <c r="BR17" t="e">
        <v>#REF!</v>
      </c>
      <c r="BS17" t="e">
        <v>#REF!</v>
      </c>
      <c r="BT17" t="e">
        <v>#REF!</v>
      </c>
      <c r="BU17" t="e">
        <v>#REF!</v>
      </c>
      <c r="BV17" t="e">
        <v>#REF!</v>
      </c>
      <c r="BW17" t="e">
        <v>#REF!</v>
      </c>
      <c r="BX17" t="e">
        <v>#REF!</v>
      </c>
      <c r="BY17" t="e">
        <v>#REF!</v>
      </c>
      <c r="BZ17" t="e">
        <v>#REF!</v>
      </c>
      <c r="CA17" t="e">
        <v>#REF!</v>
      </c>
      <c r="CB17" t="e">
        <v>#REF!</v>
      </c>
      <c r="CC17" t="e">
        <v>#REF!</v>
      </c>
      <c r="CD17" t="e">
        <v>#REF!</v>
      </c>
      <c r="CE17" t="e">
        <v>#REF!</v>
      </c>
      <c r="CF17" t="e">
        <v>#REF!</v>
      </c>
      <c r="CG17" t="e">
        <v>#REF!</v>
      </c>
      <c r="CH17" t="e">
        <v>#REF!</v>
      </c>
      <c r="CI17" t="e">
        <v>#REF!</v>
      </c>
      <c r="CJ17" t="e">
        <v>#REF!</v>
      </c>
      <c r="CK17" t="e">
        <v>#REF!</v>
      </c>
      <c r="CL17" t="e">
        <v>#REF!</v>
      </c>
      <c r="CM17" t="e">
        <v>#REF!</v>
      </c>
      <c r="CN17" t="e">
        <v>#REF!</v>
      </c>
      <c r="CO17" t="e">
        <v>#REF!</v>
      </c>
      <c r="CP17" t="e">
        <v>#REF!</v>
      </c>
      <c r="CQ17" t="e">
        <v>#REF!</v>
      </c>
      <c r="CR17" t="e">
        <v>#REF!</v>
      </c>
      <c r="CS17" t="e">
        <v>#REF!</v>
      </c>
      <c r="CT17" t="e">
        <v>#REF!</v>
      </c>
      <c r="CU17" t="e">
        <v>#REF!</v>
      </c>
    </row>
    <row r="18" spans="1:99">
      <c r="A18" s="156">
        <v>46935</v>
      </c>
      <c r="B18" s="157" t="e">
        <f t="shared" ca="1" si="1"/>
        <v>#REF!</v>
      </c>
      <c r="C18">
        <v>-0.35051219750288354</v>
      </c>
      <c r="D18" t="e">
        <f>D17+(D19-D15)/4</f>
        <v>#REF!</v>
      </c>
      <c r="E18" s="94">
        <f t="shared" si="0"/>
        <v>1.2897609582587011</v>
      </c>
      <c r="F18" t="e">
        <f t="shared" ca="1" si="9"/>
        <v>#REF!</v>
      </c>
      <c r="G18" s="90">
        <v>46844</v>
      </c>
      <c r="H18" s="131">
        <v>22128.62109375</v>
      </c>
      <c r="I18" s="131">
        <v>150.34127807617188</v>
      </c>
      <c r="J18" s="132">
        <v>133.88124084472656</v>
      </c>
      <c r="K18" s="132">
        <v>4.5625748634338379</v>
      </c>
      <c r="L18" s="133">
        <v>2.6232731342315674</v>
      </c>
      <c r="M18" s="134">
        <v>16.498779296875</v>
      </c>
      <c r="N18" s="133">
        <v>2.6965582370758057</v>
      </c>
      <c r="O18" s="135">
        <v>0.26023602485656738</v>
      </c>
      <c r="P18" s="136">
        <v>3.0999999046325684</v>
      </c>
      <c r="Q18" s="92"/>
      <c r="R18" s="92"/>
      <c r="S18" s="109">
        <v>3524.5029296875</v>
      </c>
      <c r="T18" s="109">
        <v>36871.93359375</v>
      </c>
      <c r="U18" s="109">
        <v>34093.8046875</v>
      </c>
      <c r="V18" s="109">
        <v>1256.2681884765625</v>
      </c>
      <c r="W18" s="111">
        <f t="shared" si="10"/>
        <v>8.5783838273452411E-3</v>
      </c>
      <c r="X18" s="109"/>
      <c r="Y18" s="92"/>
      <c r="Z18" s="92" t="e">
        <f t="shared" si="4"/>
        <v>#REF!</v>
      </c>
      <c r="AA18" s="92"/>
      <c r="AB18" s="98" t="e">
        <f t="shared" si="11"/>
        <v>#REF!</v>
      </c>
      <c r="AC18" t="e">
        <f>#REF!*100</f>
        <v>#REF!</v>
      </c>
      <c r="AE18" t="e">
        <f t="shared" si="12"/>
        <v>#REF!</v>
      </c>
      <c r="AF18" t="e">
        <f>-SUM($AE$3:AE18)*W18</f>
        <v>#REF!</v>
      </c>
      <c r="AG18" s="112" t="e">
        <f t="shared" si="13"/>
        <v>#REF!</v>
      </c>
      <c r="AH18" t="e">
        <f t="shared" si="6"/>
        <v>#REF!</v>
      </c>
      <c r="AJ18">
        <v>16</v>
      </c>
      <c r="AK18" t="e">
        <f ca="1">PRODUCT(BB18:OFFSET(BA18,0,AJ18))</f>
        <v>#REF!</v>
      </c>
      <c r="AL18" t="e">
        <f ca="1">MIN((AN18/H18)*(AK18),(1+'F5 Foreign GDP'!$H$2/100)*AK18)</f>
        <v>#REF!</v>
      </c>
      <c r="AN18" s="190">
        <v>22042.462890625</v>
      </c>
      <c r="AO18" s="190">
        <v>152.28239440917969</v>
      </c>
      <c r="AP18" s="190">
        <v>133.38319396972656</v>
      </c>
      <c r="AQ18" s="190">
        <v>4.8066749572753906</v>
      </c>
      <c r="AR18" s="91"/>
      <c r="AS18" s="93" t="e">
        <f t="shared" ca="1" si="8"/>
        <v>#REF!</v>
      </c>
      <c r="AT18" t="e">
        <f t="shared" ca="1" si="3"/>
        <v>#REF!</v>
      </c>
      <c r="AU18" s="94"/>
      <c r="AV18" s="94"/>
      <c r="BB18">
        <v>1</v>
      </c>
      <c r="BC18">
        <v>1</v>
      </c>
      <c r="BD18">
        <v>1</v>
      </c>
      <c r="BE18" t="e">
        <v>#REF!</v>
      </c>
      <c r="BF18" t="e">
        <v>#REF!</v>
      </c>
      <c r="BG18" t="e">
        <v>#REF!</v>
      </c>
      <c r="BH18" t="e">
        <v>#REF!</v>
      </c>
      <c r="BI18" t="e">
        <v>#REF!</v>
      </c>
      <c r="BJ18" t="e">
        <v>#REF!</v>
      </c>
      <c r="BK18" t="e">
        <v>#REF!</v>
      </c>
      <c r="BL18" t="e">
        <v>#REF!</v>
      </c>
      <c r="BM18" t="e">
        <v>#REF!</v>
      </c>
      <c r="BN18" t="e">
        <v>#REF!</v>
      </c>
      <c r="BO18" t="e">
        <v>#REF!</v>
      </c>
      <c r="BP18" t="e">
        <v>#REF!</v>
      </c>
      <c r="BQ18" t="e">
        <v>#REF!</v>
      </c>
      <c r="BR18" t="e">
        <v>#REF!</v>
      </c>
      <c r="BS18" t="e">
        <v>#REF!</v>
      </c>
      <c r="BT18" t="e">
        <v>#REF!</v>
      </c>
      <c r="BU18" t="e">
        <v>#REF!</v>
      </c>
      <c r="BV18" t="e">
        <v>#REF!</v>
      </c>
      <c r="BW18" t="e">
        <v>#REF!</v>
      </c>
      <c r="BX18" t="e">
        <v>#REF!</v>
      </c>
      <c r="BY18" t="e">
        <v>#REF!</v>
      </c>
      <c r="BZ18" t="e">
        <v>#REF!</v>
      </c>
      <c r="CA18" t="e">
        <v>#REF!</v>
      </c>
      <c r="CB18" t="e">
        <v>#REF!</v>
      </c>
      <c r="CC18" t="e">
        <v>#REF!</v>
      </c>
      <c r="CD18" t="e">
        <v>#REF!</v>
      </c>
      <c r="CE18" t="e">
        <v>#REF!</v>
      </c>
      <c r="CF18" t="e">
        <v>#REF!</v>
      </c>
      <c r="CG18" t="e">
        <v>#REF!</v>
      </c>
      <c r="CH18" t="e">
        <v>#REF!</v>
      </c>
      <c r="CI18" t="e">
        <v>#REF!</v>
      </c>
      <c r="CJ18" t="e">
        <v>#REF!</v>
      </c>
      <c r="CK18" t="e">
        <v>#REF!</v>
      </c>
      <c r="CL18" t="e">
        <v>#REF!</v>
      </c>
      <c r="CM18" t="e">
        <v>#REF!</v>
      </c>
      <c r="CN18" t="e">
        <v>#REF!</v>
      </c>
      <c r="CO18" t="e">
        <v>#REF!</v>
      </c>
      <c r="CP18" t="e">
        <v>#REF!</v>
      </c>
      <c r="CQ18" t="e">
        <v>#REF!</v>
      </c>
      <c r="CR18" t="e">
        <v>#REF!</v>
      </c>
      <c r="CS18" t="e">
        <v>#REF!</v>
      </c>
      <c r="CT18" t="e">
        <v>#REF!</v>
      </c>
      <c r="CU18" t="e">
        <v>#REF!</v>
      </c>
    </row>
    <row r="19" spans="1:99">
      <c r="A19" s="156">
        <v>47027</v>
      </c>
      <c r="B19" s="157" t="e">
        <f t="shared" ca="1" si="1"/>
        <v>#REF!</v>
      </c>
      <c r="C19">
        <v>-0.35</v>
      </c>
      <c r="D19" t="e">
        <f>#REF!/#REF!</f>
        <v>#REF!</v>
      </c>
      <c r="E19" s="94">
        <f t="shared" si="0"/>
        <v>1.2910399748477852</v>
      </c>
      <c r="F19" t="e">
        <f t="shared" ca="1" si="9"/>
        <v>#REF!</v>
      </c>
      <c r="G19" s="90">
        <v>46935</v>
      </c>
      <c r="H19" s="131">
        <v>22228.630859375</v>
      </c>
      <c r="I19" s="131">
        <v>151.14797973632813</v>
      </c>
      <c r="J19" s="132">
        <v>134.00265502929688</v>
      </c>
      <c r="K19" s="132">
        <v>4.53289794921875</v>
      </c>
      <c r="L19" s="133">
        <v>2.6240603923797607</v>
      </c>
      <c r="M19" s="134">
        <v>16.420101165771484</v>
      </c>
      <c r="N19" s="133">
        <v>2.6970400810241699</v>
      </c>
      <c r="O19" s="135">
        <v>0.26114654541015625</v>
      </c>
      <c r="P19" s="136">
        <v>3.0999999046325684</v>
      </c>
      <c r="Q19" s="92"/>
      <c r="R19" s="92"/>
      <c r="S19" s="109">
        <v>3558.659423828125</v>
      </c>
      <c r="T19" s="109">
        <v>37396.90234375</v>
      </c>
      <c r="U19" s="109">
        <v>34443.8203125</v>
      </c>
      <c r="V19" s="109">
        <v>1266.525390625</v>
      </c>
      <c r="W19" s="111">
        <f t="shared" si="10"/>
        <v>8.52662745172705E-3</v>
      </c>
      <c r="X19" s="109"/>
      <c r="Y19" s="92"/>
      <c r="Z19" s="92" t="e">
        <f t="shared" si="4"/>
        <v>#REF!</v>
      </c>
      <c r="AA19" s="92"/>
      <c r="AB19" s="98" t="e">
        <f t="shared" si="11"/>
        <v>#REF!</v>
      </c>
      <c r="AC19" t="e">
        <f>#REF!*100</f>
        <v>#REF!</v>
      </c>
      <c r="AE19" t="e">
        <f t="shared" si="12"/>
        <v>#REF!</v>
      </c>
      <c r="AF19" t="e">
        <f>-SUM($AE$3:AE19)*W19</f>
        <v>#REF!</v>
      </c>
      <c r="AG19" s="112" t="e">
        <f t="shared" si="13"/>
        <v>#REF!</v>
      </c>
      <c r="AH19" t="e">
        <f t="shared" si="6"/>
        <v>#REF!</v>
      </c>
      <c r="AJ19">
        <v>17</v>
      </c>
      <c r="AK19" t="e">
        <f ca="1">PRODUCT(BB19:OFFSET(BA19,0,AJ19))</f>
        <v>#REF!</v>
      </c>
      <c r="AL19" t="e">
        <f ca="1">MIN((AN19/H19)*(AK19),(1+'F5 Foreign GDP'!$H$2/100)*AK19)</f>
        <v>#REF!</v>
      </c>
      <c r="AN19" s="190">
        <v>22149.88671875</v>
      </c>
      <c r="AO19" s="190">
        <v>153.09742736816406</v>
      </c>
      <c r="AP19" s="190">
        <v>133.58538818359375</v>
      </c>
      <c r="AQ19" s="190">
        <v>4.7394819259643555</v>
      </c>
      <c r="AR19" s="91"/>
      <c r="AS19" s="93" t="e">
        <f t="shared" ca="1" si="8"/>
        <v>#REF!</v>
      </c>
      <c r="AT19" t="e">
        <f t="shared" ca="1" si="3"/>
        <v>#REF!</v>
      </c>
      <c r="AU19" s="94"/>
      <c r="AV19" s="94"/>
      <c r="AY19" t="e">
        <f ca="1">AVERAGE(B15:B18)-AY15-AY11-AY7</f>
        <v>#REF!</v>
      </c>
      <c r="AZ19">
        <f>AVERAGE(C15:C18)-AZ15-AZ11-AZ7</f>
        <v>0.12793747042058601</v>
      </c>
      <c r="BB19">
        <v>1</v>
      </c>
      <c r="BC19">
        <v>1</v>
      </c>
      <c r="BD19">
        <v>1</v>
      </c>
      <c r="BE19" t="e">
        <v>#REF!</v>
      </c>
      <c r="BF19" t="e">
        <v>#REF!</v>
      </c>
      <c r="BG19" t="e">
        <v>#REF!</v>
      </c>
      <c r="BH19" t="e">
        <v>#REF!</v>
      </c>
      <c r="BI19" t="e">
        <v>#REF!</v>
      </c>
      <c r="BJ19" t="e">
        <v>#REF!</v>
      </c>
      <c r="BK19" t="e">
        <v>#REF!</v>
      </c>
      <c r="BL19" t="e">
        <v>#REF!</v>
      </c>
      <c r="BM19" t="e">
        <v>#REF!</v>
      </c>
      <c r="BN19" t="e">
        <v>#REF!</v>
      </c>
      <c r="BO19" t="e">
        <v>#REF!</v>
      </c>
      <c r="BP19" t="e">
        <v>#REF!</v>
      </c>
      <c r="BQ19" t="e">
        <v>#REF!</v>
      </c>
      <c r="BR19" t="e">
        <v>#REF!</v>
      </c>
      <c r="BS19" t="e">
        <v>#REF!</v>
      </c>
      <c r="BT19" t="e">
        <v>#REF!</v>
      </c>
      <c r="BU19" t="e">
        <v>#REF!</v>
      </c>
      <c r="BV19" t="e">
        <v>#REF!</v>
      </c>
      <c r="BW19" t="e">
        <v>#REF!</v>
      </c>
      <c r="BX19" t="e">
        <v>#REF!</v>
      </c>
      <c r="BY19" t="e">
        <v>#REF!</v>
      </c>
      <c r="BZ19" t="e">
        <v>#REF!</v>
      </c>
      <c r="CA19" t="e">
        <v>#REF!</v>
      </c>
      <c r="CB19" t="e">
        <v>#REF!</v>
      </c>
      <c r="CC19" t="e">
        <v>#REF!</v>
      </c>
      <c r="CD19" t="e">
        <v>#REF!</v>
      </c>
      <c r="CE19" t="e">
        <v>#REF!</v>
      </c>
      <c r="CF19" t="e">
        <v>#REF!</v>
      </c>
      <c r="CG19" t="e">
        <v>#REF!</v>
      </c>
      <c r="CH19" t="e">
        <v>#REF!</v>
      </c>
      <c r="CI19" t="e">
        <v>#REF!</v>
      </c>
      <c r="CJ19" t="e">
        <v>#REF!</v>
      </c>
      <c r="CK19" t="e">
        <v>#REF!</v>
      </c>
      <c r="CL19" t="e">
        <v>#REF!</v>
      </c>
      <c r="CM19" t="e">
        <v>#REF!</v>
      </c>
      <c r="CN19" t="e">
        <v>#REF!</v>
      </c>
      <c r="CO19" t="e">
        <v>#REF!</v>
      </c>
      <c r="CP19" t="e">
        <v>#REF!</v>
      </c>
      <c r="CQ19" t="e">
        <v>#REF!</v>
      </c>
      <c r="CR19" t="e">
        <v>#REF!</v>
      </c>
      <c r="CS19" t="e">
        <v>#REF!</v>
      </c>
      <c r="CT19" t="e">
        <v>#REF!</v>
      </c>
      <c r="CU19" t="e">
        <v>#REF!</v>
      </c>
    </row>
    <row r="20" spans="1:99">
      <c r="A20" s="156">
        <v>47119</v>
      </c>
      <c r="B20" s="157" t="e">
        <f t="shared" ca="1" si="1"/>
        <v>#REF!</v>
      </c>
      <c r="C20">
        <v>-0.35</v>
      </c>
      <c r="D20" t="e">
        <f>D19+(D23-D19)/4</f>
        <v>#REF!</v>
      </c>
      <c r="E20" s="94">
        <f t="shared" si="0"/>
        <v>1.296001043047923</v>
      </c>
      <c r="F20" t="e">
        <f t="shared" ca="1" si="9"/>
        <v>#REF!</v>
      </c>
      <c r="G20" s="90">
        <v>47027</v>
      </c>
      <c r="H20" s="137">
        <v>22335.30078125</v>
      </c>
      <c r="I20" s="137">
        <v>151.90711975097656</v>
      </c>
      <c r="J20" s="138">
        <v>134.15962219238281</v>
      </c>
      <c r="K20" s="138">
        <v>4.4928421974182129</v>
      </c>
      <c r="L20" s="139">
        <v>2.6243209838867188</v>
      </c>
      <c r="M20" s="140">
        <v>16.371356964111328</v>
      </c>
      <c r="N20" s="139">
        <v>2.6971709728240967</v>
      </c>
      <c r="O20" s="141">
        <v>0.26114726066589355</v>
      </c>
      <c r="P20" s="142">
        <v>3.0999999046325684</v>
      </c>
      <c r="Q20" s="92"/>
      <c r="R20" s="92"/>
      <c r="S20" s="110">
        <v>3592.50439453125</v>
      </c>
      <c r="T20" s="110">
        <v>37925.5234375</v>
      </c>
      <c r="U20" s="110">
        <v>34795.33984375</v>
      </c>
      <c r="V20" s="110">
        <v>1277.1796875</v>
      </c>
      <c r="W20" s="111">
        <f t="shared" si="10"/>
        <v>8.4780838790904159E-3</v>
      </c>
      <c r="X20" s="109"/>
      <c r="Y20" s="92"/>
      <c r="Z20" s="92" t="e">
        <f t="shared" si="4"/>
        <v>#REF!</v>
      </c>
      <c r="AA20" s="92"/>
      <c r="AB20" s="98" t="e">
        <f t="shared" si="11"/>
        <v>#REF!</v>
      </c>
      <c r="AC20" t="e">
        <f>#REF!*100</f>
        <v>#REF!</v>
      </c>
      <c r="AE20" t="e">
        <f t="shared" si="12"/>
        <v>#REF!</v>
      </c>
      <c r="AF20" t="e">
        <f>-SUM($AE$3:AE20)*W20</f>
        <v>#REF!</v>
      </c>
      <c r="AG20" s="112" t="e">
        <f t="shared" si="13"/>
        <v>#REF!</v>
      </c>
      <c r="AH20" t="e">
        <f t="shared" si="6"/>
        <v>#REF!</v>
      </c>
      <c r="AJ20">
        <v>18</v>
      </c>
      <c r="AK20" t="e">
        <f ca="1">PRODUCT(BB20:OFFSET(BA20,0,AJ20))</f>
        <v>#REF!</v>
      </c>
      <c r="AL20" t="e">
        <f ca="1">MIN((AN20/H20)*(AK20),(1+'F5 Foreign GDP'!$H$2/100)*AK20)</f>
        <v>#REF!</v>
      </c>
      <c r="AN20" s="191">
        <v>22262.37109375</v>
      </c>
      <c r="AO20" s="191">
        <v>153.86830139160156</v>
      </c>
      <c r="AP20" s="191">
        <v>133.81787109375</v>
      </c>
      <c r="AQ20" s="191">
        <v>4.6661391258239746</v>
      </c>
      <c r="AR20" s="91"/>
      <c r="AS20" s="93" t="e">
        <f t="shared" ca="1" si="8"/>
        <v>#REF!</v>
      </c>
      <c r="AT20" t="e">
        <f t="shared" ca="1" si="3"/>
        <v>#REF!</v>
      </c>
      <c r="AU20" s="94"/>
      <c r="AV20" s="94"/>
      <c r="BB20">
        <v>1</v>
      </c>
      <c r="BC20">
        <v>1</v>
      </c>
      <c r="BD20">
        <v>1</v>
      </c>
      <c r="BE20" t="e">
        <v>#REF!</v>
      </c>
      <c r="BF20" t="e">
        <v>#REF!</v>
      </c>
      <c r="BG20" t="e">
        <v>#REF!</v>
      </c>
      <c r="BH20" t="e">
        <v>#REF!</v>
      </c>
      <c r="BI20" t="e">
        <v>#REF!</v>
      </c>
      <c r="BJ20" t="e">
        <v>#REF!</v>
      </c>
      <c r="BK20" t="e">
        <v>#REF!</v>
      </c>
      <c r="BL20" t="e">
        <v>#REF!</v>
      </c>
      <c r="BM20" t="e">
        <v>#REF!</v>
      </c>
      <c r="BN20" t="e">
        <v>#REF!</v>
      </c>
      <c r="BO20" t="e">
        <v>#REF!</v>
      </c>
      <c r="BP20" t="e">
        <v>#REF!</v>
      </c>
      <c r="BQ20" t="e">
        <v>#REF!</v>
      </c>
      <c r="BR20" t="e">
        <v>#REF!</v>
      </c>
      <c r="BS20" t="e">
        <v>#REF!</v>
      </c>
      <c r="BT20" t="e">
        <v>#REF!</v>
      </c>
      <c r="BU20" t="e">
        <v>#REF!</v>
      </c>
      <c r="BV20" t="e">
        <v>#REF!</v>
      </c>
      <c r="BW20" t="e">
        <v>#REF!</v>
      </c>
      <c r="BX20" t="e">
        <v>#REF!</v>
      </c>
      <c r="BY20" t="e">
        <v>#REF!</v>
      </c>
      <c r="BZ20" t="e">
        <v>#REF!</v>
      </c>
      <c r="CA20" t="e">
        <v>#REF!</v>
      </c>
      <c r="CB20" t="e">
        <v>#REF!</v>
      </c>
      <c r="CC20" t="e">
        <v>#REF!</v>
      </c>
      <c r="CD20" t="e">
        <v>#REF!</v>
      </c>
      <c r="CE20" t="e">
        <v>#REF!</v>
      </c>
      <c r="CF20" t="e">
        <v>#REF!</v>
      </c>
      <c r="CG20" t="e">
        <v>#REF!</v>
      </c>
      <c r="CH20" t="e">
        <v>#REF!</v>
      </c>
      <c r="CI20" t="e">
        <v>#REF!</v>
      </c>
      <c r="CJ20" t="e">
        <v>#REF!</v>
      </c>
      <c r="CK20" t="e">
        <v>#REF!</v>
      </c>
      <c r="CL20" t="e">
        <v>#REF!</v>
      </c>
      <c r="CM20" t="e">
        <v>#REF!</v>
      </c>
      <c r="CN20" t="e">
        <v>#REF!</v>
      </c>
      <c r="CO20" t="e">
        <v>#REF!</v>
      </c>
      <c r="CP20" t="e">
        <v>#REF!</v>
      </c>
      <c r="CQ20" t="e">
        <v>#REF!</v>
      </c>
      <c r="CR20" t="e">
        <v>#REF!</v>
      </c>
      <c r="CS20" t="e">
        <v>#REF!</v>
      </c>
      <c r="CT20" t="e">
        <v>#REF!</v>
      </c>
      <c r="CU20" t="e">
        <v>#REF!</v>
      </c>
    </row>
    <row r="21" spans="1:99">
      <c r="A21" s="156">
        <v>47209</v>
      </c>
      <c r="B21" s="157" t="e">
        <f t="shared" ca="1" si="1"/>
        <v>#REF!</v>
      </c>
      <c r="C21">
        <v>-0.35</v>
      </c>
      <c r="D21" t="e">
        <f>D20+(D23-D19)/4</f>
        <v>#REF!</v>
      </c>
      <c r="E21" s="94">
        <f t="shared" si="0"/>
        <v>1.3038737859566885</v>
      </c>
      <c r="F21" t="e">
        <f t="shared" ca="1" si="9"/>
        <v>#REF!</v>
      </c>
      <c r="G21" s="90">
        <v>47119</v>
      </c>
      <c r="H21" s="131">
        <v>22435.501953125</v>
      </c>
      <c r="I21" s="131">
        <v>152.61013793945313</v>
      </c>
      <c r="J21" s="132">
        <v>134.32501220703125</v>
      </c>
      <c r="K21" s="132">
        <v>4.4495425224304199</v>
      </c>
      <c r="L21" s="133">
        <v>2.6248581409454346</v>
      </c>
      <c r="M21" s="134">
        <v>16.341157913208008</v>
      </c>
      <c r="N21" s="133">
        <v>2.6968436241149902</v>
      </c>
      <c r="O21" s="135">
        <v>0.2616124153137207</v>
      </c>
      <c r="P21" s="136">
        <v>3.0999999046325684</v>
      </c>
      <c r="Q21" s="92"/>
      <c r="R21" s="92"/>
      <c r="S21" s="109">
        <v>3626.177001953125</v>
      </c>
      <c r="T21" s="109">
        <v>38467.02734375</v>
      </c>
      <c r="U21" s="109">
        <v>35132.2890625</v>
      </c>
      <c r="V21" s="109">
        <v>1288.31787109375</v>
      </c>
      <c r="W21" s="111">
        <f t="shared" si="10"/>
        <v>8.4322218457061806E-3</v>
      </c>
      <c r="X21" s="109"/>
      <c r="Y21" s="92"/>
      <c r="Z21" s="92" t="e">
        <f t="shared" si="4"/>
        <v>#REF!</v>
      </c>
      <c r="AA21" s="92"/>
      <c r="AB21" s="98" t="e">
        <f t="shared" si="11"/>
        <v>#REF!</v>
      </c>
      <c r="AC21" t="e">
        <f>#REF!*100</f>
        <v>#REF!</v>
      </c>
      <c r="AE21" t="e">
        <f t="shared" si="12"/>
        <v>#REF!</v>
      </c>
      <c r="AF21" t="e">
        <f>-SUM($AE$3:AE21)*W21</f>
        <v>#REF!</v>
      </c>
      <c r="AG21" s="112" t="e">
        <f t="shared" si="13"/>
        <v>#REF!</v>
      </c>
      <c r="AH21" t="e">
        <f t="shared" si="6"/>
        <v>#REF!</v>
      </c>
      <c r="AJ21">
        <v>19</v>
      </c>
      <c r="AK21" t="e">
        <f ca="1">PRODUCT(BB21:OFFSET(BA21,0,AJ21))</f>
        <v>#REF!</v>
      </c>
      <c r="AL21" t="e">
        <f ca="1">MIN((AN21/H21)*(AK21),(1+'F5 Foreign GDP'!$H$2/100)*AK21)</f>
        <v>#REF!</v>
      </c>
      <c r="AN21" s="190">
        <v>22366.986328125</v>
      </c>
      <c r="AO21" s="190">
        <v>154.58796691894531</v>
      </c>
      <c r="AP21" s="190">
        <v>134.05001831054688</v>
      </c>
      <c r="AQ21" s="190">
        <v>4.5945959091186523</v>
      </c>
      <c r="AR21" s="91"/>
      <c r="AS21" s="93" t="e">
        <f t="shared" ca="1" si="8"/>
        <v>#REF!</v>
      </c>
      <c r="AT21" t="e">
        <f t="shared" ca="1" si="3"/>
        <v>#REF!</v>
      </c>
      <c r="AU21" s="94"/>
      <c r="AV21" s="94"/>
      <c r="BB21">
        <v>1</v>
      </c>
      <c r="BC21">
        <v>1</v>
      </c>
      <c r="BD21">
        <v>1</v>
      </c>
      <c r="BE21" t="e">
        <v>#REF!</v>
      </c>
      <c r="BF21" t="e">
        <v>#REF!</v>
      </c>
      <c r="BG21" t="e">
        <v>#REF!</v>
      </c>
      <c r="BH21" t="e">
        <v>#REF!</v>
      </c>
      <c r="BI21" t="e">
        <v>#REF!</v>
      </c>
      <c r="BJ21" t="e">
        <v>#REF!</v>
      </c>
      <c r="BK21" t="e">
        <v>#REF!</v>
      </c>
      <c r="BL21" t="e">
        <v>#REF!</v>
      </c>
      <c r="BM21" t="e">
        <v>#REF!</v>
      </c>
      <c r="BN21" t="e">
        <v>#REF!</v>
      </c>
      <c r="BO21" t="e">
        <v>#REF!</v>
      </c>
      <c r="BP21" t="e">
        <v>#REF!</v>
      </c>
      <c r="BQ21" t="e">
        <v>#REF!</v>
      </c>
      <c r="BR21" t="e">
        <v>#REF!</v>
      </c>
      <c r="BS21" t="e">
        <v>#REF!</v>
      </c>
      <c r="BT21" t="e">
        <v>#REF!</v>
      </c>
      <c r="BU21" t="e">
        <v>#REF!</v>
      </c>
      <c r="BV21" t="e">
        <v>#REF!</v>
      </c>
      <c r="BW21" t="e">
        <v>#REF!</v>
      </c>
      <c r="BX21" t="e">
        <v>#REF!</v>
      </c>
      <c r="BY21" t="e">
        <v>#REF!</v>
      </c>
      <c r="BZ21" t="e">
        <v>#REF!</v>
      </c>
      <c r="CA21" t="e">
        <v>#REF!</v>
      </c>
      <c r="CB21" t="e">
        <v>#REF!</v>
      </c>
      <c r="CC21" t="e">
        <v>#REF!</v>
      </c>
      <c r="CD21" t="e">
        <v>#REF!</v>
      </c>
      <c r="CE21" t="e">
        <v>#REF!</v>
      </c>
      <c r="CF21" t="e">
        <v>#REF!</v>
      </c>
      <c r="CG21" t="e">
        <v>#REF!</v>
      </c>
      <c r="CH21" t="e">
        <v>#REF!</v>
      </c>
      <c r="CI21" t="e">
        <v>#REF!</v>
      </c>
      <c r="CJ21" t="e">
        <v>#REF!</v>
      </c>
      <c r="CK21" t="e">
        <v>#REF!</v>
      </c>
      <c r="CL21" t="e">
        <v>#REF!</v>
      </c>
      <c r="CM21" t="e">
        <v>#REF!</v>
      </c>
      <c r="CN21" t="e">
        <v>#REF!</v>
      </c>
      <c r="CO21" t="e">
        <v>#REF!</v>
      </c>
      <c r="CP21" t="e">
        <v>#REF!</v>
      </c>
      <c r="CQ21" t="e">
        <v>#REF!</v>
      </c>
      <c r="CR21" t="e">
        <v>#REF!</v>
      </c>
      <c r="CS21" t="e">
        <v>#REF!</v>
      </c>
      <c r="CT21" t="e">
        <v>#REF!</v>
      </c>
      <c r="CU21" t="e">
        <v>#REF!</v>
      </c>
    </row>
    <row r="22" spans="1:99">
      <c r="A22" s="156">
        <v>47300</v>
      </c>
      <c r="B22" s="157" t="e">
        <f t="shared" ca="1" si="1"/>
        <v>#REF!</v>
      </c>
      <c r="C22">
        <v>-0.35</v>
      </c>
      <c r="D22" t="e">
        <f>D21+(D23-D19)/4</f>
        <v>#REF!</v>
      </c>
      <c r="E22" s="94">
        <f t="shared" si="0"/>
        <v>1.3142919300230815</v>
      </c>
      <c r="F22" t="e">
        <f t="shared" ca="1" si="9"/>
        <v>#REF!</v>
      </c>
      <c r="G22" s="90">
        <v>47209</v>
      </c>
      <c r="H22" s="131">
        <v>22542.53125</v>
      </c>
      <c r="I22" s="131">
        <v>153.37269592285156</v>
      </c>
      <c r="J22" s="132">
        <v>134.51266479492188</v>
      </c>
      <c r="K22" s="132">
        <v>4.4029178619384766</v>
      </c>
      <c r="L22" s="133">
        <v>2.6237373352050781</v>
      </c>
      <c r="M22" s="134">
        <v>16.32244873046875</v>
      </c>
      <c r="N22" s="133">
        <v>2.696892261505127</v>
      </c>
      <c r="O22" s="135">
        <v>0.26171326637268066</v>
      </c>
      <c r="P22" s="136">
        <v>3.0999999046325684</v>
      </c>
      <c r="Q22" s="92"/>
      <c r="R22" s="92"/>
      <c r="S22" s="109">
        <v>3659.081298828125</v>
      </c>
      <c r="T22" s="109">
        <v>39012.30859375</v>
      </c>
      <c r="U22" s="109">
        <v>35498.69921875</v>
      </c>
      <c r="V22" s="109">
        <v>1299.9190673828125</v>
      </c>
      <c r="W22" s="111">
        <f t="shared" si="10"/>
        <v>8.3888113627575093E-3</v>
      </c>
      <c r="X22" s="109"/>
      <c r="Y22" s="92"/>
      <c r="Z22" s="92" t="e">
        <f t="shared" si="4"/>
        <v>#REF!</v>
      </c>
      <c r="AA22" s="92"/>
      <c r="AB22" s="98" t="e">
        <f t="shared" si="11"/>
        <v>#REF!</v>
      </c>
      <c r="AC22" t="e">
        <f>#REF!*100</f>
        <v>#REF!</v>
      </c>
      <c r="AE22" t="e">
        <f t="shared" si="12"/>
        <v>#REF!</v>
      </c>
      <c r="AF22" t="e">
        <f>-SUM($AE$3:AE22)*W22</f>
        <v>#REF!</v>
      </c>
      <c r="AG22" s="112" t="e">
        <f t="shared" si="13"/>
        <v>#REF!</v>
      </c>
      <c r="AH22" t="e">
        <f t="shared" si="6"/>
        <v>#REF!</v>
      </c>
      <c r="AJ22">
        <v>20</v>
      </c>
      <c r="AK22" t="e">
        <f ca="1">PRODUCT(BB22:OFFSET(BA22,0,AJ22))</f>
        <v>#REF!</v>
      </c>
      <c r="AL22" t="e">
        <f ca="1">MIN((AN22/H22)*(AK22),(1+'F5 Foreign GDP'!$H$2/100)*AK22)</f>
        <v>#REF!</v>
      </c>
      <c r="AN22" s="190">
        <v>22477.25</v>
      </c>
      <c r="AO22" s="190">
        <v>155.37248229980469</v>
      </c>
      <c r="AP22" s="190">
        <v>134.29388427734375</v>
      </c>
      <c r="AQ22" s="190">
        <v>4.5249886512756348</v>
      </c>
      <c r="AR22" s="91"/>
      <c r="AS22" s="93" t="e">
        <f t="shared" ca="1" si="8"/>
        <v>#REF!</v>
      </c>
      <c r="AT22" t="e">
        <f t="shared" ca="1" si="3"/>
        <v>#REF!</v>
      </c>
      <c r="AU22" s="94"/>
      <c r="AV22" s="94"/>
      <c r="BB22">
        <v>1</v>
      </c>
      <c r="BC22">
        <v>1</v>
      </c>
      <c r="BD22">
        <v>1</v>
      </c>
      <c r="BE22" t="e">
        <v>#REF!</v>
      </c>
      <c r="BF22" t="e">
        <v>#REF!</v>
      </c>
      <c r="BG22" t="e">
        <v>#REF!</v>
      </c>
      <c r="BH22" t="e">
        <v>#REF!</v>
      </c>
      <c r="BI22" t="e">
        <v>#REF!</v>
      </c>
      <c r="BJ22" t="e">
        <v>#REF!</v>
      </c>
      <c r="BK22" t="e">
        <v>#REF!</v>
      </c>
      <c r="BL22" t="e">
        <v>#REF!</v>
      </c>
      <c r="BM22" t="e">
        <v>#REF!</v>
      </c>
      <c r="BN22" t="e">
        <v>#REF!</v>
      </c>
      <c r="BO22" t="e">
        <v>#REF!</v>
      </c>
      <c r="BP22" t="e">
        <v>#REF!</v>
      </c>
      <c r="BQ22" t="e">
        <v>#REF!</v>
      </c>
      <c r="BR22" t="e">
        <v>#REF!</v>
      </c>
      <c r="BS22" t="e">
        <v>#REF!</v>
      </c>
      <c r="BT22" t="e">
        <v>#REF!</v>
      </c>
      <c r="BU22" t="e">
        <v>#REF!</v>
      </c>
      <c r="BV22" t="e">
        <v>#REF!</v>
      </c>
      <c r="BW22" t="e">
        <v>#REF!</v>
      </c>
      <c r="BX22" t="e">
        <v>#REF!</v>
      </c>
      <c r="BY22" t="e">
        <v>#REF!</v>
      </c>
      <c r="BZ22" t="e">
        <v>#REF!</v>
      </c>
      <c r="CA22" t="e">
        <v>#REF!</v>
      </c>
      <c r="CB22" t="e">
        <v>#REF!</v>
      </c>
      <c r="CC22" t="e">
        <v>#REF!</v>
      </c>
      <c r="CD22" t="e">
        <v>#REF!</v>
      </c>
      <c r="CE22" t="e">
        <v>#REF!</v>
      </c>
      <c r="CF22" t="e">
        <v>#REF!</v>
      </c>
      <c r="CG22" t="e">
        <v>#REF!</v>
      </c>
      <c r="CH22" t="e">
        <v>#REF!</v>
      </c>
      <c r="CI22" t="e">
        <v>#REF!</v>
      </c>
      <c r="CJ22" t="e">
        <v>#REF!</v>
      </c>
      <c r="CK22" t="e">
        <v>#REF!</v>
      </c>
      <c r="CL22" t="e">
        <v>#REF!</v>
      </c>
      <c r="CM22" t="e">
        <v>#REF!</v>
      </c>
      <c r="CN22" t="e">
        <v>#REF!</v>
      </c>
      <c r="CO22" t="e">
        <v>#REF!</v>
      </c>
      <c r="CP22" t="e">
        <v>#REF!</v>
      </c>
      <c r="CQ22" t="e">
        <v>#REF!</v>
      </c>
      <c r="CR22" t="e">
        <v>#REF!</v>
      </c>
      <c r="CS22" t="e">
        <v>#REF!</v>
      </c>
      <c r="CT22" t="e">
        <v>#REF!</v>
      </c>
      <c r="CU22" t="e">
        <v>#REF!</v>
      </c>
    </row>
    <row r="23" spans="1:99">
      <c r="A23" s="156">
        <v>47392</v>
      </c>
      <c r="B23" s="157" t="e">
        <f t="shared" ca="1" si="1"/>
        <v>#REF!</v>
      </c>
      <c r="C23">
        <v>-0.35</v>
      </c>
      <c r="D23" t="e">
        <f>#REF!/#REF!</f>
        <v>#REF!</v>
      </c>
      <c r="E23" s="94">
        <f t="shared" si="0"/>
        <v>1.3255972686834872</v>
      </c>
      <c r="F23" t="e">
        <f t="shared" ca="1" si="9"/>
        <v>#REF!</v>
      </c>
      <c r="G23" s="90">
        <v>47300</v>
      </c>
      <c r="H23" s="131">
        <v>22634.203125</v>
      </c>
      <c r="I23" s="131">
        <v>154.16545104980469</v>
      </c>
      <c r="J23" s="132">
        <v>134.67985534667969</v>
      </c>
      <c r="K23" s="132">
        <v>4.3683514595031738</v>
      </c>
      <c r="L23" s="133">
        <v>2.6237747669219971</v>
      </c>
      <c r="M23" s="134">
        <v>16.310857772827148</v>
      </c>
      <c r="N23" s="133">
        <v>2.6966879367828369</v>
      </c>
      <c r="O23" s="135">
        <v>0.26173758506774902</v>
      </c>
      <c r="P23" s="136">
        <v>3.0999999046325684</v>
      </c>
      <c r="Q23" s="92"/>
      <c r="R23" s="92"/>
      <c r="S23" s="109">
        <v>3691.685791015625</v>
      </c>
      <c r="T23" s="109">
        <v>39560.703125</v>
      </c>
      <c r="U23" s="109">
        <v>35848.83984375</v>
      </c>
      <c r="V23" s="109">
        <v>1311.8138427734375</v>
      </c>
      <c r="W23" s="111">
        <f t="shared" si="10"/>
        <v>8.3477380723869926E-3</v>
      </c>
      <c r="X23" s="109"/>
      <c r="Y23" s="92"/>
      <c r="Z23" s="92" t="e">
        <f t="shared" si="4"/>
        <v>#REF!</v>
      </c>
      <c r="AA23" s="92"/>
      <c r="AB23" s="98" t="e">
        <f t="shared" si="11"/>
        <v>#REF!</v>
      </c>
      <c r="AC23" t="e">
        <f>#REF!*100</f>
        <v>#REF!</v>
      </c>
      <c r="AE23" t="e">
        <f t="shared" si="12"/>
        <v>#REF!</v>
      </c>
      <c r="AF23" t="e">
        <f>-SUM($AE$3:AE23)*W23</f>
        <v>#REF!</v>
      </c>
      <c r="AG23" s="112" t="e">
        <f t="shared" si="13"/>
        <v>#REF!</v>
      </c>
      <c r="AH23" t="e">
        <f t="shared" si="6"/>
        <v>#REF!</v>
      </c>
      <c r="AJ23">
        <v>21</v>
      </c>
      <c r="AK23" t="e">
        <f ca="1">PRODUCT(BB23:OFFSET(BA23,0,AJ23))</f>
        <v>#REF!</v>
      </c>
      <c r="AL23" t="e">
        <f ca="1">MIN((AN23/H23)*(AK23),(1+'F5 Foreign GDP'!$H$2/100)*AK23)</f>
        <v>#REF!</v>
      </c>
      <c r="AN23" s="190">
        <v>22571.96484375</v>
      </c>
      <c r="AO23" s="190">
        <v>156.19163513183594</v>
      </c>
      <c r="AP23" s="190">
        <v>134.50637817382813</v>
      </c>
      <c r="AQ23" s="190">
        <v>4.4730429649353027</v>
      </c>
      <c r="AR23" s="91"/>
      <c r="AS23" s="93" t="e">
        <f t="shared" ca="1" si="8"/>
        <v>#REF!</v>
      </c>
      <c r="AT23" t="e">
        <f t="shared" ca="1" si="3"/>
        <v>#REF!</v>
      </c>
      <c r="AU23" s="94"/>
      <c r="AV23" s="94"/>
      <c r="AY23" t="e">
        <f ca="1">AVERAGE(B19:B22)-AY19-AY15-AY11-AY7</f>
        <v>#REF!</v>
      </c>
      <c r="AZ23">
        <f>AVERAGE(C19:C22)-AZ19-AZ15-AZ11-AZ7</f>
        <v>5.5387637761292519E-2</v>
      </c>
      <c r="BB23">
        <v>1</v>
      </c>
      <c r="BC23">
        <v>1</v>
      </c>
      <c r="BD23">
        <v>1</v>
      </c>
      <c r="BE23" t="e">
        <v>#REF!</v>
      </c>
      <c r="BF23" t="e">
        <v>#REF!</v>
      </c>
      <c r="BG23" t="e">
        <v>#REF!</v>
      </c>
      <c r="BH23" t="e">
        <v>#REF!</v>
      </c>
      <c r="BI23" t="e">
        <v>#REF!</v>
      </c>
      <c r="BJ23" t="e">
        <v>#REF!</v>
      </c>
      <c r="BK23" t="e">
        <v>#REF!</v>
      </c>
      <c r="BL23" t="e">
        <v>#REF!</v>
      </c>
      <c r="BM23" t="e">
        <v>#REF!</v>
      </c>
      <c r="BN23" t="e">
        <v>#REF!</v>
      </c>
      <c r="BO23" t="e">
        <v>#REF!</v>
      </c>
      <c r="BP23" t="e">
        <v>#REF!</v>
      </c>
      <c r="BQ23" t="e">
        <v>#REF!</v>
      </c>
      <c r="BR23" t="e">
        <v>#REF!</v>
      </c>
      <c r="BS23" t="e">
        <v>#REF!</v>
      </c>
      <c r="BT23" t="e">
        <v>#REF!</v>
      </c>
      <c r="BU23" t="e">
        <v>#REF!</v>
      </c>
      <c r="BV23" t="e">
        <v>#REF!</v>
      </c>
      <c r="BW23" t="e">
        <v>#REF!</v>
      </c>
      <c r="BX23" t="e">
        <v>#REF!</v>
      </c>
      <c r="BY23" t="e">
        <v>#REF!</v>
      </c>
      <c r="BZ23" t="e">
        <v>#REF!</v>
      </c>
      <c r="CA23" t="e">
        <v>#REF!</v>
      </c>
      <c r="CB23" t="e">
        <v>#REF!</v>
      </c>
      <c r="CC23" t="e">
        <v>#REF!</v>
      </c>
      <c r="CD23" t="e">
        <v>#REF!</v>
      </c>
      <c r="CE23" t="e">
        <v>#REF!</v>
      </c>
      <c r="CF23" t="e">
        <v>#REF!</v>
      </c>
      <c r="CG23" t="e">
        <v>#REF!</v>
      </c>
      <c r="CH23" t="e">
        <v>#REF!</v>
      </c>
      <c r="CI23" t="e">
        <v>#REF!</v>
      </c>
      <c r="CJ23" t="e">
        <v>#REF!</v>
      </c>
      <c r="CK23" t="e">
        <v>#REF!</v>
      </c>
      <c r="CL23" t="e">
        <v>#REF!</v>
      </c>
      <c r="CM23" t="e">
        <v>#REF!</v>
      </c>
      <c r="CN23" t="e">
        <v>#REF!</v>
      </c>
      <c r="CO23" t="e">
        <v>#REF!</v>
      </c>
      <c r="CP23" t="e">
        <v>#REF!</v>
      </c>
      <c r="CQ23" t="e">
        <v>#REF!</v>
      </c>
      <c r="CR23" t="e">
        <v>#REF!</v>
      </c>
      <c r="CS23" t="e">
        <v>#REF!</v>
      </c>
      <c r="CT23" t="e">
        <v>#REF!</v>
      </c>
      <c r="CU23" t="e">
        <v>#REF!</v>
      </c>
    </row>
    <row r="24" spans="1:99">
      <c r="A24" s="156">
        <v>47484</v>
      </c>
      <c r="B24" s="157" t="e">
        <f t="shared" ca="1" si="1"/>
        <v>#REF!</v>
      </c>
      <c r="C24">
        <v>-0.35</v>
      </c>
      <c r="D24" t="e">
        <f>D23+(D27-D23)/4</f>
        <v>#REF!</v>
      </c>
      <c r="E24" s="94">
        <f t="shared" si="0"/>
        <v>1.3384018613914916</v>
      </c>
      <c r="F24" t="e">
        <f t="shared" ca="1" si="9"/>
        <v>#REF!</v>
      </c>
      <c r="G24" s="90">
        <v>47392</v>
      </c>
      <c r="H24" s="137">
        <v>22730.30859375</v>
      </c>
      <c r="I24" s="137">
        <v>154.94563293457031</v>
      </c>
      <c r="J24" s="138">
        <v>134.83564758300781</v>
      </c>
      <c r="K24" s="138">
        <v>4.342066764831543</v>
      </c>
      <c r="L24" s="139">
        <v>2.6240756511688232</v>
      </c>
      <c r="M24" s="140">
        <v>16.303676605224609</v>
      </c>
      <c r="N24" s="139">
        <v>2.6969361305236816</v>
      </c>
      <c r="O24" s="141">
        <v>0.26199245452880859</v>
      </c>
      <c r="P24" s="142">
        <v>3.0999999046325684</v>
      </c>
      <c r="Q24" s="92"/>
      <c r="R24" s="92"/>
      <c r="S24" s="110">
        <v>3722.219482421875</v>
      </c>
      <c r="T24" s="110">
        <v>40114.38671875</v>
      </c>
      <c r="U24" s="110">
        <v>36203.6875</v>
      </c>
      <c r="V24" s="110">
        <v>1324.0203857421875</v>
      </c>
      <c r="W24" s="111">
        <f t="shared" si="10"/>
        <v>8.3088728756924544E-3</v>
      </c>
      <c r="X24" s="109"/>
      <c r="Y24" s="92"/>
      <c r="Z24" s="92" t="e">
        <f t="shared" si="4"/>
        <v>#REF!</v>
      </c>
      <c r="AA24" s="92"/>
      <c r="AB24" s="98" t="e">
        <f t="shared" si="11"/>
        <v>#REF!</v>
      </c>
      <c r="AC24" t="e">
        <f>#REF!*100</f>
        <v>#REF!</v>
      </c>
      <c r="AE24" t="e">
        <f t="shared" si="12"/>
        <v>#REF!</v>
      </c>
      <c r="AF24" t="e">
        <f>-SUM($AE$3:AE24)*W24</f>
        <v>#REF!</v>
      </c>
      <c r="AG24" s="112" t="e">
        <f t="shared" si="13"/>
        <v>#REF!</v>
      </c>
      <c r="AH24" t="e">
        <f t="shared" si="6"/>
        <v>#REF!</v>
      </c>
      <c r="AJ24">
        <v>22</v>
      </c>
      <c r="AK24" t="e">
        <f ca="1">PRODUCT(BB24:OFFSET(BA24,0,AJ24))</f>
        <v>#REF!</v>
      </c>
      <c r="AL24" t="e">
        <f ca="1">MIN((AN24/H24)*(AK24),(1+'F5 Foreign GDP'!$H$2/100)*AK24)</f>
        <v>#REF!</v>
      </c>
      <c r="AN24" s="191">
        <v>22670.78125</v>
      </c>
      <c r="AO24" s="191">
        <v>156.99958801269531</v>
      </c>
      <c r="AP24" s="191">
        <v>134.69895935058594</v>
      </c>
      <c r="AQ24" s="191">
        <v>4.4331808090209961</v>
      </c>
      <c r="AR24" s="91"/>
      <c r="AS24" s="93" t="e">
        <f t="shared" ca="1" si="8"/>
        <v>#REF!</v>
      </c>
      <c r="AT24" t="e">
        <f t="shared" ca="1" si="3"/>
        <v>#REF!</v>
      </c>
      <c r="AU24" s="94"/>
      <c r="AV24" s="94"/>
      <c r="BB24">
        <v>1</v>
      </c>
      <c r="BC24">
        <v>1</v>
      </c>
      <c r="BD24">
        <v>1</v>
      </c>
      <c r="BE24" t="e">
        <v>#REF!</v>
      </c>
      <c r="BF24" t="e">
        <v>#REF!</v>
      </c>
      <c r="BG24" t="e">
        <v>#REF!</v>
      </c>
      <c r="BH24" t="e">
        <v>#REF!</v>
      </c>
      <c r="BI24" t="e">
        <v>#REF!</v>
      </c>
      <c r="BJ24" t="e">
        <v>#REF!</v>
      </c>
      <c r="BK24" t="e">
        <v>#REF!</v>
      </c>
      <c r="BL24" t="e">
        <v>#REF!</v>
      </c>
      <c r="BM24" t="e">
        <v>#REF!</v>
      </c>
      <c r="BN24" t="e">
        <v>#REF!</v>
      </c>
      <c r="BO24" t="e">
        <v>#REF!</v>
      </c>
      <c r="BP24" t="e">
        <v>#REF!</v>
      </c>
      <c r="BQ24" t="e">
        <v>#REF!</v>
      </c>
      <c r="BR24" t="e">
        <v>#REF!</v>
      </c>
      <c r="BS24" t="e">
        <v>#REF!</v>
      </c>
      <c r="BT24" t="e">
        <v>#REF!</v>
      </c>
      <c r="BU24" t="e">
        <v>#REF!</v>
      </c>
      <c r="BV24" t="e">
        <v>#REF!</v>
      </c>
      <c r="BW24" t="e">
        <v>#REF!</v>
      </c>
      <c r="BX24" t="e">
        <v>#REF!</v>
      </c>
      <c r="BY24" t="e">
        <v>#REF!</v>
      </c>
      <c r="BZ24" t="e">
        <v>#REF!</v>
      </c>
      <c r="CA24" t="e">
        <v>#REF!</v>
      </c>
      <c r="CB24" t="e">
        <v>#REF!</v>
      </c>
      <c r="CC24" t="e">
        <v>#REF!</v>
      </c>
      <c r="CD24" t="e">
        <v>#REF!</v>
      </c>
      <c r="CE24" t="e">
        <v>#REF!</v>
      </c>
      <c r="CF24" t="e">
        <v>#REF!</v>
      </c>
      <c r="CG24" t="e">
        <v>#REF!</v>
      </c>
      <c r="CH24" t="e">
        <v>#REF!</v>
      </c>
      <c r="CI24" t="e">
        <v>#REF!</v>
      </c>
      <c r="CJ24" t="e">
        <v>#REF!</v>
      </c>
      <c r="CK24" t="e">
        <v>#REF!</v>
      </c>
      <c r="CL24" t="e">
        <v>#REF!</v>
      </c>
      <c r="CM24" t="e">
        <v>#REF!</v>
      </c>
      <c r="CN24" t="e">
        <v>#REF!</v>
      </c>
      <c r="CO24" t="e">
        <v>#REF!</v>
      </c>
      <c r="CP24" t="e">
        <v>#REF!</v>
      </c>
      <c r="CQ24" t="e">
        <v>#REF!</v>
      </c>
      <c r="CR24" t="e">
        <v>#REF!</v>
      </c>
      <c r="CS24" t="e">
        <v>#REF!</v>
      </c>
      <c r="CT24" t="e">
        <v>#REF!</v>
      </c>
      <c r="CU24" t="e">
        <v>#REF!</v>
      </c>
    </row>
    <row r="25" spans="1:99">
      <c r="A25" s="156">
        <v>47574</v>
      </c>
      <c r="B25" s="157" t="e">
        <f t="shared" ca="1" si="1"/>
        <v>#REF!</v>
      </c>
      <c r="C25">
        <v>-0.35</v>
      </c>
      <c r="D25" t="e">
        <f>D24+(D27-D23)/4</f>
        <v>#REF!</v>
      </c>
      <c r="E25" s="94">
        <f t="shared" si="0"/>
        <v>1.3528029847754475</v>
      </c>
      <c r="F25" t="e">
        <f t="shared" ca="1" si="9"/>
        <v>#REF!</v>
      </c>
      <c r="G25" s="90">
        <v>47484</v>
      </c>
      <c r="H25" s="131">
        <v>22828.140625</v>
      </c>
      <c r="I25" s="131">
        <v>155.70692443847656</v>
      </c>
      <c r="J25" s="132">
        <v>134.96388244628906</v>
      </c>
      <c r="K25" s="132">
        <v>4.3094038963317871</v>
      </c>
      <c r="L25" s="133">
        <v>2.6236379146575928</v>
      </c>
      <c r="M25" s="134">
        <v>16.288631439208984</v>
      </c>
      <c r="N25" s="133">
        <v>2.6968879699707031</v>
      </c>
      <c r="O25" s="135">
        <v>0.26184678077697754</v>
      </c>
      <c r="P25" s="136">
        <v>3.0999999046325684</v>
      </c>
      <c r="Q25" s="92"/>
      <c r="R25" s="92"/>
      <c r="S25" s="109">
        <v>3752.399169921875</v>
      </c>
      <c r="T25" s="109">
        <v>40681.703125</v>
      </c>
      <c r="U25" s="109">
        <v>36558.87890625</v>
      </c>
      <c r="V25" s="109">
        <v>1336.7281494140625</v>
      </c>
      <c r="W25" s="111">
        <f t="shared" si="10"/>
        <v>8.2722329261176834E-3</v>
      </c>
      <c r="X25" s="109"/>
      <c r="Y25" s="92"/>
      <c r="Z25" s="92" t="e">
        <f t="shared" si="4"/>
        <v>#REF!</v>
      </c>
      <c r="AA25" s="92"/>
      <c r="AB25" s="98" t="e">
        <f t="shared" si="11"/>
        <v>#REF!</v>
      </c>
      <c r="AC25" t="e">
        <f>#REF!*100</f>
        <v>#REF!</v>
      </c>
      <c r="AE25" t="e">
        <f t="shared" si="12"/>
        <v>#REF!</v>
      </c>
      <c r="AF25" t="e">
        <f>-SUM($AE$3:AE25)*W25</f>
        <v>#REF!</v>
      </c>
      <c r="AG25" s="112" t="e">
        <f t="shared" si="13"/>
        <v>#REF!</v>
      </c>
      <c r="AH25" t="e">
        <f t="shared" si="6"/>
        <v>#REF!</v>
      </c>
      <c r="AJ25">
        <v>23</v>
      </c>
      <c r="AK25" t="e">
        <f ca="1">PRODUCT(BB25:OFFSET(BA25,0,AJ25))</f>
        <v>#REF!</v>
      </c>
      <c r="AL25" t="e">
        <f ca="1">MIN((AN25/H25)*(AK25),(1+'F5 Foreign GDP'!$H$2/100)*AK25)</f>
        <v>#REF!</v>
      </c>
      <c r="AN25" s="190">
        <v>22771.521484375</v>
      </c>
      <c r="AO25" s="190">
        <v>157.79090881347656</v>
      </c>
      <c r="AP25" s="190">
        <v>134.85711669921875</v>
      </c>
      <c r="AQ25" s="190">
        <v>4.3898916244506836</v>
      </c>
      <c r="AR25" s="91"/>
      <c r="AS25" s="93" t="e">
        <f t="shared" ca="1" si="8"/>
        <v>#REF!</v>
      </c>
      <c r="AT25" t="e">
        <f t="shared" ca="1" si="3"/>
        <v>#REF!</v>
      </c>
      <c r="AU25" s="94"/>
      <c r="AV25" s="94"/>
      <c r="BB25">
        <v>1</v>
      </c>
      <c r="BC25">
        <v>1</v>
      </c>
      <c r="BD25">
        <v>1</v>
      </c>
      <c r="BE25" t="e">
        <v>#REF!</v>
      </c>
      <c r="BF25" t="e">
        <v>#REF!</v>
      </c>
      <c r="BG25" t="e">
        <v>#REF!</v>
      </c>
      <c r="BH25" t="e">
        <v>#REF!</v>
      </c>
      <c r="BI25" t="e">
        <v>#REF!</v>
      </c>
      <c r="BJ25" t="e">
        <v>#REF!</v>
      </c>
      <c r="BK25" t="e">
        <v>#REF!</v>
      </c>
      <c r="BL25" t="e">
        <v>#REF!</v>
      </c>
      <c r="BM25" t="e">
        <v>#REF!</v>
      </c>
      <c r="BN25" t="e">
        <v>#REF!</v>
      </c>
      <c r="BO25" t="e">
        <v>#REF!</v>
      </c>
      <c r="BP25" t="e">
        <v>#REF!</v>
      </c>
      <c r="BQ25" t="e">
        <v>#REF!</v>
      </c>
      <c r="BR25" t="e">
        <v>#REF!</v>
      </c>
      <c r="BS25" t="e">
        <v>#REF!</v>
      </c>
      <c r="BT25" t="e">
        <v>#REF!</v>
      </c>
      <c r="BU25" t="e">
        <v>#REF!</v>
      </c>
      <c r="BV25" t="e">
        <v>#REF!</v>
      </c>
      <c r="BW25" t="e">
        <v>#REF!</v>
      </c>
      <c r="BX25" t="e">
        <v>#REF!</v>
      </c>
      <c r="BY25" t="e">
        <v>#REF!</v>
      </c>
      <c r="BZ25" t="e">
        <v>#REF!</v>
      </c>
      <c r="CA25" t="e">
        <v>#REF!</v>
      </c>
      <c r="CB25" t="e">
        <v>#REF!</v>
      </c>
      <c r="CC25" t="e">
        <v>#REF!</v>
      </c>
      <c r="CD25" t="e">
        <v>#REF!</v>
      </c>
      <c r="CE25" t="e">
        <v>#REF!</v>
      </c>
      <c r="CF25" t="e">
        <v>#REF!</v>
      </c>
      <c r="CG25" t="e">
        <v>#REF!</v>
      </c>
      <c r="CH25" t="e">
        <v>#REF!</v>
      </c>
      <c r="CI25" t="e">
        <v>#REF!</v>
      </c>
      <c r="CJ25" t="e">
        <v>#REF!</v>
      </c>
      <c r="CK25" t="e">
        <v>#REF!</v>
      </c>
      <c r="CL25" t="e">
        <v>#REF!</v>
      </c>
      <c r="CM25" t="e">
        <v>#REF!</v>
      </c>
      <c r="CN25" t="e">
        <v>#REF!</v>
      </c>
      <c r="CO25" t="e">
        <v>#REF!</v>
      </c>
      <c r="CP25" t="e">
        <v>#REF!</v>
      </c>
      <c r="CQ25" t="e">
        <v>#REF!</v>
      </c>
      <c r="CR25" t="e">
        <v>#REF!</v>
      </c>
      <c r="CS25" t="e">
        <v>#REF!</v>
      </c>
      <c r="CT25" t="e">
        <v>#REF!</v>
      </c>
      <c r="CU25" t="e">
        <v>#REF!</v>
      </c>
    </row>
    <row r="26" spans="1:99">
      <c r="A26" s="156">
        <v>47665</v>
      </c>
      <c r="B26" s="157" t="e">
        <f t="shared" ca="1" si="1"/>
        <v>#REF!</v>
      </c>
      <c r="C26">
        <v>-0.35</v>
      </c>
      <c r="D26" t="e">
        <f>D25+(D27-D23)/4</f>
        <v>#REF!</v>
      </c>
      <c r="E26" s="94">
        <f t="shared" si="0"/>
        <v>1.3691639150459567</v>
      </c>
      <c r="F26" t="e">
        <f t="shared" ca="1" si="9"/>
        <v>#REF!</v>
      </c>
      <c r="G26" s="90">
        <v>47574</v>
      </c>
      <c r="H26" s="131">
        <v>22936.767578125</v>
      </c>
      <c r="I26" s="131">
        <v>156.50714111328125</v>
      </c>
      <c r="J26" s="132">
        <v>135.09765625</v>
      </c>
      <c r="K26" s="132">
        <v>4.2891240119934082</v>
      </c>
      <c r="L26" s="133">
        <v>2.6245472431182861</v>
      </c>
      <c r="M26" s="134">
        <v>16.243049621582031</v>
      </c>
      <c r="N26" s="133">
        <v>2.696685791015625</v>
      </c>
      <c r="O26" s="135">
        <v>0.26170563697814941</v>
      </c>
      <c r="P26" s="136">
        <v>3.0999999046325684</v>
      </c>
      <c r="Q26" s="92"/>
      <c r="R26" s="92"/>
      <c r="S26" s="109">
        <v>3782.48388671875</v>
      </c>
      <c r="T26" s="109">
        <v>41254.9375</v>
      </c>
      <c r="U26" s="109">
        <v>36934.70703125</v>
      </c>
      <c r="V26" s="109">
        <v>1349.9639892578125</v>
      </c>
      <c r="W26" s="111">
        <f t="shared" si="10"/>
        <v>8.2378529248971905E-3</v>
      </c>
      <c r="X26" s="109"/>
      <c r="Y26" s="92"/>
      <c r="Z26" s="92" t="e">
        <f t="shared" si="4"/>
        <v>#REF!</v>
      </c>
      <c r="AA26" s="92"/>
      <c r="AB26" s="98" t="e">
        <f t="shared" si="11"/>
        <v>#REF!</v>
      </c>
      <c r="AC26" t="e">
        <f>#REF!*100</f>
        <v>#REF!</v>
      </c>
      <c r="AE26" t="e">
        <f t="shared" si="12"/>
        <v>#REF!</v>
      </c>
      <c r="AF26" t="e">
        <f>-SUM($AE$3:AE26)*W26</f>
        <v>#REF!</v>
      </c>
      <c r="AG26" s="112" t="e">
        <f t="shared" si="13"/>
        <v>#REF!</v>
      </c>
      <c r="AH26" t="e">
        <f t="shared" si="6"/>
        <v>#REF!</v>
      </c>
      <c r="AJ26">
        <v>24</v>
      </c>
      <c r="AK26" t="e">
        <f ca="1">PRODUCT(BB26:OFFSET(BA26,0,AJ26))</f>
        <v>#REF!</v>
      </c>
      <c r="AL26" t="e">
        <f ca="1">MIN((AN26/H26)*(AK26),(1+'F5 Foreign GDP'!$H$2/100)*AK26)</f>
        <v>#REF!</v>
      </c>
      <c r="AN26" s="190">
        <v>22883.25390625</v>
      </c>
      <c r="AO26" s="190">
        <v>158.62437438964844</v>
      </c>
      <c r="AP26" s="190">
        <v>135.01689147949219</v>
      </c>
      <c r="AQ26" s="190">
        <v>4.3601922988891602</v>
      </c>
      <c r="AR26" s="91"/>
      <c r="AS26" s="93" t="e">
        <f t="shared" ca="1" si="8"/>
        <v>#REF!</v>
      </c>
      <c r="AT26" t="e">
        <f t="shared" ca="1" si="3"/>
        <v>#REF!</v>
      </c>
      <c r="AU26" s="94"/>
      <c r="AV26" s="94"/>
      <c r="BB26">
        <v>1</v>
      </c>
      <c r="BC26">
        <v>1</v>
      </c>
      <c r="BD26">
        <v>1</v>
      </c>
      <c r="BE26" t="e">
        <v>#REF!</v>
      </c>
      <c r="BF26" t="e">
        <v>#REF!</v>
      </c>
      <c r="BG26" t="e">
        <v>#REF!</v>
      </c>
      <c r="BH26" t="e">
        <v>#REF!</v>
      </c>
      <c r="BI26" t="e">
        <v>#REF!</v>
      </c>
      <c r="BJ26" t="e">
        <v>#REF!</v>
      </c>
      <c r="BK26" t="e">
        <v>#REF!</v>
      </c>
      <c r="BL26" t="e">
        <v>#REF!</v>
      </c>
      <c r="BM26" t="e">
        <v>#REF!</v>
      </c>
      <c r="BN26" t="e">
        <v>#REF!</v>
      </c>
      <c r="BO26" t="e">
        <v>#REF!</v>
      </c>
      <c r="BP26" t="e">
        <v>#REF!</v>
      </c>
      <c r="BQ26" t="e">
        <v>#REF!</v>
      </c>
      <c r="BR26" t="e">
        <v>#REF!</v>
      </c>
      <c r="BS26" t="e">
        <v>#REF!</v>
      </c>
      <c r="BT26" t="e">
        <v>#REF!</v>
      </c>
      <c r="BU26" t="e">
        <v>#REF!</v>
      </c>
      <c r="BV26" t="e">
        <v>#REF!</v>
      </c>
      <c r="BW26" t="e">
        <v>#REF!</v>
      </c>
      <c r="BX26" t="e">
        <v>#REF!</v>
      </c>
      <c r="BY26" t="e">
        <v>#REF!</v>
      </c>
      <c r="BZ26" t="e">
        <v>#REF!</v>
      </c>
      <c r="CA26" t="e">
        <v>#REF!</v>
      </c>
      <c r="CB26" t="e">
        <v>#REF!</v>
      </c>
      <c r="CC26" t="e">
        <v>#REF!</v>
      </c>
      <c r="CD26" t="e">
        <v>#REF!</v>
      </c>
      <c r="CE26" t="e">
        <v>#REF!</v>
      </c>
      <c r="CF26" t="e">
        <v>#REF!</v>
      </c>
      <c r="CG26" t="e">
        <v>#REF!</v>
      </c>
      <c r="CH26" t="e">
        <v>#REF!</v>
      </c>
      <c r="CI26" t="e">
        <v>#REF!</v>
      </c>
      <c r="CJ26" t="e">
        <v>#REF!</v>
      </c>
      <c r="CK26" t="e">
        <v>#REF!</v>
      </c>
      <c r="CL26" t="e">
        <v>#REF!</v>
      </c>
      <c r="CM26" t="e">
        <v>#REF!</v>
      </c>
      <c r="CN26" t="e">
        <v>#REF!</v>
      </c>
      <c r="CO26" t="e">
        <v>#REF!</v>
      </c>
      <c r="CP26" t="e">
        <v>#REF!</v>
      </c>
      <c r="CQ26" t="e">
        <v>#REF!</v>
      </c>
      <c r="CR26" t="e">
        <v>#REF!</v>
      </c>
      <c r="CS26" t="e">
        <v>#REF!</v>
      </c>
      <c r="CT26" t="e">
        <v>#REF!</v>
      </c>
      <c r="CU26" t="e">
        <v>#REF!</v>
      </c>
    </row>
    <row r="27" spans="1:99">
      <c r="A27" s="156">
        <v>47757</v>
      </c>
      <c r="B27" s="157" t="e">
        <f t="shared" ca="1" si="1"/>
        <v>#REF!</v>
      </c>
      <c r="C27">
        <v>-0.35</v>
      </c>
      <c r="D27" t="e">
        <f>#REF!/#REF!</f>
        <v>#REF!</v>
      </c>
      <c r="E27" s="94">
        <f t="shared" si="0"/>
        <v>1.3871219553259539</v>
      </c>
      <c r="F27" t="e">
        <f t="shared" ca="1" si="9"/>
        <v>#REF!</v>
      </c>
      <c r="G27" s="90">
        <v>47665</v>
      </c>
      <c r="H27" s="131">
        <v>23027.15234375</v>
      </c>
      <c r="I27" s="131">
        <v>157.29939270019531</v>
      </c>
      <c r="J27" s="132">
        <v>135.22010803222656</v>
      </c>
      <c r="K27" s="132">
        <v>4.2583150863647461</v>
      </c>
      <c r="L27" s="133">
        <v>2.6242721080780029</v>
      </c>
      <c r="M27" s="134">
        <v>16.214809417724609</v>
      </c>
      <c r="N27" s="133">
        <v>2.6968293190002441</v>
      </c>
      <c r="O27" s="135">
        <v>0.26214194297790527</v>
      </c>
      <c r="P27" s="136">
        <v>3.0999999046325684</v>
      </c>
      <c r="Q27" s="92"/>
      <c r="R27" s="92"/>
      <c r="S27" s="109">
        <v>3815.251220703125</v>
      </c>
      <c r="T27" s="109">
        <v>41831.0703125</v>
      </c>
      <c r="U27" s="109">
        <v>37302.98046875</v>
      </c>
      <c r="V27" s="109">
        <v>1363.5762939453125</v>
      </c>
      <c r="W27" s="111">
        <f t="shared" si="10"/>
        <v>8.2058118439297979E-3</v>
      </c>
      <c r="X27" s="109"/>
      <c r="Y27" s="92"/>
      <c r="Z27" s="92" t="e">
        <f t="shared" si="4"/>
        <v>#REF!</v>
      </c>
      <c r="AA27" s="92"/>
      <c r="AB27" s="98" t="e">
        <f t="shared" si="11"/>
        <v>#REF!</v>
      </c>
      <c r="AC27" t="e">
        <f>#REF!*100</f>
        <v>#REF!</v>
      </c>
      <c r="AE27" t="e">
        <f t="shared" si="12"/>
        <v>#REF!</v>
      </c>
      <c r="AF27" t="e">
        <f>-SUM($AE$3:AE27)*W27</f>
        <v>#REF!</v>
      </c>
      <c r="AG27" s="112" t="e">
        <f t="shared" si="13"/>
        <v>#REF!</v>
      </c>
      <c r="AH27" t="e">
        <f t="shared" si="6"/>
        <v>#REF!</v>
      </c>
      <c r="AJ27">
        <v>25</v>
      </c>
      <c r="AK27" t="e">
        <f ca="1">PRODUCT(BB27:OFFSET(BA27,0,AJ27))</f>
        <v>#REF!</v>
      </c>
      <c r="AL27" t="e">
        <f ca="1">MIN((AN27/H27)*(AK27),(1+'F5 Foreign GDP'!$H$2/100)*AK27)</f>
        <v>#REF!</v>
      </c>
      <c r="AN27" s="190">
        <v>22977.87890625</v>
      </c>
      <c r="AO27" s="190">
        <v>159.45307922363281</v>
      </c>
      <c r="AP27" s="190">
        <v>135.163818359375</v>
      </c>
      <c r="AQ27" s="190">
        <v>4.3204455375671387</v>
      </c>
      <c r="AR27" s="91"/>
      <c r="AS27" s="93" t="e">
        <f t="shared" ca="1" si="8"/>
        <v>#REF!</v>
      </c>
      <c r="AT27" t="e">
        <f t="shared" ca="1" si="3"/>
        <v>#REF!</v>
      </c>
      <c r="AU27" s="94"/>
      <c r="AV27" s="94"/>
      <c r="AY27" t="e">
        <f ca="1">AVERAGE(B23:B26)-AY23-AY19-AY15-AY11-AY7</f>
        <v>#REF!</v>
      </c>
      <c r="AZ27">
        <f>AVERAGE(C23:C26)-AZ23-AZ19-AZ15-AZ11-AZ7</f>
        <v>0</v>
      </c>
      <c r="BB27">
        <v>1</v>
      </c>
      <c r="BC27">
        <v>1</v>
      </c>
      <c r="BD27">
        <v>1</v>
      </c>
      <c r="BE27" t="e">
        <v>#REF!</v>
      </c>
      <c r="BF27" t="e">
        <v>#REF!</v>
      </c>
      <c r="BG27" t="e">
        <v>#REF!</v>
      </c>
      <c r="BH27" t="e">
        <v>#REF!</v>
      </c>
      <c r="BI27" t="e">
        <v>#REF!</v>
      </c>
      <c r="BJ27" t="e">
        <v>#REF!</v>
      </c>
      <c r="BK27" t="e">
        <v>#REF!</v>
      </c>
      <c r="BL27" t="e">
        <v>#REF!</v>
      </c>
      <c r="BM27" t="e">
        <v>#REF!</v>
      </c>
      <c r="BN27" t="e">
        <v>#REF!</v>
      </c>
      <c r="BO27" t="e">
        <v>#REF!</v>
      </c>
      <c r="BP27" t="e">
        <v>#REF!</v>
      </c>
      <c r="BQ27" t="e">
        <v>#REF!</v>
      </c>
      <c r="BR27" t="e">
        <v>#REF!</v>
      </c>
      <c r="BS27" t="e">
        <v>#REF!</v>
      </c>
      <c r="BT27" t="e">
        <v>#REF!</v>
      </c>
      <c r="BU27" t="e">
        <v>#REF!</v>
      </c>
      <c r="BV27" t="e">
        <v>#REF!</v>
      </c>
      <c r="BW27" t="e">
        <v>#REF!</v>
      </c>
      <c r="BX27" t="e">
        <v>#REF!</v>
      </c>
      <c r="BY27" t="e">
        <v>#REF!</v>
      </c>
      <c r="BZ27" t="e">
        <v>#REF!</v>
      </c>
      <c r="CA27" t="e">
        <v>#REF!</v>
      </c>
      <c r="CB27" t="e">
        <v>#REF!</v>
      </c>
      <c r="CC27" t="e">
        <v>#REF!</v>
      </c>
      <c r="CD27" t="e">
        <v>#REF!</v>
      </c>
      <c r="CE27" t="e">
        <v>#REF!</v>
      </c>
      <c r="CF27" t="e">
        <v>#REF!</v>
      </c>
      <c r="CG27" t="e">
        <v>#REF!</v>
      </c>
      <c r="CH27" t="e">
        <v>#REF!</v>
      </c>
      <c r="CI27" t="e">
        <v>#REF!</v>
      </c>
      <c r="CJ27" t="e">
        <v>#REF!</v>
      </c>
      <c r="CK27" t="e">
        <v>#REF!</v>
      </c>
      <c r="CL27" t="e">
        <v>#REF!</v>
      </c>
      <c r="CM27" t="e">
        <v>#REF!</v>
      </c>
      <c r="CN27" t="e">
        <v>#REF!</v>
      </c>
      <c r="CO27" t="e">
        <v>#REF!</v>
      </c>
      <c r="CP27" t="e">
        <v>#REF!</v>
      </c>
      <c r="CQ27" t="e">
        <v>#REF!</v>
      </c>
      <c r="CR27" t="e">
        <v>#REF!</v>
      </c>
      <c r="CS27" t="e">
        <v>#REF!</v>
      </c>
      <c r="CT27" t="e">
        <v>#REF!</v>
      </c>
      <c r="CU27" t="e">
        <v>#REF!</v>
      </c>
    </row>
    <row r="28" spans="1:99">
      <c r="A28" s="156">
        <v>47849</v>
      </c>
      <c r="B28" s="157" t="e">
        <f t="shared" ca="1" si="1"/>
        <v>#REF!</v>
      </c>
      <c r="C28">
        <v>-0.35</v>
      </c>
      <c r="D28" t="e">
        <f>D27+(D31-D27)/4</f>
        <v>#REF!</v>
      </c>
      <c r="E28" s="94">
        <f t="shared" si="0"/>
        <v>1.4026215506878881</v>
      </c>
      <c r="F28" t="e">
        <f t="shared" ca="1" si="9"/>
        <v>#REF!</v>
      </c>
      <c r="G28" s="90">
        <v>47757</v>
      </c>
      <c r="H28" s="137">
        <v>23121.48828125</v>
      </c>
      <c r="I28" s="137">
        <v>158.05813598632813</v>
      </c>
      <c r="J28" s="138">
        <v>135.36538696289063</v>
      </c>
      <c r="K28" s="138">
        <v>4.2524242401123047</v>
      </c>
      <c r="L28" s="139">
        <v>2.6233615875244141</v>
      </c>
      <c r="M28" s="140">
        <v>16.197315216064453</v>
      </c>
      <c r="N28" s="139">
        <v>2.6966390609741211</v>
      </c>
      <c r="O28" s="141">
        <v>0.26245450973510742</v>
      </c>
      <c r="P28" s="142">
        <v>3.0999999046325684</v>
      </c>
      <c r="Q28" s="92"/>
      <c r="R28" s="92"/>
      <c r="S28" s="110">
        <v>3849.904052734375</v>
      </c>
      <c r="T28" s="110">
        <v>42411.37890625</v>
      </c>
      <c r="U28" s="110">
        <v>37667.140625</v>
      </c>
      <c r="V28" s="110">
        <v>1377.4893798828125</v>
      </c>
      <c r="W28" s="111">
        <f t="shared" si="10"/>
        <v>8.1757438954910052E-3</v>
      </c>
      <c r="X28" s="109"/>
      <c r="Y28" s="92"/>
      <c r="Z28" s="92" t="e">
        <f t="shared" si="4"/>
        <v>#REF!</v>
      </c>
      <c r="AA28" s="92"/>
      <c r="AB28" s="98" t="e">
        <f t="shared" si="11"/>
        <v>#REF!</v>
      </c>
      <c r="AC28" t="e">
        <f>#REF!*100</f>
        <v>#REF!</v>
      </c>
      <c r="AE28" t="e">
        <f t="shared" si="12"/>
        <v>#REF!</v>
      </c>
      <c r="AF28" t="e">
        <f>-SUM($AE$3:AE28)*W28</f>
        <v>#REF!</v>
      </c>
      <c r="AG28" s="112" t="e">
        <f t="shared" si="13"/>
        <v>#REF!</v>
      </c>
      <c r="AH28" t="e">
        <f t="shared" si="6"/>
        <v>#REF!</v>
      </c>
      <c r="AJ28">
        <v>26</v>
      </c>
      <c r="AK28" t="e">
        <f ca="1">PRODUCT(BB28:OFFSET(BA28,0,AJ28))</f>
        <v>#REF!</v>
      </c>
      <c r="AL28" t="e">
        <f ca="1">MIN((AN28/H28)*(AK28),(1+'F5 Foreign GDP'!$H$2/100)*AK28)</f>
        <v>#REF!</v>
      </c>
      <c r="AN28" s="191">
        <v>23074.15234375</v>
      </c>
      <c r="AO28" s="191">
        <v>160.25059509277344</v>
      </c>
      <c r="AP28" s="191">
        <v>135.32833862304688</v>
      </c>
      <c r="AQ28" s="191">
        <v>4.3078770637512207</v>
      </c>
      <c r="AR28" s="91"/>
      <c r="AS28" s="93" t="e">
        <f t="shared" ca="1" si="8"/>
        <v>#REF!</v>
      </c>
      <c r="AT28" t="e">
        <f t="shared" ca="1" si="3"/>
        <v>#REF!</v>
      </c>
      <c r="AU28" s="94"/>
      <c r="AV28" s="94"/>
      <c r="BB28">
        <v>1</v>
      </c>
      <c r="BC28">
        <v>1</v>
      </c>
      <c r="BD28">
        <v>1</v>
      </c>
      <c r="BE28" t="e">
        <v>#REF!</v>
      </c>
      <c r="BF28" t="e">
        <v>#REF!</v>
      </c>
      <c r="BG28" t="e">
        <v>#REF!</v>
      </c>
      <c r="BH28" t="e">
        <v>#REF!</v>
      </c>
      <c r="BI28" t="e">
        <v>#REF!</v>
      </c>
      <c r="BJ28" t="e">
        <v>#REF!</v>
      </c>
      <c r="BK28" t="e">
        <v>#REF!</v>
      </c>
      <c r="BL28" t="e">
        <v>#REF!</v>
      </c>
      <c r="BM28" t="e">
        <v>#REF!</v>
      </c>
      <c r="BN28" t="e">
        <v>#REF!</v>
      </c>
      <c r="BO28" t="e">
        <v>#REF!</v>
      </c>
      <c r="BP28" t="e">
        <v>#REF!</v>
      </c>
      <c r="BQ28" t="e">
        <v>#REF!</v>
      </c>
      <c r="BR28" t="e">
        <v>#REF!</v>
      </c>
      <c r="BS28" t="e">
        <v>#REF!</v>
      </c>
      <c r="BT28" t="e">
        <v>#REF!</v>
      </c>
      <c r="BU28" t="e">
        <v>#REF!</v>
      </c>
      <c r="BV28" t="e">
        <v>#REF!</v>
      </c>
      <c r="BW28" t="e">
        <v>#REF!</v>
      </c>
      <c r="BX28" t="e">
        <v>#REF!</v>
      </c>
      <c r="BY28" t="e">
        <v>#REF!</v>
      </c>
      <c r="BZ28" t="e">
        <v>#REF!</v>
      </c>
      <c r="CA28" t="e">
        <v>#REF!</v>
      </c>
      <c r="CB28" t="e">
        <v>#REF!</v>
      </c>
      <c r="CC28" t="e">
        <v>#REF!</v>
      </c>
      <c r="CD28" t="e">
        <v>#REF!</v>
      </c>
      <c r="CE28" t="e">
        <v>#REF!</v>
      </c>
      <c r="CF28" t="e">
        <v>#REF!</v>
      </c>
      <c r="CG28" t="e">
        <v>#REF!</v>
      </c>
      <c r="CH28" t="e">
        <v>#REF!</v>
      </c>
      <c r="CI28" t="e">
        <v>#REF!</v>
      </c>
      <c r="CJ28" t="e">
        <v>#REF!</v>
      </c>
      <c r="CK28" t="e">
        <v>#REF!</v>
      </c>
      <c r="CL28" t="e">
        <v>#REF!</v>
      </c>
      <c r="CM28" t="e">
        <v>#REF!</v>
      </c>
      <c r="CN28" t="e">
        <v>#REF!</v>
      </c>
      <c r="CO28" t="e">
        <v>#REF!</v>
      </c>
      <c r="CP28" t="e">
        <v>#REF!</v>
      </c>
      <c r="CQ28" t="e">
        <v>#REF!</v>
      </c>
      <c r="CR28" t="e">
        <v>#REF!</v>
      </c>
      <c r="CS28" t="e">
        <v>#REF!</v>
      </c>
      <c r="CT28" t="e">
        <v>#REF!</v>
      </c>
      <c r="CU28" t="e">
        <v>#REF!</v>
      </c>
    </row>
    <row r="29" spans="1:99">
      <c r="A29" s="156">
        <v>47939</v>
      </c>
      <c r="B29" s="157" t="e">
        <f t="shared" ca="1" si="1"/>
        <v>#REF!</v>
      </c>
      <c r="C29">
        <v>-0.35</v>
      </c>
      <c r="D29" t="e">
        <f>D28+(D31-D27)/4</f>
        <v>#REF!</v>
      </c>
      <c r="E29" s="94">
        <f t="shared" si="0"/>
        <v>1.4194263889309777</v>
      </c>
      <c r="F29" t="e">
        <f t="shared" ca="1" si="9"/>
        <v>#REF!</v>
      </c>
      <c r="G29" s="90">
        <v>47849</v>
      </c>
      <c r="H29" s="131">
        <v>23217.5625</v>
      </c>
      <c r="I29" s="131">
        <v>158.84083557128906</v>
      </c>
      <c r="J29" s="132">
        <v>135.49919128417969</v>
      </c>
      <c r="K29" s="132">
        <v>4.2450046539306641</v>
      </c>
      <c r="L29" s="133">
        <v>2.6229074001312256</v>
      </c>
      <c r="M29" s="134">
        <v>16.18647575378418</v>
      </c>
      <c r="N29" s="133">
        <v>2.6963188648223877</v>
      </c>
      <c r="O29" s="135">
        <v>0.2622835636138916</v>
      </c>
      <c r="P29" s="136">
        <v>3.0999999046325684</v>
      </c>
      <c r="Q29" s="92"/>
      <c r="R29" s="92"/>
      <c r="S29" s="109">
        <v>3883.87158203125</v>
      </c>
      <c r="T29" s="109">
        <v>43005.28515625</v>
      </c>
      <c r="U29" s="109">
        <v>38039.79296875</v>
      </c>
      <c r="V29" s="109">
        <v>1391.861572265625</v>
      </c>
      <c r="W29" s="111">
        <f t="shared" si="10"/>
        <v>8.1474826226366655E-3</v>
      </c>
      <c r="X29" s="109"/>
      <c r="Y29" s="92"/>
      <c r="Z29" s="92" t="e">
        <f t="shared" si="4"/>
        <v>#REF!</v>
      </c>
      <c r="AA29" s="92"/>
      <c r="AB29" s="98" t="e">
        <f t="shared" si="11"/>
        <v>#REF!</v>
      </c>
      <c r="AC29" t="e">
        <f>#REF!*100</f>
        <v>#REF!</v>
      </c>
      <c r="AE29" t="e">
        <f t="shared" si="12"/>
        <v>#REF!</v>
      </c>
      <c r="AF29" t="e">
        <f>-SUM($AE$3:AE29)*W29</f>
        <v>#REF!</v>
      </c>
      <c r="AG29" s="112" t="e">
        <f t="shared" si="13"/>
        <v>#REF!</v>
      </c>
      <c r="AH29" t="e">
        <f t="shared" si="6"/>
        <v>#REF!</v>
      </c>
      <c r="AJ29">
        <v>27</v>
      </c>
      <c r="AK29" t="e">
        <f ca="1">PRODUCT(BB29:OFFSET(BA29,0,AJ29))</f>
        <v>#REF!</v>
      </c>
      <c r="AL29" t="e">
        <f ca="1">MIN((AN29/H29)*(AK29),(1+'F5 Foreign GDP'!$H$2/100)*AK29)</f>
        <v>#REF!</v>
      </c>
      <c r="AN29" s="190">
        <v>23176.181640625</v>
      </c>
      <c r="AO29" s="190">
        <v>161.06877136230469</v>
      </c>
      <c r="AP29" s="190">
        <v>135.48829650878906</v>
      </c>
      <c r="AQ29" s="190">
        <v>4.2900419235229492</v>
      </c>
      <c r="AR29" s="91"/>
      <c r="AS29" s="93" t="e">
        <f t="shared" ca="1" si="8"/>
        <v>#REF!</v>
      </c>
      <c r="AT29" t="e">
        <f t="shared" ca="1" si="3"/>
        <v>#REF!</v>
      </c>
      <c r="AU29" s="94"/>
      <c r="AV29" s="94"/>
      <c r="BB29">
        <v>1</v>
      </c>
      <c r="BC29">
        <v>1</v>
      </c>
      <c r="BD29">
        <v>1</v>
      </c>
      <c r="BE29" t="e">
        <v>#REF!</v>
      </c>
      <c r="BF29" t="e">
        <v>#REF!</v>
      </c>
      <c r="BG29" t="e">
        <v>#REF!</v>
      </c>
      <c r="BH29" t="e">
        <v>#REF!</v>
      </c>
      <c r="BI29" t="e">
        <v>#REF!</v>
      </c>
      <c r="BJ29" t="e">
        <v>#REF!</v>
      </c>
      <c r="BK29" t="e">
        <v>#REF!</v>
      </c>
      <c r="BL29" t="e">
        <v>#REF!</v>
      </c>
      <c r="BM29" t="e">
        <v>#REF!</v>
      </c>
      <c r="BN29" t="e">
        <v>#REF!</v>
      </c>
      <c r="BO29" t="e">
        <v>#REF!</v>
      </c>
      <c r="BP29" t="e">
        <v>#REF!</v>
      </c>
      <c r="BQ29" t="e">
        <v>#REF!</v>
      </c>
      <c r="BR29" t="e">
        <v>#REF!</v>
      </c>
      <c r="BS29" t="e">
        <v>#REF!</v>
      </c>
      <c r="BT29" t="e">
        <v>#REF!</v>
      </c>
      <c r="BU29" t="e">
        <v>#REF!</v>
      </c>
      <c r="BV29" t="e">
        <v>#REF!</v>
      </c>
      <c r="BW29" t="e">
        <v>#REF!</v>
      </c>
      <c r="BX29" t="e">
        <v>#REF!</v>
      </c>
      <c r="BY29" t="e">
        <v>#REF!</v>
      </c>
      <c r="BZ29" t="e">
        <v>#REF!</v>
      </c>
      <c r="CA29" t="e">
        <v>#REF!</v>
      </c>
      <c r="CB29" t="e">
        <v>#REF!</v>
      </c>
      <c r="CC29" t="e">
        <v>#REF!</v>
      </c>
      <c r="CD29" t="e">
        <v>#REF!</v>
      </c>
      <c r="CE29" t="e">
        <v>#REF!</v>
      </c>
      <c r="CF29" t="e">
        <v>#REF!</v>
      </c>
      <c r="CG29" t="e">
        <v>#REF!</v>
      </c>
      <c r="CH29" t="e">
        <v>#REF!</v>
      </c>
      <c r="CI29" t="e">
        <v>#REF!</v>
      </c>
      <c r="CJ29" t="e">
        <v>#REF!</v>
      </c>
      <c r="CK29" t="e">
        <v>#REF!</v>
      </c>
      <c r="CL29" t="e">
        <v>#REF!</v>
      </c>
      <c r="CM29" t="e">
        <v>#REF!</v>
      </c>
      <c r="CN29" t="e">
        <v>#REF!</v>
      </c>
      <c r="CO29" t="e">
        <v>#REF!</v>
      </c>
      <c r="CP29" t="e">
        <v>#REF!</v>
      </c>
      <c r="CQ29" t="e">
        <v>#REF!</v>
      </c>
      <c r="CR29" t="e">
        <v>#REF!</v>
      </c>
      <c r="CS29" t="e">
        <v>#REF!</v>
      </c>
      <c r="CT29" t="e">
        <v>#REF!</v>
      </c>
      <c r="CU29" t="e">
        <v>#REF!</v>
      </c>
    </row>
    <row r="30" spans="1:99">
      <c r="A30" s="156">
        <v>48030</v>
      </c>
      <c r="B30" s="157" t="e">
        <f t="shared" ca="1" si="1"/>
        <v>#REF!</v>
      </c>
      <c r="C30">
        <v>-0.35</v>
      </c>
      <c r="D30" t="e">
        <f>D29+(D31-D27)/4</f>
        <v>#REF!</v>
      </c>
      <c r="E30" s="94">
        <f t="shared" si="0"/>
        <v>1.4379518862953633</v>
      </c>
      <c r="F30" t="e">
        <f t="shared" ca="1" si="9"/>
        <v>#REF!</v>
      </c>
      <c r="G30" s="90">
        <v>47939</v>
      </c>
      <c r="H30" s="131">
        <v>23314.712890625</v>
      </c>
      <c r="I30" s="131">
        <v>159.62843322753906</v>
      </c>
      <c r="J30" s="132">
        <v>135.61874389648438</v>
      </c>
      <c r="K30" s="132">
        <v>4.2366862297058105</v>
      </c>
      <c r="L30" s="133">
        <v>2.6226444244384766</v>
      </c>
      <c r="M30" s="134">
        <v>16.179759979248047</v>
      </c>
      <c r="N30" s="133">
        <v>2.6964418888092041</v>
      </c>
      <c r="O30" s="135">
        <v>0.26198339462280273</v>
      </c>
      <c r="P30" s="136">
        <v>3.0999999046325684</v>
      </c>
      <c r="Q30" s="92"/>
      <c r="R30" s="92"/>
      <c r="S30" s="109">
        <v>3918.122314453125</v>
      </c>
      <c r="T30" s="109">
        <v>43603.75390625</v>
      </c>
      <c r="U30" s="109">
        <v>38417.83203125</v>
      </c>
      <c r="V30" s="109">
        <v>1406.736572265625</v>
      </c>
      <c r="W30" s="111">
        <f t="shared" si="10"/>
        <v>8.1211879700597792E-3</v>
      </c>
      <c r="X30" s="109"/>
      <c r="Y30" s="92"/>
      <c r="Z30" s="92" t="e">
        <f t="shared" si="4"/>
        <v>#REF!</v>
      </c>
      <c r="AA30" s="92"/>
      <c r="AB30" s="98" t="e">
        <f t="shared" si="11"/>
        <v>#REF!</v>
      </c>
      <c r="AC30" t="e">
        <f>#REF!*100</f>
        <v>#REF!</v>
      </c>
      <c r="AE30" t="e">
        <f t="shared" si="12"/>
        <v>#REF!</v>
      </c>
      <c r="AF30" t="e">
        <f>-SUM($AE$3:AE30)*W30</f>
        <v>#REF!</v>
      </c>
      <c r="AG30" s="112" t="e">
        <f t="shared" si="13"/>
        <v>#REF!</v>
      </c>
      <c r="AH30" t="e">
        <f t="shared" si="6"/>
        <v>#REF!</v>
      </c>
      <c r="AJ30">
        <v>28</v>
      </c>
      <c r="AK30" t="e">
        <f ca="1">PRODUCT(BB30:OFFSET(BA30,0,AJ30))</f>
        <v>#REF!</v>
      </c>
      <c r="AL30" t="e">
        <f ca="1">MIN((AN30/H30)*(AK30),(1+'F5 Foreign GDP'!$H$2/100)*AK30)</f>
        <v>#REF!</v>
      </c>
      <c r="AN30" s="190">
        <v>23280.146484375</v>
      </c>
      <c r="AO30" s="190">
        <v>161.89424133300781</v>
      </c>
      <c r="AP30" s="190">
        <v>135.64280700683594</v>
      </c>
      <c r="AQ30" s="190">
        <v>4.2667155265808105</v>
      </c>
      <c r="AR30" s="91"/>
      <c r="AS30" s="93" t="e">
        <f t="shared" ca="1" si="8"/>
        <v>#REF!</v>
      </c>
      <c r="AT30" t="e">
        <f t="shared" ca="1" si="3"/>
        <v>#REF!</v>
      </c>
      <c r="AU30" s="94"/>
      <c r="AV30" s="94"/>
      <c r="BB30">
        <v>1</v>
      </c>
      <c r="BC30">
        <v>1</v>
      </c>
      <c r="BD30">
        <v>1</v>
      </c>
      <c r="BE30" t="e">
        <v>#REF!</v>
      </c>
      <c r="BF30" t="e">
        <v>#REF!</v>
      </c>
      <c r="BG30" t="e">
        <v>#REF!</v>
      </c>
      <c r="BH30" t="e">
        <v>#REF!</v>
      </c>
      <c r="BI30" t="e">
        <v>#REF!</v>
      </c>
      <c r="BJ30" t="e">
        <v>#REF!</v>
      </c>
      <c r="BK30" t="e">
        <v>#REF!</v>
      </c>
      <c r="BL30" t="e">
        <v>#REF!</v>
      </c>
      <c r="BM30" t="e">
        <v>#REF!</v>
      </c>
      <c r="BN30" t="e">
        <v>#REF!</v>
      </c>
      <c r="BO30" t="e">
        <v>#REF!</v>
      </c>
      <c r="BP30" t="e">
        <v>#REF!</v>
      </c>
      <c r="BQ30" t="e">
        <v>#REF!</v>
      </c>
      <c r="BR30" t="e">
        <v>#REF!</v>
      </c>
      <c r="BS30" t="e">
        <v>#REF!</v>
      </c>
      <c r="BT30" t="e">
        <v>#REF!</v>
      </c>
      <c r="BU30" t="e">
        <v>#REF!</v>
      </c>
      <c r="BV30" t="e">
        <v>#REF!</v>
      </c>
      <c r="BW30" t="e">
        <v>#REF!</v>
      </c>
      <c r="BX30" t="e">
        <v>#REF!</v>
      </c>
      <c r="BY30" t="e">
        <v>#REF!</v>
      </c>
      <c r="BZ30" t="e">
        <v>#REF!</v>
      </c>
      <c r="CA30" t="e">
        <v>#REF!</v>
      </c>
      <c r="CB30" t="e">
        <v>#REF!</v>
      </c>
      <c r="CC30" t="e">
        <v>#REF!</v>
      </c>
      <c r="CD30" t="e">
        <v>#REF!</v>
      </c>
      <c r="CE30" t="e">
        <v>#REF!</v>
      </c>
      <c r="CF30" t="e">
        <v>#REF!</v>
      </c>
      <c r="CG30" t="e">
        <v>#REF!</v>
      </c>
      <c r="CH30" t="e">
        <v>#REF!</v>
      </c>
      <c r="CI30" t="e">
        <v>#REF!</v>
      </c>
      <c r="CJ30" t="e">
        <v>#REF!</v>
      </c>
      <c r="CK30" t="e">
        <v>#REF!</v>
      </c>
      <c r="CL30" t="e">
        <v>#REF!</v>
      </c>
      <c r="CM30" t="e">
        <v>#REF!</v>
      </c>
      <c r="CN30" t="e">
        <v>#REF!</v>
      </c>
      <c r="CO30" t="e">
        <v>#REF!</v>
      </c>
      <c r="CP30" t="e">
        <v>#REF!</v>
      </c>
      <c r="CQ30" t="e">
        <v>#REF!</v>
      </c>
      <c r="CR30" t="e">
        <v>#REF!</v>
      </c>
      <c r="CS30" t="e">
        <v>#REF!</v>
      </c>
      <c r="CT30" t="e">
        <v>#REF!</v>
      </c>
      <c r="CU30" t="e">
        <v>#REF!</v>
      </c>
    </row>
    <row r="31" spans="1:99">
      <c r="A31" s="156">
        <v>48122</v>
      </c>
      <c r="B31" s="157" t="e">
        <f t="shared" ca="1" si="1"/>
        <v>#REF!</v>
      </c>
      <c r="C31">
        <v>-0.35</v>
      </c>
      <c r="D31" t="e">
        <f>#REF!/#REF!</f>
        <v>#REF!</v>
      </c>
      <c r="E31" s="94">
        <f t="shared" si="0"/>
        <v>1.4579108176874689</v>
      </c>
      <c r="F31" t="e">
        <f t="shared" ca="1" si="9"/>
        <v>#REF!</v>
      </c>
      <c r="G31" s="90">
        <v>48030</v>
      </c>
      <c r="H31" s="131">
        <v>23410.185546875</v>
      </c>
      <c r="I31" s="131">
        <v>160.43487548828125</v>
      </c>
      <c r="J31" s="132">
        <v>135.72273254394531</v>
      </c>
      <c r="K31" s="132">
        <v>4.2317185401916504</v>
      </c>
      <c r="L31" s="133">
        <v>2.6229643821716309</v>
      </c>
      <c r="M31" s="134">
        <v>16.175600051879883</v>
      </c>
      <c r="N31" s="133">
        <v>2.6963679790496826</v>
      </c>
      <c r="O31" s="135">
        <v>0.26180648803710938</v>
      </c>
      <c r="P31" s="136">
        <v>3.0999999046325684</v>
      </c>
      <c r="Q31" s="92"/>
      <c r="R31" s="92"/>
      <c r="S31" s="109">
        <v>3952.631591796875</v>
      </c>
      <c r="T31" s="109">
        <v>44206.3046875</v>
      </c>
      <c r="U31" s="109">
        <v>38798.9296875</v>
      </c>
      <c r="V31" s="109">
        <v>1421.9332275390625</v>
      </c>
      <c r="W31" s="111">
        <f t="shared" si="10"/>
        <v>8.0966420607779359E-3</v>
      </c>
      <c r="X31" s="109"/>
      <c r="Y31" s="92"/>
      <c r="Z31" s="92" t="e">
        <f t="shared" si="4"/>
        <v>#REF!</v>
      </c>
      <c r="AA31" s="92"/>
      <c r="AB31" s="98" t="e">
        <f t="shared" si="11"/>
        <v>#REF!</v>
      </c>
      <c r="AC31" t="e">
        <f>#REF!*100</f>
        <v>#REF!</v>
      </c>
      <c r="AE31" t="e">
        <f t="shared" si="12"/>
        <v>#REF!</v>
      </c>
      <c r="AF31" t="e">
        <f>-SUM($AE$3:AE31)*W31</f>
        <v>#REF!</v>
      </c>
      <c r="AG31" s="112" t="e">
        <f t="shared" si="13"/>
        <v>#REF!</v>
      </c>
      <c r="AH31" t="e">
        <f t="shared" si="6"/>
        <v>#REF!</v>
      </c>
      <c r="AJ31">
        <v>29</v>
      </c>
      <c r="AK31" t="e">
        <f ca="1">PRODUCT(BB31:OFFSET(BA31,0,AJ31))</f>
        <v>#REF!</v>
      </c>
      <c r="AL31" t="e">
        <f ca="1">MIN((AN31/H31)*(AK31),(1+'F5 Foreign GDP'!$H$2/100)*AK31)</f>
        <v>#REF!</v>
      </c>
      <c r="AN31" s="190">
        <v>23382.365234375</v>
      </c>
      <c r="AO31" s="190">
        <v>162.74185180664063</v>
      </c>
      <c r="AP31" s="190">
        <v>135.7890625</v>
      </c>
      <c r="AQ31" s="190">
        <v>4.2437305450439453</v>
      </c>
      <c r="AR31" s="91"/>
      <c r="AS31" s="93" t="e">
        <f t="shared" ca="1" si="8"/>
        <v>#REF!</v>
      </c>
      <c r="AT31" t="e">
        <f t="shared" ca="1" si="3"/>
        <v>#REF!</v>
      </c>
      <c r="AU31" s="94"/>
      <c r="AV31" s="94"/>
      <c r="AY31" t="e">
        <f ca="1">AVERAGE(B27:B30)-AY27-AY23-AY19-AY15-AY11-AY7</f>
        <v>#REF!</v>
      </c>
      <c r="AZ31">
        <f>AVERAGE(C27:C30)-AZ27-AZ23-AZ19-AZ15-AZ11-AZ7</f>
        <v>0</v>
      </c>
      <c r="BB31">
        <v>1</v>
      </c>
      <c r="BC31">
        <v>1</v>
      </c>
      <c r="BD31">
        <v>1</v>
      </c>
      <c r="BE31" t="e">
        <v>#REF!</v>
      </c>
      <c r="BF31" t="e">
        <v>#REF!</v>
      </c>
      <c r="BG31" t="e">
        <v>#REF!</v>
      </c>
      <c r="BH31" t="e">
        <v>#REF!</v>
      </c>
      <c r="BI31" t="e">
        <v>#REF!</v>
      </c>
      <c r="BJ31" t="e">
        <v>#REF!</v>
      </c>
      <c r="BK31" t="e">
        <v>#REF!</v>
      </c>
      <c r="BL31" t="e">
        <v>#REF!</v>
      </c>
      <c r="BM31" t="e">
        <v>#REF!</v>
      </c>
      <c r="BN31" t="e">
        <v>#REF!</v>
      </c>
      <c r="BO31" t="e">
        <v>#REF!</v>
      </c>
      <c r="BP31" t="e">
        <v>#REF!</v>
      </c>
      <c r="BQ31" t="e">
        <v>#REF!</v>
      </c>
      <c r="BR31" t="e">
        <v>#REF!</v>
      </c>
      <c r="BS31" t="e">
        <v>#REF!</v>
      </c>
      <c r="BT31" t="e">
        <v>#REF!</v>
      </c>
      <c r="BU31" t="e">
        <v>#REF!</v>
      </c>
      <c r="BV31" t="e">
        <v>#REF!</v>
      </c>
      <c r="BW31" t="e">
        <v>#REF!</v>
      </c>
      <c r="BX31" t="e">
        <v>#REF!</v>
      </c>
      <c r="BY31" t="e">
        <v>#REF!</v>
      </c>
      <c r="BZ31" t="e">
        <v>#REF!</v>
      </c>
      <c r="CA31" t="e">
        <v>#REF!</v>
      </c>
      <c r="CB31" t="e">
        <v>#REF!</v>
      </c>
      <c r="CC31" t="e">
        <v>#REF!</v>
      </c>
      <c r="CD31" t="e">
        <v>#REF!</v>
      </c>
      <c r="CE31" t="e">
        <v>#REF!</v>
      </c>
      <c r="CF31" t="e">
        <v>#REF!</v>
      </c>
      <c r="CG31" t="e">
        <v>#REF!</v>
      </c>
      <c r="CH31" t="e">
        <v>#REF!</v>
      </c>
      <c r="CI31" t="e">
        <v>#REF!</v>
      </c>
      <c r="CJ31" t="e">
        <v>#REF!</v>
      </c>
      <c r="CK31" t="e">
        <v>#REF!</v>
      </c>
      <c r="CL31" t="e">
        <v>#REF!</v>
      </c>
      <c r="CM31" t="e">
        <v>#REF!</v>
      </c>
      <c r="CN31" t="e">
        <v>#REF!</v>
      </c>
      <c r="CO31" t="e">
        <v>#REF!</v>
      </c>
      <c r="CP31" t="e">
        <v>#REF!</v>
      </c>
      <c r="CQ31" t="e">
        <v>#REF!</v>
      </c>
      <c r="CR31" t="e">
        <v>#REF!</v>
      </c>
      <c r="CS31" t="e">
        <v>#REF!</v>
      </c>
      <c r="CT31" t="e">
        <v>#REF!</v>
      </c>
      <c r="CU31" t="e">
        <v>#REF!</v>
      </c>
    </row>
    <row r="32" spans="1:99">
      <c r="A32" s="156">
        <v>48214</v>
      </c>
      <c r="B32" s="157" t="e">
        <f t="shared" ca="1" si="1"/>
        <v>#REF!</v>
      </c>
      <c r="C32">
        <v>-0.35</v>
      </c>
      <c r="D32" t="e">
        <f>D31+(D35-D31)/4</f>
        <v>#REF!</v>
      </c>
      <c r="E32" s="94">
        <f t="shared" si="0"/>
        <v>1.4796059267849326</v>
      </c>
      <c r="F32" t="e">
        <f t="shared" ca="1" si="9"/>
        <v>#REF!</v>
      </c>
      <c r="G32" s="90">
        <v>48122</v>
      </c>
      <c r="H32" s="137">
        <v>23505.876953125</v>
      </c>
      <c r="I32" s="137">
        <v>161.2496337890625</v>
      </c>
      <c r="J32" s="138">
        <v>135.81532287597656</v>
      </c>
      <c r="K32" s="138">
        <v>4.232243537902832</v>
      </c>
      <c r="L32" s="139">
        <v>2.6226787567138672</v>
      </c>
      <c r="M32" s="140">
        <v>16.173023223876953</v>
      </c>
      <c r="N32" s="139">
        <v>2.6964900493621826</v>
      </c>
      <c r="O32" s="141">
        <v>0.26187467575073242</v>
      </c>
      <c r="P32" s="142">
        <v>3.0999999046325684</v>
      </c>
      <c r="Q32" s="92"/>
      <c r="R32" s="92"/>
      <c r="S32" s="110">
        <v>3986.944580078125</v>
      </c>
      <c r="T32" s="110">
        <v>44812.953125</v>
      </c>
      <c r="U32" s="110">
        <v>39181.66015625</v>
      </c>
      <c r="V32" s="110">
        <v>1437.429931640625</v>
      </c>
      <c r="W32" s="111">
        <f t="shared" si="10"/>
        <v>8.073702067187884E-3</v>
      </c>
      <c r="X32" s="109"/>
      <c r="Y32" s="92"/>
      <c r="Z32" s="92" t="e">
        <f t="shared" si="4"/>
        <v>#REF!</v>
      </c>
      <c r="AA32" s="92"/>
      <c r="AB32" s="98" t="e">
        <f t="shared" si="11"/>
        <v>#REF!</v>
      </c>
      <c r="AC32" t="e">
        <f>#REF!*100</f>
        <v>#REF!</v>
      </c>
      <c r="AE32" t="e">
        <f t="shared" si="12"/>
        <v>#REF!</v>
      </c>
      <c r="AF32" t="e">
        <f>-SUM($AE$3:AE32)*W32</f>
        <v>#REF!</v>
      </c>
      <c r="AG32" s="112" t="e">
        <f t="shared" si="13"/>
        <v>#REF!</v>
      </c>
      <c r="AH32" t="e">
        <f t="shared" si="6"/>
        <v>#REF!</v>
      </c>
      <c r="AJ32">
        <v>30</v>
      </c>
      <c r="AK32" t="e">
        <f ca="1">PRODUCT(BB32:OFFSET(BA32,0,AJ32))</f>
        <v>#REF!</v>
      </c>
      <c r="AL32" t="e">
        <f ca="1">MIN((AN32/H32)*(AK32),(1+'F5 Foreign GDP'!$H$2/100)*AK32)</f>
        <v>#REF!</v>
      </c>
      <c r="AN32" s="191">
        <v>23484.048828125</v>
      </c>
      <c r="AO32" s="191">
        <v>163.60050964355469</v>
      </c>
      <c r="AP32" s="191">
        <v>135.92730712890625</v>
      </c>
      <c r="AQ32" s="191">
        <v>4.2251505851745605</v>
      </c>
      <c r="AR32" s="91"/>
      <c r="AS32" s="93" t="e">
        <f t="shared" ca="1" si="8"/>
        <v>#REF!</v>
      </c>
      <c r="AT32" t="e">
        <f t="shared" ca="1" si="3"/>
        <v>#REF!</v>
      </c>
      <c r="AU32" s="94"/>
      <c r="AV32" s="94"/>
      <c r="BB32">
        <v>1</v>
      </c>
      <c r="BC32">
        <v>1</v>
      </c>
      <c r="BD32">
        <v>1</v>
      </c>
      <c r="BE32" t="e">
        <v>#REF!</v>
      </c>
      <c r="BF32" t="e">
        <v>#REF!</v>
      </c>
      <c r="BG32" t="e">
        <v>#REF!</v>
      </c>
      <c r="BH32" t="e">
        <v>#REF!</v>
      </c>
      <c r="BI32" t="e">
        <v>#REF!</v>
      </c>
      <c r="BJ32" t="e">
        <v>#REF!</v>
      </c>
      <c r="BK32" t="e">
        <v>#REF!</v>
      </c>
      <c r="BL32" t="e">
        <v>#REF!</v>
      </c>
      <c r="BM32" t="e">
        <v>#REF!</v>
      </c>
      <c r="BN32" t="e">
        <v>#REF!</v>
      </c>
      <c r="BO32" t="e">
        <v>#REF!</v>
      </c>
      <c r="BP32" t="e">
        <v>#REF!</v>
      </c>
      <c r="BQ32" t="e">
        <v>#REF!</v>
      </c>
      <c r="BR32" t="e">
        <v>#REF!</v>
      </c>
      <c r="BS32" t="e">
        <v>#REF!</v>
      </c>
      <c r="BT32" t="e">
        <v>#REF!</v>
      </c>
      <c r="BU32" t="e">
        <v>#REF!</v>
      </c>
      <c r="BV32" t="e">
        <v>#REF!</v>
      </c>
      <c r="BW32" t="e">
        <v>#REF!</v>
      </c>
      <c r="BX32" t="e">
        <v>#REF!</v>
      </c>
      <c r="BY32" t="e">
        <v>#REF!</v>
      </c>
      <c r="BZ32" t="e">
        <v>#REF!</v>
      </c>
      <c r="CA32" t="e">
        <v>#REF!</v>
      </c>
      <c r="CB32" t="e">
        <v>#REF!</v>
      </c>
      <c r="CC32" t="e">
        <v>#REF!</v>
      </c>
      <c r="CD32" t="e">
        <v>#REF!</v>
      </c>
      <c r="CE32" t="e">
        <v>#REF!</v>
      </c>
      <c r="CF32" t="e">
        <v>#REF!</v>
      </c>
      <c r="CG32" t="e">
        <v>#REF!</v>
      </c>
      <c r="CH32" t="e">
        <v>#REF!</v>
      </c>
      <c r="CI32" t="e">
        <v>#REF!</v>
      </c>
      <c r="CJ32" t="e">
        <v>#REF!</v>
      </c>
      <c r="CK32" t="e">
        <v>#REF!</v>
      </c>
      <c r="CL32" t="e">
        <v>#REF!</v>
      </c>
      <c r="CM32" t="e">
        <v>#REF!</v>
      </c>
      <c r="CN32" t="e">
        <v>#REF!</v>
      </c>
      <c r="CO32" t="e">
        <v>#REF!</v>
      </c>
      <c r="CP32" t="e">
        <v>#REF!</v>
      </c>
      <c r="CQ32" t="e">
        <v>#REF!</v>
      </c>
      <c r="CR32" t="e">
        <v>#REF!</v>
      </c>
      <c r="CS32" t="e">
        <v>#REF!</v>
      </c>
      <c r="CT32" t="e">
        <v>#REF!</v>
      </c>
      <c r="CU32" t="e">
        <v>#REF!</v>
      </c>
    </row>
    <row r="33" spans="1:99">
      <c r="A33" s="156">
        <v>48305</v>
      </c>
      <c r="B33" s="157" t="e">
        <f t="shared" ca="1" si="1"/>
        <v>#REF!</v>
      </c>
      <c r="C33">
        <v>-0.35</v>
      </c>
      <c r="D33" t="e">
        <f>D32+(D35-D31)/4</f>
        <v>#REF!</v>
      </c>
      <c r="E33" s="94">
        <f t="shared" si="0"/>
        <v>1.5030459423587716</v>
      </c>
      <c r="F33" t="e">
        <f t="shared" ca="1" si="9"/>
        <v>#REF!</v>
      </c>
      <c r="G33" s="90">
        <v>48214</v>
      </c>
      <c r="H33" s="131">
        <v>23604.087890625</v>
      </c>
      <c r="I33" s="131">
        <v>162.05540466308594</v>
      </c>
      <c r="J33" s="132">
        <v>135.90171813964844</v>
      </c>
      <c r="K33" s="132">
        <v>4.2339105606079102</v>
      </c>
      <c r="L33" s="133">
        <v>2.6229538917541504</v>
      </c>
      <c r="M33" s="134">
        <v>16.171426773071289</v>
      </c>
      <c r="N33" s="133">
        <v>2.6963660717010498</v>
      </c>
      <c r="O33" s="135">
        <v>0.26127338409423828</v>
      </c>
      <c r="P33" s="136">
        <v>3.0999999046325684</v>
      </c>
      <c r="Q33" s="92"/>
      <c r="R33" s="92"/>
      <c r="S33" s="109">
        <v>4021.484619140625</v>
      </c>
      <c r="T33" s="109">
        <v>45433.6796875</v>
      </c>
      <c r="U33" s="109">
        <v>39570.109375</v>
      </c>
      <c r="V33" s="109">
        <v>1453.3822021484375</v>
      </c>
      <c r="W33" s="111">
        <f t="shared" si="10"/>
        <v>8.0522793862461452E-3</v>
      </c>
      <c r="X33" s="109"/>
      <c r="Y33" s="92"/>
      <c r="Z33" s="92" t="e">
        <f t="shared" si="4"/>
        <v>#REF!</v>
      </c>
      <c r="AA33" s="92"/>
      <c r="AB33" s="98" t="e">
        <f t="shared" si="11"/>
        <v>#REF!</v>
      </c>
      <c r="AC33" t="e">
        <f>#REF!*100</f>
        <v>#REF!</v>
      </c>
      <c r="AE33" t="e">
        <f t="shared" si="12"/>
        <v>#REF!</v>
      </c>
      <c r="AF33" t="e">
        <f>-SUM($AE$3:AE33)*W33</f>
        <v>#REF!</v>
      </c>
      <c r="AG33" s="112" t="e">
        <f t="shared" si="13"/>
        <v>#REF!</v>
      </c>
      <c r="AH33" t="e">
        <f t="shared" si="6"/>
        <v>#REF!</v>
      </c>
      <c r="AJ33">
        <v>31</v>
      </c>
      <c r="AK33" t="e">
        <f ca="1">PRODUCT(BB33:OFFSET(BA33,0,AJ33))</f>
        <v>#REF!</v>
      </c>
      <c r="AL33" t="e">
        <f ca="1">MIN((AN33/H33)*(AK33),(1+'F5 Foreign GDP'!$H$2/100)*AK33)</f>
        <v>#REF!</v>
      </c>
      <c r="AN33" s="190">
        <v>23587.005859375</v>
      </c>
      <c r="AO33" s="190">
        <v>164.45318603515625</v>
      </c>
      <c r="AP33" s="190">
        <v>136.05873107910156</v>
      </c>
      <c r="AQ33" s="190">
        <v>4.2084383964538574</v>
      </c>
      <c r="AR33" s="91"/>
      <c r="AS33" s="93" t="e">
        <f t="shared" ca="1" si="8"/>
        <v>#REF!</v>
      </c>
      <c r="AT33" t="e">
        <f t="shared" ca="1" si="3"/>
        <v>#REF!</v>
      </c>
      <c r="AU33" s="94"/>
      <c r="AV33" s="94"/>
      <c r="BB33">
        <v>1</v>
      </c>
      <c r="BC33">
        <v>1</v>
      </c>
      <c r="BD33">
        <v>1</v>
      </c>
      <c r="BE33" t="e">
        <v>#REF!</v>
      </c>
      <c r="BF33" t="e">
        <v>#REF!</v>
      </c>
      <c r="BG33" t="e">
        <v>#REF!</v>
      </c>
      <c r="BH33" t="e">
        <v>#REF!</v>
      </c>
      <c r="BI33" t="e">
        <v>#REF!</v>
      </c>
      <c r="BJ33" t="e">
        <v>#REF!</v>
      </c>
      <c r="BK33" t="e">
        <v>#REF!</v>
      </c>
      <c r="BL33" t="e">
        <v>#REF!</v>
      </c>
      <c r="BM33" t="e">
        <v>#REF!</v>
      </c>
      <c r="BN33" t="e">
        <v>#REF!</v>
      </c>
      <c r="BO33" t="e">
        <v>#REF!</v>
      </c>
      <c r="BP33" t="e">
        <v>#REF!</v>
      </c>
      <c r="BQ33" t="e">
        <v>#REF!</v>
      </c>
      <c r="BR33" t="e">
        <v>#REF!</v>
      </c>
      <c r="BS33" t="e">
        <v>#REF!</v>
      </c>
      <c r="BT33" t="e">
        <v>#REF!</v>
      </c>
      <c r="BU33" t="e">
        <v>#REF!</v>
      </c>
      <c r="BV33" t="e">
        <v>#REF!</v>
      </c>
      <c r="BW33" t="e">
        <v>#REF!</v>
      </c>
      <c r="BX33" t="e">
        <v>#REF!</v>
      </c>
      <c r="BY33" t="e">
        <v>#REF!</v>
      </c>
      <c r="BZ33" t="e">
        <v>#REF!</v>
      </c>
      <c r="CA33" t="e">
        <v>#REF!</v>
      </c>
      <c r="CB33" t="e">
        <v>#REF!</v>
      </c>
      <c r="CC33" t="e">
        <v>#REF!</v>
      </c>
      <c r="CD33" t="e">
        <v>#REF!</v>
      </c>
      <c r="CE33" t="e">
        <v>#REF!</v>
      </c>
      <c r="CF33" t="e">
        <v>#REF!</v>
      </c>
      <c r="CG33" t="e">
        <v>#REF!</v>
      </c>
      <c r="CH33" t="e">
        <v>#REF!</v>
      </c>
      <c r="CI33" t="e">
        <v>#REF!</v>
      </c>
      <c r="CJ33" t="e">
        <v>#REF!</v>
      </c>
      <c r="CK33" t="e">
        <v>#REF!</v>
      </c>
      <c r="CL33" t="e">
        <v>#REF!</v>
      </c>
      <c r="CM33" t="e">
        <v>#REF!</v>
      </c>
      <c r="CN33" t="e">
        <v>#REF!</v>
      </c>
      <c r="CO33" t="e">
        <v>#REF!</v>
      </c>
      <c r="CP33" t="e">
        <v>#REF!</v>
      </c>
      <c r="CQ33" t="e">
        <v>#REF!</v>
      </c>
      <c r="CR33" t="e">
        <v>#REF!</v>
      </c>
      <c r="CS33" t="e">
        <v>#REF!</v>
      </c>
      <c r="CT33" t="e">
        <v>#REF!</v>
      </c>
      <c r="CU33" t="e">
        <v>#REF!</v>
      </c>
    </row>
    <row r="34" spans="1:99">
      <c r="A34" s="156">
        <v>48396</v>
      </c>
      <c r="B34" s="157" t="e">
        <f t="shared" ca="1" si="1"/>
        <v>#REF!</v>
      </c>
      <c r="C34">
        <v>-0.35</v>
      </c>
      <c r="D34" t="e">
        <f>D33+(D35-D31)/4</f>
        <v>#REF!</v>
      </c>
      <c r="E34" s="94">
        <f t="shared" si="0"/>
        <v>1.5281876632387892</v>
      </c>
      <c r="F34" t="e">
        <f t="shared" ca="1" si="9"/>
        <v>#REF!</v>
      </c>
      <c r="G34" s="90">
        <v>48305</v>
      </c>
      <c r="H34" s="131">
        <v>23705.375</v>
      </c>
      <c r="I34" s="131">
        <v>162.84782409667969</v>
      </c>
      <c r="J34" s="132">
        <v>135.98892211914063</v>
      </c>
      <c r="K34" s="132">
        <v>4.2339253425598145</v>
      </c>
      <c r="L34" s="133">
        <v>2.623915433883667</v>
      </c>
      <c r="M34" s="134">
        <v>16.170436859130859</v>
      </c>
      <c r="N34" s="133">
        <v>2.6965451240539551</v>
      </c>
      <c r="O34" s="135">
        <v>0.2603766918182373</v>
      </c>
      <c r="P34" s="136">
        <v>3.0999999046325684</v>
      </c>
      <c r="Q34" s="92"/>
      <c r="R34" s="92"/>
      <c r="S34" s="109">
        <v>4056.999267578125</v>
      </c>
      <c r="T34" s="109">
        <v>46058.8203125</v>
      </c>
      <c r="U34" s="109">
        <v>39965.15625</v>
      </c>
      <c r="V34" s="109">
        <v>1469.7896728515625</v>
      </c>
      <c r="W34" s="111">
        <f t="shared" si="10"/>
        <v>8.0322959414791516E-3</v>
      </c>
      <c r="X34" s="109"/>
      <c r="Y34" s="92"/>
      <c r="Z34" s="92" t="e">
        <f t="shared" si="4"/>
        <v>#REF!</v>
      </c>
      <c r="AA34" s="92"/>
      <c r="AB34" s="98" t="e">
        <f t="shared" si="11"/>
        <v>#REF!</v>
      </c>
      <c r="AC34" t="e">
        <f>#REF!*100</f>
        <v>#REF!</v>
      </c>
      <c r="AE34" t="e">
        <f t="shared" si="12"/>
        <v>#REF!</v>
      </c>
      <c r="AF34" t="e">
        <f>-SUM($AE$3:AE34)*W34</f>
        <v>#REF!</v>
      </c>
      <c r="AG34" s="112" t="e">
        <f t="shared" si="13"/>
        <v>#REF!</v>
      </c>
      <c r="AH34" t="e">
        <f t="shared" si="6"/>
        <v>#REF!</v>
      </c>
      <c r="AJ34">
        <v>32</v>
      </c>
      <c r="AK34" t="e">
        <f ca="1">PRODUCT(BB34:OFFSET(BA34,0,AJ34))</f>
        <v>#REF!</v>
      </c>
      <c r="AL34" t="e">
        <f ca="1">MIN((AN34/H34)*(AK34),(1+'F5 Foreign GDP'!$H$2/100)*AK34)</f>
        <v>#REF!</v>
      </c>
      <c r="AN34" s="190">
        <v>23692.021484375</v>
      </c>
      <c r="AO34" s="190">
        <v>165.29550170898438</v>
      </c>
      <c r="AP34" s="190">
        <v>136.18780517578125</v>
      </c>
      <c r="AQ34" s="190">
        <v>4.1917800903320313</v>
      </c>
      <c r="AR34" s="91"/>
      <c r="AS34" s="93" t="e">
        <f t="shared" ca="1" si="8"/>
        <v>#REF!</v>
      </c>
      <c r="AT34" t="e">
        <f t="shared" ca="1" si="3"/>
        <v>#REF!</v>
      </c>
      <c r="AU34" s="94"/>
      <c r="AV34" s="94"/>
      <c r="BB34">
        <v>1</v>
      </c>
      <c r="BC34">
        <v>1</v>
      </c>
      <c r="BD34">
        <v>1</v>
      </c>
      <c r="BE34" t="e">
        <v>#REF!</v>
      </c>
      <c r="BF34" t="e">
        <v>#REF!</v>
      </c>
      <c r="BG34" t="e">
        <v>#REF!</v>
      </c>
      <c r="BH34" t="e">
        <v>#REF!</v>
      </c>
      <c r="BI34" t="e">
        <v>#REF!</v>
      </c>
      <c r="BJ34" t="e">
        <v>#REF!</v>
      </c>
      <c r="BK34" t="e">
        <v>#REF!</v>
      </c>
      <c r="BL34" t="e">
        <v>#REF!</v>
      </c>
      <c r="BM34" t="e">
        <v>#REF!</v>
      </c>
      <c r="BN34" t="e">
        <v>#REF!</v>
      </c>
      <c r="BO34" t="e">
        <v>#REF!</v>
      </c>
      <c r="BP34" t="e">
        <v>#REF!</v>
      </c>
      <c r="BQ34" t="e">
        <v>#REF!</v>
      </c>
      <c r="BR34" t="e">
        <v>#REF!</v>
      </c>
      <c r="BS34" t="e">
        <v>#REF!</v>
      </c>
      <c r="BT34" t="e">
        <v>#REF!</v>
      </c>
      <c r="BU34" t="e">
        <v>#REF!</v>
      </c>
      <c r="BV34" t="e">
        <v>#REF!</v>
      </c>
      <c r="BW34" t="e">
        <v>#REF!</v>
      </c>
      <c r="BX34" t="e">
        <v>#REF!</v>
      </c>
      <c r="BY34" t="e">
        <v>#REF!</v>
      </c>
      <c r="BZ34" t="e">
        <v>#REF!</v>
      </c>
      <c r="CA34" t="e">
        <v>#REF!</v>
      </c>
      <c r="CB34" t="e">
        <v>#REF!</v>
      </c>
      <c r="CC34" t="e">
        <v>#REF!</v>
      </c>
      <c r="CD34" t="e">
        <v>#REF!</v>
      </c>
      <c r="CE34" t="e">
        <v>#REF!</v>
      </c>
      <c r="CF34" t="e">
        <v>#REF!</v>
      </c>
      <c r="CG34" t="e">
        <v>#REF!</v>
      </c>
      <c r="CH34" t="e">
        <v>#REF!</v>
      </c>
      <c r="CI34" t="e">
        <v>#REF!</v>
      </c>
      <c r="CJ34" t="e">
        <v>#REF!</v>
      </c>
      <c r="CK34" t="e">
        <v>#REF!</v>
      </c>
      <c r="CL34" t="e">
        <v>#REF!</v>
      </c>
      <c r="CM34" t="e">
        <v>#REF!</v>
      </c>
      <c r="CN34" t="e">
        <v>#REF!</v>
      </c>
      <c r="CO34" t="e">
        <v>#REF!</v>
      </c>
      <c r="CP34" t="e">
        <v>#REF!</v>
      </c>
      <c r="CQ34" t="e">
        <v>#REF!</v>
      </c>
      <c r="CR34" t="e">
        <v>#REF!</v>
      </c>
      <c r="CS34" t="e">
        <v>#REF!</v>
      </c>
      <c r="CT34" t="e">
        <v>#REF!</v>
      </c>
      <c r="CU34" t="e">
        <v>#REF!</v>
      </c>
    </row>
    <row r="35" spans="1:99">
      <c r="A35" s="156">
        <v>48488</v>
      </c>
      <c r="B35" s="157" t="e">
        <f t="shared" ca="1" si="1"/>
        <v>#REF!</v>
      </c>
      <c r="C35">
        <v>-0.35</v>
      </c>
      <c r="D35" t="e">
        <f>#REF!/#REF!</f>
        <v>#REF!</v>
      </c>
      <c r="E35" s="94">
        <f t="shared" si="0"/>
        <v>1.5547429139694646</v>
      </c>
      <c r="F35" t="e">
        <f t="shared" ca="1" si="9"/>
        <v>#REF!</v>
      </c>
      <c r="G35" s="90">
        <v>48396</v>
      </c>
      <c r="H35" s="131">
        <v>23807.345703125</v>
      </c>
      <c r="I35" s="131">
        <v>163.66935729980469</v>
      </c>
      <c r="J35" s="132">
        <v>136.07522583007813</v>
      </c>
      <c r="K35" s="132">
        <v>4.2312197685241699</v>
      </c>
      <c r="L35" s="133">
        <v>2.6234416961669922</v>
      </c>
      <c r="M35" s="134">
        <v>16.169824600219727</v>
      </c>
      <c r="N35" s="133">
        <v>2.6967349052429199</v>
      </c>
      <c r="O35" s="135">
        <v>0.2599189281463623</v>
      </c>
      <c r="P35" s="136">
        <v>3.0999999046325684</v>
      </c>
      <c r="Q35" s="92"/>
      <c r="R35" s="92"/>
      <c r="S35" s="109">
        <v>4093.906494140625</v>
      </c>
      <c r="T35" s="109">
        <v>46688.16015625</v>
      </c>
      <c r="U35" s="109">
        <v>40368.875</v>
      </c>
      <c r="V35" s="109">
        <v>1486.499755859375</v>
      </c>
      <c r="W35" s="111">
        <f t="shared" si="10"/>
        <v>8.0137366647760229E-3</v>
      </c>
      <c r="X35" s="109"/>
      <c r="Y35" s="92"/>
      <c r="Z35" s="92" t="e">
        <f t="shared" si="4"/>
        <v>#REF!</v>
      </c>
      <c r="AA35" s="92"/>
      <c r="AB35" s="98" t="e">
        <f t="shared" si="11"/>
        <v>#REF!</v>
      </c>
      <c r="AC35" t="e">
        <f>#REF!*100</f>
        <v>#REF!</v>
      </c>
      <c r="AE35" t="e">
        <f t="shared" si="12"/>
        <v>#REF!</v>
      </c>
      <c r="AF35" t="e">
        <f>-SUM($AE$3:AE35)*W35</f>
        <v>#REF!</v>
      </c>
      <c r="AG35" s="112" t="e">
        <f t="shared" si="13"/>
        <v>#REF!</v>
      </c>
      <c r="AH35" t="e">
        <f t="shared" si="6"/>
        <v>#REF!</v>
      </c>
      <c r="AJ35">
        <v>33</v>
      </c>
      <c r="AK35" t="e">
        <f ca="1">PRODUCT(BB35:OFFSET(BA35,0,AJ35))</f>
        <v>#REF!</v>
      </c>
      <c r="AL35" t="e">
        <f ca="1">MIN((AN35/H35)*(AK35),(1+'F5 Foreign GDP'!$H$2/100)*AK35)</f>
        <v>#REF!</v>
      </c>
      <c r="AN35" s="190">
        <v>23797.08203125</v>
      </c>
      <c r="AO35" s="190">
        <v>166.1705322265625</v>
      </c>
      <c r="AP35" s="190">
        <v>136.31147766113281</v>
      </c>
      <c r="AQ35" s="190">
        <v>4.1747512817382813</v>
      </c>
      <c r="AR35" s="91"/>
      <c r="AS35" s="93" t="e">
        <f t="shared" ca="1" si="8"/>
        <v>#REF!</v>
      </c>
      <c r="AT35" t="e">
        <f t="shared" ca="1" si="3"/>
        <v>#REF!</v>
      </c>
      <c r="AU35" s="94"/>
      <c r="AV35" s="94"/>
      <c r="BB35">
        <v>1</v>
      </c>
      <c r="BC35">
        <v>1</v>
      </c>
      <c r="BD35">
        <v>1</v>
      </c>
      <c r="BE35" t="e">
        <v>#REF!</v>
      </c>
      <c r="BF35" t="e">
        <v>#REF!</v>
      </c>
      <c r="BG35" t="e">
        <v>#REF!</v>
      </c>
      <c r="BH35" t="e">
        <v>#REF!</v>
      </c>
      <c r="BI35" t="e">
        <v>#REF!</v>
      </c>
      <c r="BJ35" t="e">
        <v>#REF!</v>
      </c>
      <c r="BK35" t="e">
        <v>#REF!</v>
      </c>
      <c r="BL35" t="e">
        <v>#REF!</v>
      </c>
      <c r="BM35" t="e">
        <v>#REF!</v>
      </c>
      <c r="BN35" t="e">
        <v>#REF!</v>
      </c>
      <c r="BO35" t="e">
        <v>#REF!</v>
      </c>
      <c r="BP35" t="e">
        <v>#REF!</v>
      </c>
      <c r="BQ35" t="e">
        <v>#REF!</v>
      </c>
      <c r="BR35" t="e">
        <v>#REF!</v>
      </c>
      <c r="BS35" t="e">
        <v>#REF!</v>
      </c>
      <c r="BT35" t="e">
        <v>#REF!</v>
      </c>
      <c r="BU35" t="e">
        <v>#REF!</v>
      </c>
      <c r="BV35" t="e">
        <v>#REF!</v>
      </c>
      <c r="BW35" t="e">
        <v>#REF!</v>
      </c>
      <c r="BX35" t="e">
        <v>#REF!</v>
      </c>
      <c r="BY35" t="e">
        <v>#REF!</v>
      </c>
      <c r="BZ35" t="e">
        <v>#REF!</v>
      </c>
      <c r="CA35" t="e">
        <v>#REF!</v>
      </c>
      <c r="CB35" t="e">
        <v>#REF!</v>
      </c>
      <c r="CC35" t="e">
        <v>#REF!</v>
      </c>
      <c r="CD35" t="e">
        <v>#REF!</v>
      </c>
      <c r="CE35" t="e">
        <v>#REF!</v>
      </c>
      <c r="CF35" t="e">
        <v>#REF!</v>
      </c>
      <c r="CG35" t="e">
        <v>#REF!</v>
      </c>
      <c r="CH35" t="e">
        <v>#REF!</v>
      </c>
      <c r="CI35" t="e">
        <v>#REF!</v>
      </c>
      <c r="CJ35" t="e">
        <v>#REF!</v>
      </c>
      <c r="CK35" t="e">
        <v>#REF!</v>
      </c>
      <c r="CL35" t="e">
        <v>#REF!</v>
      </c>
      <c r="CM35" t="e">
        <v>#REF!</v>
      </c>
      <c r="CN35" t="e">
        <v>#REF!</v>
      </c>
      <c r="CO35" t="e">
        <v>#REF!</v>
      </c>
      <c r="CP35" t="e">
        <v>#REF!</v>
      </c>
      <c r="CQ35" t="e">
        <v>#REF!</v>
      </c>
      <c r="CR35" t="e">
        <v>#REF!</v>
      </c>
      <c r="CS35" t="e">
        <v>#REF!</v>
      </c>
      <c r="CT35" t="e">
        <v>#REF!</v>
      </c>
      <c r="CU35" t="e">
        <v>#REF!</v>
      </c>
    </row>
    <row r="36" spans="1:99">
      <c r="A36" s="156">
        <v>48580</v>
      </c>
      <c r="B36" s="157" t="e">
        <f t="shared" ca="1" si="1"/>
        <v>#REF!</v>
      </c>
      <c r="C36">
        <v>-0.35</v>
      </c>
      <c r="D36" t="e">
        <f>D35+(D39-D35)/4</f>
        <v>#REF!</v>
      </c>
      <c r="E36" s="94">
        <f t="shared" si="0"/>
        <v>1.5825358195837191</v>
      </c>
      <c r="F36" t="e">
        <f t="shared" ca="1" si="9"/>
        <v>#REF!</v>
      </c>
      <c r="G36" s="90">
        <v>48488</v>
      </c>
      <c r="H36" s="137">
        <v>23909.390625</v>
      </c>
      <c r="I36" s="137">
        <v>164.48455810546875</v>
      </c>
      <c r="J36" s="138">
        <v>136.16108703613281</v>
      </c>
      <c r="K36" s="138">
        <v>4.2299880981445313</v>
      </c>
      <c r="L36" s="139">
        <v>2.6233584880828857</v>
      </c>
      <c r="M36" s="140">
        <v>16.169445037841797</v>
      </c>
      <c r="N36" s="139">
        <v>2.6964521408081055</v>
      </c>
      <c r="O36" s="141">
        <v>0.2595984935760498</v>
      </c>
      <c r="P36" s="142">
        <v>3.0999999046325684</v>
      </c>
      <c r="Q36" s="92"/>
      <c r="R36" s="92"/>
      <c r="S36" s="110">
        <v>4131.5927734375</v>
      </c>
      <c r="T36" s="110">
        <v>47321.7734375</v>
      </c>
      <c r="U36" s="110">
        <v>40774.4609375</v>
      </c>
      <c r="V36" s="110">
        <v>1503.4832763671875</v>
      </c>
      <c r="W36" s="111">
        <f t="shared" si="10"/>
        <v>7.996406437559396E-3</v>
      </c>
      <c r="X36" s="109"/>
      <c r="Y36" s="92"/>
      <c r="Z36" s="92" t="e">
        <f t="shared" si="4"/>
        <v>#REF!</v>
      </c>
      <c r="AA36" s="92"/>
      <c r="AB36" s="98" t="e">
        <f t="shared" si="11"/>
        <v>#REF!</v>
      </c>
      <c r="AC36" t="e">
        <f>#REF!*100</f>
        <v>#REF!</v>
      </c>
      <c r="AE36" t="e">
        <f t="shared" si="12"/>
        <v>#REF!</v>
      </c>
      <c r="AF36" t="e">
        <f>-SUM($AE$3:AE36)*W36</f>
        <v>#REF!</v>
      </c>
      <c r="AG36" s="112" t="e">
        <f t="shared" si="13"/>
        <v>#REF!</v>
      </c>
      <c r="AH36" t="e">
        <f t="shared" si="6"/>
        <v>#REF!</v>
      </c>
      <c r="AJ36">
        <v>34</v>
      </c>
      <c r="AK36" t="e">
        <f ca="1">PRODUCT(BB36:OFFSET(BA36,0,AJ36))</f>
        <v>#REF!</v>
      </c>
      <c r="AL36" t="e">
        <f ca="1">MIN((AN36/H36)*(AK36),(1+'F5 Foreign GDP'!$H$2/100)*AK36)</f>
        <v>#REF!</v>
      </c>
      <c r="AN36" s="191">
        <v>23901.982421875</v>
      </c>
      <c r="AO36" s="191">
        <v>167.0418701171875</v>
      </c>
      <c r="AP36" s="191">
        <v>136.43232727050781</v>
      </c>
      <c r="AQ36" s="191">
        <v>4.1599884033203125</v>
      </c>
      <c r="AR36" s="91"/>
      <c r="AS36" s="93" t="e">
        <f t="shared" ca="1" si="8"/>
        <v>#REF!</v>
      </c>
      <c r="AT36" t="e">
        <f t="shared" ca="1" si="3"/>
        <v>#REF!</v>
      </c>
      <c r="AU36" s="94"/>
      <c r="AV36" s="94"/>
      <c r="BB36">
        <v>1</v>
      </c>
      <c r="BC36">
        <v>1</v>
      </c>
      <c r="BD36">
        <v>1</v>
      </c>
      <c r="BE36" t="e">
        <v>#REF!</v>
      </c>
      <c r="BF36" t="e">
        <v>#REF!</v>
      </c>
      <c r="BG36" t="e">
        <v>#REF!</v>
      </c>
      <c r="BH36" t="e">
        <v>#REF!</v>
      </c>
      <c r="BI36" t="e">
        <v>#REF!</v>
      </c>
      <c r="BJ36" t="e">
        <v>#REF!</v>
      </c>
      <c r="BK36" t="e">
        <v>#REF!</v>
      </c>
      <c r="BL36" t="e">
        <v>#REF!</v>
      </c>
      <c r="BM36" t="e">
        <v>#REF!</v>
      </c>
      <c r="BN36" t="e">
        <v>#REF!</v>
      </c>
      <c r="BO36" t="e">
        <v>#REF!</v>
      </c>
      <c r="BP36" t="e">
        <v>#REF!</v>
      </c>
      <c r="BQ36" t="e">
        <v>#REF!</v>
      </c>
      <c r="BR36" t="e">
        <v>#REF!</v>
      </c>
      <c r="BS36" t="e">
        <v>#REF!</v>
      </c>
      <c r="BT36" t="e">
        <v>#REF!</v>
      </c>
      <c r="BU36" t="e">
        <v>#REF!</v>
      </c>
      <c r="BV36" t="e">
        <v>#REF!</v>
      </c>
      <c r="BW36" t="e">
        <v>#REF!</v>
      </c>
      <c r="BX36" t="e">
        <v>#REF!</v>
      </c>
      <c r="BY36" t="e">
        <v>#REF!</v>
      </c>
      <c r="BZ36" t="e">
        <v>#REF!</v>
      </c>
      <c r="CA36" t="e">
        <v>#REF!</v>
      </c>
      <c r="CB36" t="e">
        <v>#REF!</v>
      </c>
      <c r="CC36" t="e">
        <v>#REF!</v>
      </c>
      <c r="CD36" t="e">
        <v>#REF!</v>
      </c>
      <c r="CE36" t="e">
        <v>#REF!</v>
      </c>
      <c r="CF36" t="e">
        <v>#REF!</v>
      </c>
      <c r="CG36" t="e">
        <v>#REF!</v>
      </c>
      <c r="CH36" t="e">
        <v>#REF!</v>
      </c>
      <c r="CI36" t="e">
        <v>#REF!</v>
      </c>
      <c r="CJ36" t="e">
        <v>#REF!</v>
      </c>
      <c r="CK36" t="e">
        <v>#REF!</v>
      </c>
      <c r="CL36" t="e">
        <v>#REF!</v>
      </c>
      <c r="CM36" t="e">
        <v>#REF!</v>
      </c>
      <c r="CN36" t="e">
        <v>#REF!</v>
      </c>
      <c r="CO36" t="e">
        <v>#REF!</v>
      </c>
      <c r="CP36" t="e">
        <v>#REF!</v>
      </c>
      <c r="CQ36" t="e">
        <v>#REF!</v>
      </c>
      <c r="CR36" t="e">
        <v>#REF!</v>
      </c>
      <c r="CS36" t="e">
        <v>#REF!</v>
      </c>
      <c r="CT36" t="e">
        <v>#REF!</v>
      </c>
      <c r="CU36" t="e">
        <v>#REF!</v>
      </c>
    </row>
    <row r="37" spans="1:99">
      <c r="A37" s="156">
        <v>48670</v>
      </c>
      <c r="B37" s="157" t="e">
        <f t="shared" ca="1" si="1"/>
        <v>#REF!</v>
      </c>
      <c r="C37">
        <v>-0.35</v>
      </c>
      <c r="D37" t="e">
        <f>D36+(D39-D35)/4</f>
        <v>#REF!</v>
      </c>
      <c r="E37" s="94">
        <f t="shared" si="0"/>
        <v>1.6114638701784534</v>
      </c>
      <c r="F37" t="e">
        <f t="shared" ca="1" si="9"/>
        <v>#REF!</v>
      </c>
      <c r="G37" s="90">
        <v>48580</v>
      </c>
      <c r="H37" s="131">
        <v>24013.8828125</v>
      </c>
      <c r="I37" s="131">
        <v>165.31185913085938</v>
      </c>
      <c r="J37" s="132">
        <v>136.24830627441406</v>
      </c>
      <c r="K37" s="132">
        <v>4.22821044921875</v>
      </c>
      <c r="L37" s="133">
        <v>2.624565601348877</v>
      </c>
      <c r="M37" s="134">
        <v>16.169208526611328</v>
      </c>
      <c r="N37" s="133">
        <v>2.696753978729248</v>
      </c>
      <c r="O37" s="135">
        <v>0.25904011726379395</v>
      </c>
      <c r="P37" s="136">
        <v>3.0999999046325684</v>
      </c>
      <c r="Q37" s="92"/>
      <c r="R37" s="92"/>
      <c r="S37" s="109">
        <v>4169.982421875</v>
      </c>
      <c r="T37" s="109">
        <v>47969.80078125</v>
      </c>
      <c r="U37" s="109">
        <v>41188.5625</v>
      </c>
      <c r="V37" s="109">
        <v>1520.8934326171875</v>
      </c>
      <c r="W37" s="111">
        <f t="shared" si="10"/>
        <v>7.9802093998670113E-3</v>
      </c>
      <c r="X37" s="109"/>
      <c r="Y37" s="92"/>
      <c r="Z37" s="92" t="e">
        <f t="shared" si="4"/>
        <v>#REF!</v>
      </c>
      <c r="AA37" s="92"/>
      <c r="AB37" s="98" t="e">
        <f t="shared" si="11"/>
        <v>#REF!</v>
      </c>
      <c r="AC37" t="e">
        <f>#REF!*100</f>
        <v>#REF!</v>
      </c>
      <c r="AE37" t="e">
        <f t="shared" si="12"/>
        <v>#REF!</v>
      </c>
      <c r="AF37" t="e">
        <f>-SUM($AE$3:AE37)*W37</f>
        <v>#REF!</v>
      </c>
      <c r="AG37" s="112" t="e">
        <f t="shared" si="13"/>
        <v>#REF!</v>
      </c>
      <c r="AH37" t="e">
        <f t="shared" si="6"/>
        <v>#REF!</v>
      </c>
      <c r="AJ37">
        <v>35</v>
      </c>
      <c r="AK37" t="e">
        <f ca="1">PRODUCT(BB37:OFFSET(BA37,0,AJ37))</f>
        <v>#REF!</v>
      </c>
      <c r="AL37" t="e">
        <f ca="1">MIN((AN37/H37)*(AK37),(1+'F5 Foreign GDP'!$H$2/100)*AK37)</f>
        <v>#REF!</v>
      </c>
      <c r="AN37" s="190">
        <v>24009.203125</v>
      </c>
      <c r="AO37" s="190">
        <v>167.927978515625</v>
      </c>
      <c r="AP37" s="190">
        <v>136.55133056640625</v>
      </c>
      <c r="AQ37" s="190">
        <v>4.1463422775268555</v>
      </c>
      <c r="AR37" s="91"/>
      <c r="AS37" s="93" t="e">
        <f t="shared" ca="1" si="8"/>
        <v>#REF!</v>
      </c>
      <c r="AT37" t="e">
        <f t="shared" ca="1" si="3"/>
        <v>#REF!</v>
      </c>
      <c r="AU37" s="94"/>
      <c r="AV37" s="94"/>
      <c r="BB37">
        <v>1</v>
      </c>
      <c r="BC37">
        <v>1</v>
      </c>
      <c r="BD37">
        <v>1</v>
      </c>
      <c r="BE37" t="e">
        <v>#REF!</v>
      </c>
      <c r="BF37" t="e">
        <v>#REF!</v>
      </c>
      <c r="BG37" t="e">
        <v>#REF!</v>
      </c>
      <c r="BH37" t="e">
        <v>#REF!</v>
      </c>
      <c r="BI37" t="e">
        <v>#REF!</v>
      </c>
      <c r="BJ37" t="e">
        <v>#REF!</v>
      </c>
      <c r="BK37" t="e">
        <v>#REF!</v>
      </c>
      <c r="BL37" t="e">
        <v>#REF!</v>
      </c>
      <c r="BM37" t="e">
        <v>#REF!</v>
      </c>
      <c r="BN37" t="e">
        <v>#REF!</v>
      </c>
      <c r="BO37" t="e">
        <v>#REF!</v>
      </c>
      <c r="BP37" t="e">
        <v>#REF!</v>
      </c>
      <c r="BQ37" t="e">
        <v>#REF!</v>
      </c>
      <c r="BR37" t="e">
        <v>#REF!</v>
      </c>
      <c r="BS37" t="e">
        <v>#REF!</v>
      </c>
      <c r="BT37" t="e">
        <v>#REF!</v>
      </c>
      <c r="BU37" t="e">
        <v>#REF!</v>
      </c>
      <c r="BV37" t="e">
        <v>#REF!</v>
      </c>
      <c r="BW37" t="e">
        <v>#REF!</v>
      </c>
      <c r="BX37" t="e">
        <v>#REF!</v>
      </c>
      <c r="BY37" t="e">
        <v>#REF!</v>
      </c>
      <c r="BZ37" t="e">
        <v>#REF!</v>
      </c>
      <c r="CA37" t="e">
        <v>#REF!</v>
      </c>
      <c r="CB37" t="e">
        <v>#REF!</v>
      </c>
      <c r="CC37" t="e">
        <v>#REF!</v>
      </c>
      <c r="CD37" t="e">
        <v>#REF!</v>
      </c>
      <c r="CE37" t="e">
        <v>#REF!</v>
      </c>
      <c r="CF37" t="e">
        <v>#REF!</v>
      </c>
      <c r="CG37" t="e">
        <v>#REF!</v>
      </c>
      <c r="CH37" t="e">
        <v>#REF!</v>
      </c>
      <c r="CI37" t="e">
        <v>#REF!</v>
      </c>
      <c r="CJ37" t="e">
        <v>#REF!</v>
      </c>
      <c r="CK37" t="e">
        <v>#REF!</v>
      </c>
      <c r="CL37" t="e">
        <v>#REF!</v>
      </c>
      <c r="CM37" t="e">
        <v>#REF!</v>
      </c>
      <c r="CN37" t="e">
        <v>#REF!</v>
      </c>
      <c r="CO37" t="e">
        <v>#REF!</v>
      </c>
      <c r="CP37" t="e">
        <v>#REF!</v>
      </c>
      <c r="CQ37" t="e">
        <v>#REF!</v>
      </c>
      <c r="CR37" t="e">
        <v>#REF!</v>
      </c>
      <c r="CS37" t="e">
        <v>#REF!</v>
      </c>
      <c r="CT37" t="e">
        <v>#REF!</v>
      </c>
      <c r="CU37" t="e">
        <v>#REF!</v>
      </c>
    </row>
    <row r="38" spans="1:99">
      <c r="A38" s="156">
        <v>48761</v>
      </c>
      <c r="B38" s="157" t="e">
        <f t="shared" ca="1" si="1"/>
        <v>#REF!</v>
      </c>
      <c r="C38">
        <v>-0.35</v>
      </c>
      <c r="D38" t="e">
        <f>D37+(D39-D35)/4</f>
        <v>#REF!</v>
      </c>
      <c r="E38" s="94">
        <f t="shared" si="0"/>
        <v>1.641828432995629</v>
      </c>
      <c r="F38" t="e">
        <f t="shared" ca="1" si="9"/>
        <v>#REF!</v>
      </c>
      <c r="G38" s="90">
        <v>48670</v>
      </c>
      <c r="H38" s="131">
        <v>24121.4453125</v>
      </c>
      <c r="I38" s="131">
        <v>166.14698791503906</v>
      </c>
      <c r="J38" s="132">
        <v>136.34034729003906</v>
      </c>
      <c r="K38" s="132">
        <v>4.2236404418945313</v>
      </c>
      <c r="L38" s="133">
        <v>2.6250040531158447</v>
      </c>
      <c r="M38" s="134">
        <v>16.169063568115234</v>
      </c>
      <c r="N38" s="133">
        <v>2.6968569755554199</v>
      </c>
      <c r="O38" s="135">
        <v>0.25857281684875488</v>
      </c>
      <c r="P38" s="136">
        <v>3.0999999046325684</v>
      </c>
      <c r="Q38" s="92"/>
      <c r="R38" s="92"/>
      <c r="S38" s="109">
        <v>4209.33837890625</v>
      </c>
      <c r="T38" s="109">
        <v>48621.90234375</v>
      </c>
      <c r="U38" s="109">
        <v>41612.0078125</v>
      </c>
      <c r="V38" s="109">
        <v>1538.7303466796875</v>
      </c>
      <c r="W38" s="111">
        <f t="shared" si="10"/>
        <v>7.9651269047839746E-3</v>
      </c>
      <c r="X38" s="109"/>
      <c r="Y38" s="92"/>
      <c r="Z38" s="92" t="e">
        <f t="shared" si="4"/>
        <v>#REF!</v>
      </c>
      <c r="AA38" s="92"/>
      <c r="AB38" s="98" t="e">
        <f t="shared" si="11"/>
        <v>#REF!</v>
      </c>
      <c r="AC38" t="e">
        <f>#REF!*100</f>
        <v>#REF!</v>
      </c>
      <c r="AE38" t="e">
        <f t="shared" si="12"/>
        <v>#REF!</v>
      </c>
      <c r="AF38" t="e">
        <f>-SUM($AE$3:AE38)*W38</f>
        <v>#REF!</v>
      </c>
      <c r="AG38" s="112" t="e">
        <f t="shared" si="13"/>
        <v>#REF!</v>
      </c>
      <c r="AH38" t="e">
        <f t="shared" si="6"/>
        <v>#REF!</v>
      </c>
      <c r="AJ38">
        <v>36</v>
      </c>
      <c r="AK38" t="e">
        <f ca="1">PRODUCT(BB38:OFFSET(BA38,0,AJ38))</f>
        <v>#REF!</v>
      </c>
      <c r="AL38" t="e">
        <f ca="1">MIN((AN38/H38)*(AK38),(1+'F5 Foreign GDP'!$H$2/100)*AK38)</f>
        <v>#REF!</v>
      </c>
      <c r="AN38" s="190">
        <v>24119.005859375</v>
      </c>
      <c r="AO38" s="190">
        <v>168.82438659667969</v>
      </c>
      <c r="AP38" s="190">
        <v>136.67227172851563</v>
      </c>
      <c r="AQ38" s="190">
        <v>4.1314301490783691</v>
      </c>
      <c r="AR38" s="91"/>
      <c r="AS38" s="93" t="e">
        <f t="shared" ca="1" si="8"/>
        <v>#REF!</v>
      </c>
      <c r="AT38" t="e">
        <f t="shared" ca="1" si="3"/>
        <v>#REF!</v>
      </c>
      <c r="AU38" s="94"/>
      <c r="AV38" s="94"/>
      <c r="BB38">
        <v>1</v>
      </c>
      <c r="BC38">
        <v>1</v>
      </c>
      <c r="BD38">
        <v>1</v>
      </c>
      <c r="BE38" t="e">
        <v>#REF!</v>
      </c>
      <c r="BF38" t="e">
        <v>#REF!</v>
      </c>
      <c r="BG38" t="e">
        <v>#REF!</v>
      </c>
      <c r="BH38" t="e">
        <v>#REF!</v>
      </c>
      <c r="BI38" t="e">
        <v>#REF!</v>
      </c>
      <c r="BJ38" t="e">
        <v>#REF!</v>
      </c>
      <c r="BK38" t="e">
        <v>#REF!</v>
      </c>
      <c r="BL38" t="e">
        <v>#REF!</v>
      </c>
      <c r="BM38" t="e">
        <v>#REF!</v>
      </c>
      <c r="BN38" t="e">
        <v>#REF!</v>
      </c>
      <c r="BO38" t="e">
        <v>#REF!</v>
      </c>
      <c r="BP38" t="e">
        <v>#REF!</v>
      </c>
      <c r="BQ38" t="e">
        <v>#REF!</v>
      </c>
      <c r="BR38" t="e">
        <v>#REF!</v>
      </c>
      <c r="BS38" t="e">
        <v>#REF!</v>
      </c>
      <c r="BT38" t="e">
        <v>#REF!</v>
      </c>
      <c r="BU38" t="e">
        <v>#REF!</v>
      </c>
      <c r="BV38" t="e">
        <v>#REF!</v>
      </c>
      <c r="BW38" t="e">
        <v>#REF!</v>
      </c>
      <c r="BX38" t="e">
        <v>#REF!</v>
      </c>
      <c r="BY38" t="e">
        <v>#REF!</v>
      </c>
      <c r="BZ38" t="e">
        <v>#REF!</v>
      </c>
      <c r="CA38" t="e">
        <v>#REF!</v>
      </c>
      <c r="CB38" t="e">
        <v>#REF!</v>
      </c>
      <c r="CC38" t="e">
        <v>#REF!</v>
      </c>
      <c r="CD38" t="e">
        <v>#REF!</v>
      </c>
      <c r="CE38" t="e">
        <v>#REF!</v>
      </c>
      <c r="CF38" t="e">
        <v>#REF!</v>
      </c>
      <c r="CG38" t="e">
        <v>#REF!</v>
      </c>
      <c r="CH38" t="e">
        <v>#REF!</v>
      </c>
      <c r="CI38" t="e">
        <v>#REF!</v>
      </c>
      <c r="CJ38" t="e">
        <v>#REF!</v>
      </c>
      <c r="CK38" t="e">
        <v>#REF!</v>
      </c>
      <c r="CL38" t="e">
        <v>#REF!</v>
      </c>
      <c r="CM38" t="e">
        <v>#REF!</v>
      </c>
      <c r="CN38" t="e">
        <v>#REF!</v>
      </c>
      <c r="CO38" t="e">
        <v>#REF!</v>
      </c>
      <c r="CP38" t="e">
        <v>#REF!</v>
      </c>
      <c r="CQ38" t="e">
        <v>#REF!</v>
      </c>
      <c r="CR38" t="e">
        <v>#REF!</v>
      </c>
      <c r="CS38" t="e">
        <v>#REF!</v>
      </c>
      <c r="CT38" t="e">
        <v>#REF!</v>
      </c>
      <c r="CU38" t="e">
        <v>#REF!</v>
      </c>
    </row>
    <row r="39" spans="1:99">
      <c r="A39" s="156">
        <v>48853</v>
      </c>
      <c r="B39" s="157" t="e">
        <f t="shared" ca="1" si="1"/>
        <v>#REF!</v>
      </c>
      <c r="C39">
        <v>-0.35</v>
      </c>
      <c r="D39" t="e">
        <f>#REF!/#REF!</f>
        <v>#REF!</v>
      </c>
      <c r="E39" s="94">
        <f t="shared" si="0"/>
        <v>1.6732287582032157</v>
      </c>
      <c r="F39" t="e">
        <f t="shared" ca="1" si="9"/>
        <v>#REF!</v>
      </c>
      <c r="G39" s="90">
        <v>48761</v>
      </c>
      <c r="H39" s="131">
        <v>24227.255859375</v>
      </c>
      <c r="I39" s="131">
        <v>166.96272277832031</v>
      </c>
      <c r="J39" s="132">
        <v>136.42851257324219</v>
      </c>
      <c r="K39" s="132">
        <v>4.2179923057556152</v>
      </c>
      <c r="L39" s="133">
        <v>2.6250882148742676</v>
      </c>
      <c r="M39" s="134">
        <v>16.168973922729492</v>
      </c>
      <c r="N39" s="133">
        <v>2.6969213485717773</v>
      </c>
      <c r="O39" s="135">
        <v>0.25831818580627441</v>
      </c>
      <c r="P39" s="136">
        <v>3.0999999046325684</v>
      </c>
      <c r="Q39" s="92"/>
      <c r="R39" s="92"/>
      <c r="S39" s="109">
        <v>4248.703125</v>
      </c>
      <c r="T39" s="109">
        <v>49278.40234375</v>
      </c>
      <c r="U39" s="109">
        <v>42031.40625</v>
      </c>
      <c r="V39" s="109">
        <v>1556.823974609375</v>
      </c>
      <c r="W39" s="111">
        <f t="shared" si="10"/>
        <v>7.9510680767480371E-3</v>
      </c>
      <c r="X39" s="109"/>
      <c r="Y39" s="92"/>
      <c r="Z39" s="92" t="e">
        <f t="shared" si="4"/>
        <v>#REF!</v>
      </c>
      <c r="AA39" s="92"/>
      <c r="AB39" s="98" t="e">
        <f t="shared" si="11"/>
        <v>#REF!</v>
      </c>
      <c r="AC39" t="e">
        <f>#REF!*100</f>
        <v>#REF!</v>
      </c>
      <c r="AE39" t="e">
        <f t="shared" si="12"/>
        <v>#REF!</v>
      </c>
      <c r="AF39" t="e">
        <f>-SUM($AE$3:AE39)*W39</f>
        <v>#REF!</v>
      </c>
      <c r="AG39" s="112" t="e">
        <f t="shared" si="13"/>
        <v>#REF!</v>
      </c>
      <c r="AH39" t="e">
        <f t="shared" si="6"/>
        <v>#REF!</v>
      </c>
      <c r="AJ39">
        <v>37</v>
      </c>
      <c r="AK39" t="e">
        <f ca="1">PRODUCT(BB39:OFFSET(BA39,0,AJ39))</f>
        <v>#REF!</v>
      </c>
      <c r="AL39" t="e">
        <f ca="1">MIN((AN39/H39)*(AK39),(1+'F5 Foreign GDP'!$H$2/100)*AK39)</f>
        <v>#REF!</v>
      </c>
      <c r="AN39" s="190">
        <v>24226.666015625</v>
      </c>
      <c r="AO39" s="190">
        <v>169.70396423339844</v>
      </c>
      <c r="AP39" s="190">
        <v>136.78727722167969</v>
      </c>
      <c r="AQ39" s="190">
        <v>4.1161394119262695</v>
      </c>
      <c r="AR39" s="91"/>
      <c r="AS39" s="93" t="e">
        <f t="shared" ca="1" si="8"/>
        <v>#REF!</v>
      </c>
      <c r="AT39" t="e">
        <f t="shared" ca="1" si="3"/>
        <v>#REF!</v>
      </c>
      <c r="AU39" s="94"/>
      <c r="AV39" s="94"/>
      <c r="BB39">
        <v>1</v>
      </c>
      <c r="BC39">
        <v>1</v>
      </c>
      <c r="BD39">
        <v>1</v>
      </c>
      <c r="BE39" t="e">
        <v>#REF!</v>
      </c>
      <c r="BF39" t="e">
        <v>#REF!</v>
      </c>
      <c r="BG39" t="e">
        <v>#REF!</v>
      </c>
      <c r="BH39" t="e">
        <v>#REF!</v>
      </c>
      <c r="BI39" t="e">
        <v>#REF!</v>
      </c>
      <c r="BJ39" t="e">
        <v>#REF!</v>
      </c>
      <c r="BK39" t="e">
        <v>#REF!</v>
      </c>
      <c r="BL39" t="e">
        <v>#REF!</v>
      </c>
      <c r="BM39" t="e">
        <v>#REF!</v>
      </c>
      <c r="BN39" t="e">
        <v>#REF!</v>
      </c>
      <c r="BO39" t="e">
        <v>#REF!</v>
      </c>
      <c r="BP39" t="e">
        <v>#REF!</v>
      </c>
      <c r="BQ39" t="e">
        <v>#REF!</v>
      </c>
      <c r="BR39" t="e">
        <v>#REF!</v>
      </c>
      <c r="BS39" t="e">
        <v>#REF!</v>
      </c>
      <c r="BT39" t="e">
        <v>#REF!</v>
      </c>
      <c r="BU39" t="e">
        <v>#REF!</v>
      </c>
      <c r="BV39" t="e">
        <v>#REF!</v>
      </c>
      <c r="BW39" t="e">
        <v>#REF!</v>
      </c>
      <c r="BX39" t="e">
        <v>#REF!</v>
      </c>
      <c r="BY39" t="e">
        <v>#REF!</v>
      </c>
      <c r="BZ39" t="e">
        <v>#REF!</v>
      </c>
      <c r="CA39" t="e">
        <v>#REF!</v>
      </c>
      <c r="CB39" t="e">
        <v>#REF!</v>
      </c>
      <c r="CC39" t="e">
        <v>#REF!</v>
      </c>
      <c r="CD39" t="e">
        <v>#REF!</v>
      </c>
      <c r="CE39" t="e">
        <v>#REF!</v>
      </c>
      <c r="CF39" t="e">
        <v>#REF!</v>
      </c>
      <c r="CG39" t="e">
        <v>#REF!</v>
      </c>
      <c r="CH39" t="e">
        <v>#REF!</v>
      </c>
      <c r="CI39" t="e">
        <v>#REF!</v>
      </c>
      <c r="CJ39" t="e">
        <v>#REF!</v>
      </c>
      <c r="CK39" t="e">
        <v>#REF!</v>
      </c>
      <c r="CL39" t="e">
        <v>#REF!</v>
      </c>
      <c r="CM39" t="e">
        <v>#REF!</v>
      </c>
      <c r="CN39" t="e">
        <v>#REF!</v>
      </c>
      <c r="CO39" t="e">
        <v>#REF!</v>
      </c>
      <c r="CP39" t="e">
        <v>#REF!</v>
      </c>
      <c r="CQ39" t="e">
        <v>#REF!</v>
      </c>
      <c r="CR39" t="e">
        <v>#REF!</v>
      </c>
      <c r="CS39" t="e">
        <v>#REF!</v>
      </c>
      <c r="CT39" t="e">
        <v>#REF!</v>
      </c>
      <c r="CU39" t="e">
        <v>#REF!</v>
      </c>
    </row>
    <row r="40" spans="1:99">
      <c r="A40" s="156">
        <v>48945</v>
      </c>
      <c r="B40" s="157" t="e">
        <f t="shared" ca="1" si="1"/>
        <v>#REF!</v>
      </c>
      <c r="C40">
        <v>-0.35</v>
      </c>
      <c r="D40" t="e">
        <f>D39+(D43-D39)/4</f>
        <v>#REF!</v>
      </c>
      <c r="E40" s="94">
        <f t="shared" si="0"/>
        <v>1.7055786408473272</v>
      </c>
      <c r="F40" t="e">
        <f t="shared" ca="1" si="9"/>
        <v>#REF!</v>
      </c>
      <c r="G40" s="90">
        <v>48853</v>
      </c>
      <c r="H40" s="137">
        <v>24331.755859375</v>
      </c>
      <c r="I40" s="137">
        <v>167.78543090820313</v>
      </c>
      <c r="J40" s="138">
        <v>136.50999450683594</v>
      </c>
      <c r="K40" s="138">
        <v>4.2173175811767578</v>
      </c>
      <c r="L40" s="139">
        <v>2.6251087188720703</v>
      </c>
      <c r="M40" s="140">
        <v>16.168916702270508</v>
      </c>
      <c r="N40" s="139">
        <v>2.6967313289642334</v>
      </c>
      <c r="O40" s="141">
        <v>0.25812149047851563</v>
      </c>
      <c r="P40" s="142">
        <v>3.0999999046325684</v>
      </c>
      <c r="Q40" s="92"/>
      <c r="R40" s="92"/>
      <c r="S40" s="110">
        <v>4287.40185546875</v>
      </c>
      <c r="T40" s="110">
        <v>49939.46484375</v>
      </c>
      <c r="U40" s="110">
        <v>42453.5859375</v>
      </c>
      <c r="V40" s="110">
        <v>1575.169189453125</v>
      </c>
      <c r="W40" s="111">
        <f t="shared" si="10"/>
        <v>7.9379311111193347E-3</v>
      </c>
      <c r="X40" s="109"/>
      <c r="Y40" s="92"/>
      <c r="Z40" s="92" t="e">
        <f t="shared" si="4"/>
        <v>#REF!</v>
      </c>
      <c r="AA40" s="92"/>
      <c r="AB40" s="98" t="e">
        <f t="shared" si="11"/>
        <v>#REF!</v>
      </c>
      <c r="AC40" t="e">
        <f>#REF!*100</f>
        <v>#REF!</v>
      </c>
      <c r="AE40" t="e">
        <f t="shared" si="12"/>
        <v>#REF!</v>
      </c>
      <c r="AF40" t="e">
        <f>-SUM($AE$3:AE40)*W40</f>
        <v>#REF!</v>
      </c>
      <c r="AG40" s="112" t="e">
        <f t="shared" si="13"/>
        <v>#REF!</v>
      </c>
      <c r="AH40" t="e">
        <f t="shared" si="6"/>
        <v>#REF!</v>
      </c>
      <c r="AJ40">
        <v>38</v>
      </c>
      <c r="AK40" t="e">
        <f ca="1">PRODUCT(BB40:OFFSET(BA40,0,AJ40))</f>
        <v>#REF!</v>
      </c>
      <c r="AL40" t="e">
        <f ca="1">MIN((AN40/H40)*(AK40),(1+'F5 Foreign GDP'!$H$2/100)*AK40)</f>
        <v>#REF!</v>
      </c>
      <c r="AN40" s="191">
        <v>24332.4921875</v>
      </c>
      <c r="AO40" s="191">
        <v>170.59286499023438</v>
      </c>
      <c r="AP40" s="191">
        <v>136.89285278320313</v>
      </c>
      <c r="AQ40" s="191">
        <v>4.1070137023925781</v>
      </c>
      <c r="AR40" s="91"/>
      <c r="AS40" s="93" t="e">
        <f t="shared" ca="1" si="8"/>
        <v>#REF!</v>
      </c>
      <c r="AT40" t="e">
        <f t="shared" ca="1" si="3"/>
        <v>#REF!</v>
      </c>
      <c r="AU40" s="94"/>
      <c r="AV40" s="94"/>
      <c r="BB40">
        <v>1</v>
      </c>
      <c r="BC40">
        <v>1</v>
      </c>
      <c r="BD40">
        <v>1</v>
      </c>
      <c r="BE40" t="e">
        <v>#REF!</v>
      </c>
      <c r="BF40" t="e">
        <v>#REF!</v>
      </c>
      <c r="BG40" t="e">
        <v>#REF!</v>
      </c>
      <c r="BH40" t="e">
        <v>#REF!</v>
      </c>
      <c r="BI40" t="e">
        <v>#REF!</v>
      </c>
      <c r="BJ40" t="e">
        <v>#REF!</v>
      </c>
      <c r="BK40" t="e">
        <v>#REF!</v>
      </c>
      <c r="BL40" t="e">
        <v>#REF!</v>
      </c>
      <c r="BM40" t="e">
        <v>#REF!</v>
      </c>
      <c r="BN40" t="e">
        <v>#REF!</v>
      </c>
      <c r="BO40" t="e">
        <v>#REF!</v>
      </c>
      <c r="BP40" t="e">
        <v>#REF!</v>
      </c>
      <c r="BQ40" t="e">
        <v>#REF!</v>
      </c>
      <c r="BR40" t="e">
        <v>#REF!</v>
      </c>
      <c r="BS40" t="e">
        <v>#REF!</v>
      </c>
      <c r="BT40" t="e">
        <v>#REF!</v>
      </c>
      <c r="BU40" t="e">
        <v>#REF!</v>
      </c>
      <c r="BV40" t="e">
        <v>#REF!</v>
      </c>
      <c r="BW40" t="e">
        <v>#REF!</v>
      </c>
      <c r="BX40" t="e">
        <v>#REF!</v>
      </c>
      <c r="BY40" t="e">
        <v>#REF!</v>
      </c>
      <c r="BZ40" t="e">
        <v>#REF!</v>
      </c>
      <c r="CA40" t="e">
        <v>#REF!</v>
      </c>
      <c r="CB40" t="e">
        <v>#REF!</v>
      </c>
      <c r="CC40" t="e">
        <v>#REF!</v>
      </c>
      <c r="CD40" t="e">
        <v>#REF!</v>
      </c>
      <c r="CE40" t="e">
        <v>#REF!</v>
      </c>
      <c r="CF40" t="e">
        <v>#REF!</v>
      </c>
      <c r="CG40" t="e">
        <v>#REF!</v>
      </c>
      <c r="CH40" t="e">
        <v>#REF!</v>
      </c>
      <c r="CI40" t="e">
        <v>#REF!</v>
      </c>
      <c r="CJ40" t="e">
        <v>#REF!</v>
      </c>
      <c r="CK40" t="e">
        <v>#REF!</v>
      </c>
      <c r="CL40" t="e">
        <v>#REF!</v>
      </c>
      <c r="CM40" t="e">
        <v>#REF!</v>
      </c>
      <c r="CN40" t="e">
        <v>#REF!</v>
      </c>
      <c r="CO40" t="e">
        <v>#REF!</v>
      </c>
      <c r="CP40" t="e">
        <v>#REF!</v>
      </c>
      <c r="CQ40" t="e">
        <v>#REF!</v>
      </c>
      <c r="CR40" t="e">
        <v>#REF!</v>
      </c>
      <c r="CS40" t="e">
        <v>#REF!</v>
      </c>
      <c r="CT40" t="e">
        <v>#REF!</v>
      </c>
      <c r="CU40" t="e">
        <v>#REF!</v>
      </c>
    </row>
    <row r="41" spans="1:99">
      <c r="A41" s="156">
        <v>49035</v>
      </c>
      <c r="B41" s="157" t="e">
        <f t="shared" ca="1" si="1"/>
        <v>#REF!</v>
      </c>
      <c r="C41">
        <v>-0.35</v>
      </c>
      <c r="D41" t="e">
        <f>D40+(D43-D39)/4</f>
        <v>#REF!</v>
      </c>
      <c r="E41" s="94">
        <f t="shared" si="0"/>
        <v>1.7391441384651429</v>
      </c>
      <c r="F41" t="e">
        <f t="shared" ca="1" si="9"/>
        <v>#REF!</v>
      </c>
      <c r="G41" s="90">
        <v>48945</v>
      </c>
      <c r="H41" s="131">
        <v>24438.955078125</v>
      </c>
      <c r="I41" s="131">
        <v>168.61459350585938</v>
      </c>
      <c r="J41" s="132">
        <v>136.58833312988281</v>
      </c>
      <c r="K41" s="132">
        <v>4.2188882827758789</v>
      </c>
      <c r="L41" s="133">
        <v>2.6255500316619873</v>
      </c>
      <c r="M41" s="134">
        <v>16.168882369995117</v>
      </c>
      <c r="N41" s="133">
        <v>2.6971578598022461</v>
      </c>
      <c r="O41" s="135">
        <v>0.25763583183288574</v>
      </c>
      <c r="P41" s="136">
        <v>3.0999999046325684</v>
      </c>
      <c r="Q41" s="92"/>
      <c r="R41" s="92"/>
      <c r="S41" s="109">
        <v>4325.9306640625</v>
      </c>
      <c r="T41" s="109">
        <v>50615.9140625</v>
      </c>
      <c r="U41" s="109">
        <v>42884.76953125</v>
      </c>
      <c r="V41" s="109">
        <v>1593.951904296875</v>
      </c>
      <c r="W41" s="111">
        <f t="shared" si="10"/>
        <v>7.9257416243389209E-3</v>
      </c>
      <c r="X41" s="109"/>
      <c r="Y41" s="92"/>
      <c r="Z41" s="92" t="e">
        <f t="shared" si="4"/>
        <v>#REF!</v>
      </c>
      <c r="AA41" s="92"/>
      <c r="AB41" s="98" t="e">
        <f t="shared" si="11"/>
        <v>#REF!</v>
      </c>
      <c r="AC41" t="e">
        <f>#REF!*100</f>
        <v>#REF!</v>
      </c>
      <c r="AE41" t="e">
        <f t="shared" si="12"/>
        <v>#REF!</v>
      </c>
      <c r="AF41" t="e">
        <f>-SUM($AE$3:AE41)*W41</f>
        <v>#REF!</v>
      </c>
      <c r="AG41" s="112" t="e">
        <f t="shared" si="13"/>
        <v>#REF!</v>
      </c>
      <c r="AH41" t="e">
        <f t="shared" si="6"/>
        <v>#REF!</v>
      </c>
      <c r="AJ41">
        <v>39</v>
      </c>
      <c r="AK41" t="e">
        <f ca="1">PRODUCT(BB41:OFFSET(BA41,0,AJ41))</f>
        <v>#REF!</v>
      </c>
      <c r="AL41" t="e">
        <f ca="1">MIN((AN41/H41)*(AK41),(1+'F5 Foreign GDP'!$H$2/100)*AK41)</f>
        <v>#REF!</v>
      </c>
      <c r="AN41" s="190">
        <v>24440.455078125</v>
      </c>
      <c r="AO41" s="190">
        <v>171.49044799804688</v>
      </c>
      <c r="AP41" s="190">
        <v>136.9923095703125</v>
      </c>
      <c r="AQ41" s="190">
        <v>4.1014723777770996</v>
      </c>
      <c r="AR41" s="91"/>
      <c r="AS41" s="93" t="e">
        <f t="shared" ca="1" si="8"/>
        <v>#REF!</v>
      </c>
      <c r="AT41" t="e">
        <f t="shared" ca="1" si="3"/>
        <v>#REF!</v>
      </c>
      <c r="AU41" s="94"/>
      <c r="AV41" s="94"/>
      <c r="BB41">
        <v>1</v>
      </c>
      <c r="BC41">
        <v>1</v>
      </c>
      <c r="BD41">
        <v>1</v>
      </c>
      <c r="BE41" t="e">
        <v>#REF!</v>
      </c>
      <c r="BF41" t="e">
        <v>#REF!</v>
      </c>
      <c r="BG41" t="e">
        <v>#REF!</v>
      </c>
      <c r="BH41" t="e">
        <v>#REF!</v>
      </c>
      <c r="BI41" t="e">
        <v>#REF!</v>
      </c>
      <c r="BJ41" t="e">
        <v>#REF!</v>
      </c>
      <c r="BK41" t="e">
        <v>#REF!</v>
      </c>
      <c r="BL41" t="e">
        <v>#REF!</v>
      </c>
      <c r="BM41" t="e">
        <v>#REF!</v>
      </c>
      <c r="BN41" t="e">
        <v>#REF!</v>
      </c>
      <c r="BO41" t="e">
        <v>#REF!</v>
      </c>
      <c r="BP41" t="e">
        <v>#REF!</v>
      </c>
      <c r="BQ41" t="e">
        <v>#REF!</v>
      </c>
      <c r="BR41" t="e">
        <v>#REF!</v>
      </c>
      <c r="BS41" t="e">
        <v>#REF!</v>
      </c>
      <c r="BT41" t="e">
        <v>#REF!</v>
      </c>
      <c r="BU41" t="e">
        <v>#REF!</v>
      </c>
      <c r="BV41" t="e">
        <v>#REF!</v>
      </c>
      <c r="BW41" t="e">
        <v>#REF!</v>
      </c>
      <c r="BX41" t="e">
        <v>#REF!</v>
      </c>
      <c r="BY41" t="e">
        <v>#REF!</v>
      </c>
      <c r="BZ41" t="e">
        <v>#REF!</v>
      </c>
      <c r="CA41" t="e">
        <v>#REF!</v>
      </c>
      <c r="CB41" t="e">
        <v>#REF!</v>
      </c>
      <c r="CC41" t="e">
        <v>#REF!</v>
      </c>
      <c r="CD41" t="e">
        <v>#REF!</v>
      </c>
      <c r="CE41" t="e">
        <v>#REF!</v>
      </c>
      <c r="CF41" t="e">
        <v>#REF!</v>
      </c>
      <c r="CG41" t="e">
        <v>#REF!</v>
      </c>
      <c r="CH41" t="e">
        <v>#REF!</v>
      </c>
      <c r="CI41" t="e">
        <v>#REF!</v>
      </c>
      <c r="CJ41" t="e">
        <v>#REF!</v>
      </c>
      <c r="CK41" t="e">
        <v>#REF!</v>
      </c>
      <c r="CL41" t="e">
        <v>#REF!</v>
      </c>
      <c r="CM41" t="e">
        <v>#REF!</v>
      </c>
      <c r="CN41" t="e">
        <v>#REF!</v>
      </c>
      <c r="CO41" t="e">
        <v>#REF!</v>
      </c>
      <c r="CP41" t="e">
        <v>#REF!</v>
      </c>
      <c r="CQ41" t="e">
        <v>#REF!</v>
      </c>
      <c r="CR41" t="e">
        <v>#REF!</v>
      </c>
      <c r="CS41" t="e">
        <v>#REF!</v>
      </c>
      <c r="CT41" t="e">
        <v>#REF!</v>
      </c>
      <c r="CU41" t="e">
        <v>#REF!</v>
      </c>
    </row>
    <row r="42" spans="1:99">
      <c r="A42" s="156">
        <v>49126</v>
      </c>
      <c r="B42" s="157" t="e">
        <f t="shared" ca="1" si="1"/>
        <v>#REF!</v>
      </c>
      <c r="C42">
        <v>-0.35</v>
      </c>
      <c r="D42" t="e">
        <f>D41+(D43-D39)/4</f>
        <v>#REF!</v>
      </c>
      <c r="E42" s="94">
        <f t="shared" si="0"/>
        <v>1.7738508421824006</v>
      </c>
      <c r="F42" t="e">
        <f t="shared" ca="1" si="9"/>
        <v>#REF!</v>
      </c>
      <c r="G42" s="90">
        <v>49035</v>
      </c>
      <c r="H42" s="131">
        <v>24550.01171875</v>
      </c>
      <c r="I42" s="131">
        <v>169.4427490234375</v>
      </c>
      <c r="J42" s="132">
        <v>136.66954040527344</v>
      </c>
      <c r="K42" s="132">
        <v>4.219386100769043</v>
      </c>
      <c r="L42" s="133">
        <v>2.6252439022064209</v>
      </c>
      <c r="M42" s="134">
        <v>16.168861389160156</v>
      </c>
      <c r="N42" s="133">
        <v>2.6971194744110107</v>
      </c>
      <c r="O42" s="135">
        <v>0.25725841522216797</v>
      </c>
      <c r="P42" s="136">
        <v>3.0999999046325684</v>
      </c>
      <c r="Q42" s="92"/>
      <c r="R42" s="92"/>
      <c r="S42" s="109">
        <v>4365.4384765625</v>
      </c>
      <c r="T42" s="109">
        <v>51296.7109375</v>
      </c>
      <c r="U42" s="109">
        <v>43324.05859375</v>
      </c>
      <c r="V42" s="109">
        <v>1613.1697998046875</v>
      </c>
      <c r="W42" s="111">
        <f t="shared" si="10"/>
        <v>7.9144747758419891E-3</v>
      </c>
      <c r="X42" s="109"/>
      <c r="Y42" s="92"/>
      <c r="Z42" s="92" t="e">
        <f t="shared" si="4"/>
        <v>#REF!</v>
      </c>
      <c r="AA42" s="92"/>
      <c r="AB42" s="98" t="e">
        <f t="shared" si="11"/>
        <v>#REF!</v>
      </c>
      <c r="AC42" t="e">
        <f>#REF!*100</f>
        <v>#REF!</v>
      </c>
      <c r="AE42" t="e">
        <f t="shared" si="12"/>
        <v>#REF!</v>
      </c>
      <c r="AF42" t="e">
        <f>-SUM($AE$3:AE42)*W42</f>
        <v>#REF!</v>
      </c>
      <c r="AG42" s="112" t="e">
        <f t="shared" si="13"/>
        <v>#REF!</v>
      </c>
      <c r="AH42" t="e">
        <f t="shared" si="6"/>
        <v>#REF!</v>
      </c>
      <c r="AJ42">
        <v>40</v>
      </c>
      <c r="AK42" t="e">
        <f ca="1">PRODUCT(BB42:OFFSET(BA42,0,AJ42))</f>
        <v>#REF!</v>
      </c>
      <c r="AL42" t="e">
        <f ca="1">MIN((AN42/H42)*(AK42),(1+'F5 Foreign GDP'!$H$2/100)*AK42)</f>
        <v>#REF!</v>
      </c>
      <c r="AN42" s="190">
        <v>24551.86328125</v>
      </c>
      <c r="AO42" s="190">
        <v>172.38960266113281</v>
      </c>
      <c r="AP42" s="190">
        <v>137.09211730957031</v>
      </c>
      <c r="AQ42" s="190">
        <v>4.095667839050293</v>
      </c>
      <c r="AR42" s="91"/>
      <c r="AS42" s="93" t="e">
        <f t="shared" ca="1" si="8"/>
        <v>#REF!</v>
      </c>
      <c r="AT42" t="e">
        <f t="shared" ca="1" si="3"/>
        <v>#REF!</v>
      </c>
      <c r="AU42" s="94"/>
      <c r="AV42" s="94"/>
      <c r="BB42">
        <v>1</v>
      </c>
      <c r="BC42">
        <v>1</v>
      </c>
      <c r="BD42">
        <v>1</v>
      </c>
      <c r="BE42" t="e">
        <v>#REF!</v>
      </c>
      <c r="BF42" t="e">
        <v>#REF!</v>
      </c>
      <c r="BG42" t="e">
        <v>#REF!</v>
      </c>
      <c r="BH42" t="e">
        <v>#REF!</v>
      </c>
      <c r="BI42" t="e">
        <v>#REF!</v>
      </c>
      <c r="BJ42" t="e">
        <v>#REF!</v>
      </c>
      <c r="BK42" t="e">
        <v>#REF!</v>
      </c>
      <c r="BL42" t="e">
        <v>#REF!</v>
      </c>
      <c r="BM42" t="e">
        <v>#REF!</v>
      </c>
      <c r="BN42" t="e">
        <v>#REF!</v>
      </c>
      <c r="BO42" t="e">
        <v>#REF!</v>
      </c>
      <c r="BP42" t="e">
        <v>#REF!</v>
      </c>
      <c r="BQ42" t="e">
        <v>#REF!</v>
      </c>
      <c r="BR42" t="e">
        <v>#REF!</v>
      </c>
      <c r="BS42" t="e">
        <v>#REF!</v>
      </c>
      <c r="BT42" t="e">
        <v>#REF!</v>
      </c>
      <c r="BU42" t="e">
        <v>#REF!</v>
      </c>
      <c r="BV42" t="e">
        <v>#REF!</v>
      </c>
      <c r="BW42" t="e">
        <v>#REF!</v>
      </c>
      <c r="BX42" t="e">
        <v>#REF!</v>
      </c>
      <c r="BY42" t="e">
        <v>#REF!</v>
      </c>
      <c r="BZ42" t="e">
        <v>#REF!</v>
      </c>
      <c r="CA42" t="e">
        <v>#REF!</v>
      </c>
      <c r="CB42" t="e">
        <v>#REF!</v>
      </c>
      <c r="CC42" t="e">
        <v>#REF!</v>
      </c>
      <c r="CD42" t="e">
        <v>#REF!</v>
      </c>
      <c r="CE42" t="e">
        <v>#REF!</v>
      </c>
      <c r="CF42" t="e">
        <v>#REF!</v>
      </c>
      <c r="CG42" t="e">
        <v>#REF!</v>
      </c>
      <c r="CH42" t="e">
        <v>#REF!</v>
      </c>
      <c r="CI42" t="e">
        <v>#REF!</v>
      </c>
      <c r="CJ42" t="e">
        <v>#REF!</v>
      </c>
      <c r="CK42" t="e">
        <v>#REF!</v>
      </c>
      <c r="CL42" t="e">
        <v>#REF!</v>
      </c>
      <c r="CM42" t="e">
        <v>#REF!</v>
      </c>
      <c r="CN42" t="e">
        <v>#REF!</v>
      </c>
      <c r="CO42" t="e">
        <v>#REF!</v>
      </c>
      <c r="CP42" t="e">
        <v>#REF!</v>
      </c>
      <c r="CQ42" t="e">
        <v>#REF!</v>
      </c>
      <c r="CR42" t="e">
        <v>#REF!</v>
      </c>
      <c r="CS42" t="e">
        <v>#REF!</v>
      </c>
      <c r="CT42" t="e">
        <v>#REF!</v>
      </c>
      <c r="CU42" t="e">
        <v>#REF!</v>
      </c>
    </row>
    <row r="43" spans="1:99">
      <c r="A43" s="156">
        <v>49218</v>
      </c>
      <c r="B43" s="157" t="e">
        <f t="shared" ca="1" si="1"/>
        <v>#REF!</v>
      </c>
      <c r="C43">
        <v>-0.35</v>
      </c>
      <c r="D43" t="e">
        <f>#REF!/#REF!</f>
        <v>#REF!</v>
      </c>
      <c r="E43" s="94">
        <f t="shared" si="0"/>
        <v>1.8096370890401614</v>
      </c>
      <c r="F43" t="e">
        <f t="shared" ca="1" si="9"/>
        <v>#REF!</v>
      </c>
      <c r="G43" s="90">
        <v>49126</v>
      </c>
      <c r="H43" s="131">
        <v>24660.83203125</v>
      </c>
      <c r="I43" s="131">
        <v>170.27711486816406</v>
      </c>
      <c r="J43" s="132">
        <v>136.74754333496094</v>
      </c>
      <c r="K43" s="132">
        <v>4.2148985862731934</v>
      </c>
      <c r="L43" s="133">
        <v>2.626323938369751</v>
      </c>
      <c r="M43" s="134">
        <v>16.168848037719727</v>
      </c>
      <c r="N43" s="133">
        <v>2.6967620849609375</v>
      </c>
      <c r="O43" s="135">
        <v>0.25650644302368164</v>
      </c>
      <c r="P43" s="136">
        <v>3.0999999046325684</v>
      </c>
      <c r="Q43" s="92"/>
      <c r="R43" s="92"/>
      <c r="S43" s="109">
        <v>4405.62646484375</v>
      </c>
      <c r="T43" s="109">
        <v>51982.0390625</v>
      </c>
      <c r="U43" s="109">
        <v>43766.125</v>
      </c>
      <c r="V43" s="109">
        <v>1632.6162109375</v>
      </c>
      <c r="W43" s="111">
        <f t="shared" si="10"/>
        <v>7.9039309196591752E-3</v>
      </c>
      <c r="X43" s="109"/>
      <c r="Y43" s="92"/>
      <c r="Z43" s="92" t="e">
        <f t="shared" si="4"/>
        <v>#REF!</v>
      </c>
      <c r="AA43" s="92"/>
      <c r="AB43" s="98" t="e">
        <f t="shared" si="11"/>
        <v>#REF!</v>
      </c>
      <c r="AC43" t="e">
        <f>#REF!*100</f>
        <v>#REF!</v>
      </c>
      <c r="AE43" t="e">
        <f t="shared" si="12"/>
        <v>#REF!</v>
      </c>
      <c r="AF43" t="e">
        <f>-SUM($AE$3:AE43)*W43</f>
        <v>#REF!</v>
      </c>
      <c r="AG43" s="112" t="e">
        <f t="shared" si="13"/>
        <v>#REF!</v>
      </c>
      <c r="AH43" t="e">
        <f t="shared" si="6"/>
        <v>#REF!</v>
      </c>
      <c r="AJ43">
        <v>41</v>
      </c>
      <c r="AK43" t="e">
        <f ca="1">PRODUCT(BB43:OFFSET(BA43,0,AJ43))</f>
        <v>#REF!</v>
      </c>
      <c r="AL43" t="e">
        <f ca="1">MIN((AN43/H43)*(AK43),(1+'F5 Foreign GDP'!$H$2/100)*AK43)</f>
        <v>#REF!</v>
      </c>
      <c r="AN43" s="190">
        <v>24662.693359375</v>
      </c>
      <c r="AO43" s="190">
        <v>173.29757690429688</v>
      </c>
      <c r="AP43" s="190">
        <v>137.18501281738281</v>
      </c>
      <c r="AQ43" s="190">
        <v>4.0866894721984863</v>
      </c>
      <c r="AR43" s="91"/>
      <c r="AS43" s="93" t="e">
        <f t="shared" ca="1" si="8"/>
        <v>#REF!</v>
      </c>
      <c r="AT43" t="e">
        <f t="shared" ca="1" si="3"/>
        <v>#REF!</v>
      </c>
      <c r="AU43" s="94"/>
      <c r="AV43" s="94"/>
      <c r="BB43">
        <v>1</v>
      </c>
      <c r="BC43">
        <v>1</v>
      </c>
      <c r="BD43">
        <v>1</v>
      </c>
      <c r="BE43" t="e">
        <v>#REF!</v>
      </c>
      <c r="BF43" t="e">
        <v>#REF!</v>
      </c>
      <c r="BG43" t="e">
        <v>#REF!</v>
      </c>
      <c r="BH43" t="e">
        <v>#REF!</v>
      </c>
      <c r="BI43" t="e">
        <v>#REF!</v>
      </c>
      <c r="BJ43" t="e">
        <v>#REF!</v>
      </c>
      <c r="BK43" t="e">
        <v>#REF!</v>
      </c>
      <c r="BL43" t="e">
        <v>#REF!</v>
      </c>
      <c r="BM43" t="e">
        <v>#REF!</v>
      </c>
      <c r="BN43" t="e">
        <v>#REF!</v>
      </c>
      <c r="BO43" t="e">
        <v>#REF!</v>
      </c>
      <c r="BP43" t="e">
        <v>#REF!</v>
      </c>
      <c r="BQ43" t="e">
        <v>#REF!</v>
      </c>
      <c r="BR43" t="e">
        <v>#REF!</v>
      </c>
      <c r="BS43" t="e">
        <v>#REF!</v>
      </c>
      <c r="BT43" t="e">
        <v>#REF!</v>
      </c>
      <c r="BU43" t="e">
        <v>#REF!</v>
      </c>
      <c r="BV43" t="e">
        <v>#REF!</v>
      </c>
      <c r="BW43" t="e">
        <v>#REF!</v>
      </c>
      <c r="BX43" t="e">
        <v>#REF!</v>
      </c>
      <c r="BY43" t="e">
        <v>#REF!</v>
      </c>
      <c r="BZ43" t="e">
        <v>#REF!</v>
      </c>
      <c r="CA43" t="e">
        <v>#REF!</v>
      </c>
      <c r="CB43" t="e">
        <v>#REF!</v>
      </c>
      <c r="CC43" t="e">
        <v>#REF!</v>
      </c>
      <c r="CD43" t="e">
        <v>#REF!</v>
      </c>
      <c r="CE43" t="e">
        <v>#REF!</v>
      </c>
      <c r="CF43" t="e">
        <v>#REF!</v>
      </c>
      <c r="CG43" t="e">
        <v>#REF!</v>
      </c>
      <c r="CH43" t="e">
        <v>#REF!</v>
      </c>
      <c r="CI43" t="e">
        <v>#REF!</v>
      </c>
      <c r="CJ43" t="e">
        <v>#REF!</v>
      </c>
      <c r="CK43" t="e">
        <v>#REF!</v>
      </c>
      <c r="CL43" t="e">
        <v>#REF!</v>
      </c>
      <c r="CM43" t="e">
        <v>#REF!</v>
      </c>
      <c r="CN43" t="e">
        <v>#REF!</v>
      </c>
      <c r="CO43" t="e">
        <v>#REF!</v>
      </c>
      <c r="CP43" t="e">
        <v>#REF!</v>
      </c>
      <c r="CQ43" t="e">
        <v>#REF!</v>
      </c>
      <c r="CR43" t="e">
        <v>#REF!</v>
      </c>
      <c r="CS43" t="e">
        <v>#REF!</v>
      </c>
      <c r="CT43" t="e">
        <v>#REF!</v>
      </c>
      <c r="CU43" t="e">
        <v>#REF!</v>
      </c>
    </row>
    <row r="44" spans="1:99">
      <c r="A44" s="156">
        <v>49310</v>
      </c>
      <c r="B44" s="157" t="e">
        <f t="shared" ca="1" si="1"/>
        <v>#REF!</v>
      </c>
      <c r="C44">
        <v>-0.35</v>
      </c>
      <c r="D44" t="e">
        <f>D43</f>
        <v>#REF!</v>
      </c>
      <c r="E44" s="94">
        <f t="shared" si="0"/>
        <v>1.8462047613111432</v>
      </c>
      <c r="F44" t="e">
        <f t="shared" ca="1" si="9"/>
        <v>#REF!</v>
      </c>
      <c r="G44" s="90">
        <v>49218</v>
      </c>
      <c r="H44" s="137">
        <v>24772.056640625</v>
      </c>
      <c r="I44" s="137">
        <v>171.12074279785156</v>
      </c>
      <c r="J44" s="138">
        <v>136.82351684570313</v>
      </c>
      <c r="K44" s="138">
        <v>4.2125720977783203</v>
      </c>
      <c r="L44" s="139">
        <v>2.6268045902252197</v>
      </c>
      <c r="M44" s="140">
        <v>16.168840408325195</v>
      </c>
      <c r="N44" s="139">
        <v>2.6972994804382324</v>
      </c>
      <c r="O44" s="141">
        <v>0.25472044944763184</v>
      </c>
      <c r="P44" s="142">
        <v>3.0999999046325684</v>
      </c>
      <c r="Q44" s="92"/>
      <c r="R44" s="92"/>
      <c r="S44" s="110">
        <v>4446.02783203125</v>
      </c>
      <c r="T44" s="110">
        <v>52671.97265625</v>
      </c>
      <c r="U44" s="110">
        <v>44213.40625</v>
      </c>
      <c r="V44" s="110">
        <v>1652.2869873046875</v>
      </c>
      <c r="W44" s="111">
        <f t="shared" si="10"/>
        <v>7.8940451501519505E-3</v>
      </c>
      <c r="X44" s="109"/>
      <c r="Y44" s="92"/>
      <c r="Z44" s="92" t="e">
        <f t="shared" si="4"/>
        <v>#REF!</v>
      </c>
      <c r="AA44" s="92"/>
      <c r="AB44" s="98" t="e">
        <f t="shared" si="11"/>
        <v>#REF!</v>
      </c>
      <c r="AC44" t="e">
        <f>#REF!*100</f>
        <v>#REF!</v>
      </c>
      <c r="AE44" t="e">
        <f t="shared" si="12"/>
        <v>#REF!</v>
      </c>
      <c r="AF44" t="e">
        <f>-SUM($AE$3:AE44)*W44</f>
        <v>#REF!</v>
      </c>
      <c r="AG44" s="112" t="e">
        <f t="shared" si="13"/>
        <v>#REF!</v>
      </c>
      <c r="AH44" t="e">
        <f t="shared" si="6"/>
        <v>#REF!</v>
      </c>
      <c r="AJ44">
        <v>42</v>
      </c>
      <c r="AK44" t="e">
        <f ca="1">PRODUCT(BB44:OFFSET(BA44,0,AJ44))</f>
        <v>#REF!</v>
      </c>
      <c r="AL44" t="e">
        <f ca="1">MIN((AN44/H44)*(AK44),(1+'F5 Foreign GDP'!$H$2/100)*AK44)</f>
        <v>#REF!</v>
      </c>
      <c r="AN44" s="191">
        <v>24773.55859375</v>
      </c>
      <c r="AO44" s="191">
        <v>174.2174072265625</v>
      </c>
      <c r="AP44" s="191">
        <v>137.27456665039063</v>
      </c>
      <c r="AQ44" s="191">
        <v>4.080024242401123</v>
      </c>
      <c r="AR44" s="91"/>
      <c r="AS44" s="93" t="e">
        <f t="shared" ca="1" si="8"/>
        <v>#REF!</v>
      </c>
      <c r="AT44" t="e">
        <f t="shared" ca="1" si="3"/>
        <v>#REF!</v>
      </c>
      <c r="AU44" s="94"/>
      <c r="AV44" s="94"/>
      <c r="BB44">
        <v>1</v>
      </c>
      <c r="BC44">
        <v>1</v>
      </c>
      <c r="BD44">
        <v>1</v>
      </c>
      <c r="BE44" t="e">
        <v>#REF!</v>
      </c>
      <c r="BF44" t="e">
        <v>#REF!</v>
      </c>
      <c r="BG44" t="e">
        <v>#REF!</v>
      </c>
      <c r="BH44" t="e">
        <v>#REF!</v>
      </c>
      <c r="BI44" t="e">
        <v>#REF!</v>
      </c>
      <c r="BJ44" t="e">
        <v>#REF!</v>
      </c>
      <c r="BK44" t="e">
        <v>#REF!</v>
      </c>
      <c r="BL44" t="e">
        <v>#REF!</v>
      </c>
      <c r="BM44" t="e">
        <v>#REF!</v>
      </c>
      <c r="BN44" t="e">
        <v>#REF!</v>
      </c>
      <c r="BO44" t="e">
        <v>#REF!</v>
      </c>
      <c r="BP44" t="e">
        <v>#REF!</v>
      </c>
      <c r="BQ44" t="e">
        <v>#REF!</v>
      </c>
      <c r="BR44" t="e">
        <v>#REF!</v>
      </c>
      <c r="BS44" t="e">
        <v>#REF!</v>
      </c>
      <c r="BT44" t="e">
        <v>#REF!</v>
      </c>
      <c r="BU44" t="e">
        <v>#REF!</v>
      </c>
      <c r="BV44" t="e">
        <v>#REF!</v>
      </c>
      <c r="BW44" t="e">
        <v>#REF!</v>
      </c>
      <c r="BX44" t="e">
        <v>#REF!</v>
      </c>
      <c r="BY44" t="e">
        <v>#REF!</v>
      </c>
      <c r="BZ44" t="e">
        <v>#REF!</v>
      </c>
      <c r="CA44" t="e">
        <v>#REF!</v>
      </c>
      <c r="CB44" t="e">
        <v>#REF!</v>
      </c>
      <c r="CC44" t="e">
        <v>#REF!</v>
      </c>
      <c r="CD44" t="e">
        <v>#REF!</v>
      </c>
      <c r="CE44" t="e">
        <v>#REF!</v>
      </c>
      <c r="CF44" t="e">
        <v>#REF!</v>
      </c>
      <c r="CG44" t="e">
        <v>#REF!</v>
      </c>
      <c r="CH44" t="e">
        <v>#REF!</v>
      </c>
      <c r="CI44" t="e">
        <v>#REF!</v>
      </c>
      <c r="CJ44" t="e">
        <v>#REF!</v>
      </c>
      <c r="CK44" t="e">
        <v>#REF!</v>
      </c>
      <c r="CL44" t="e">
        <v>#REF!</v>
      </c>
      <c r="CM44" t="e">
        <v>#REF!</v>
      </c>
      <c r="CN44" t="e">
        <v>#REF!</v>
      </c>
      <c r="CO44" t="e">
        <v>#REF!</v>
      </c>
      <c r="CP44" t="e">
        <v>#REF!</v>
      </c>
      <c r="CQ44" t="e">
        <v>#REF!</v>
      </c>
      <c r="CR44" t="e">
        <v>#REF!</v>
      </c>
      <c r="CS44" t="e">
        <v>#REF!</v>
      </c>
      <c r="CT44" t="e">
        <v>#REF!</v>
      </c>
      <c r="CU44" t="e">
        <v>#REF!</v>
      </c>
    </row>
    <row r="45" spans="1:99">
      <c r="A45" s="156">
        <v>49400</v>
      </c>
      <c r="B45" s="157" t="e">
        <f t="shared" ca="1" si="1"/>
        <v>#REF!</v>
      </c>
      <c r="C45">
        <v>-0.35</v>
      </c>
      <c r="D45" t="e">
        <f t="shared" ref="D45:D47" si="17">D44</f>
        <v>#REF!</v>
      </c>
      <c r="E45" s="94">
        <f t="shared" si="0"/>
        <v>1.8838724919707506</v>
      </c>
      <c r="F45" t="e">
        <f t="shared" ca="1" si="9"/>
        <v>#REF!</v>
      </c>
      <c r="G45" s="90">
        <v>49310</v>
      </c>
      <c r="H45" s="131">
        <v>24886.5859375</v>
      </c>
      <c r="I45" s="131">
        <v>171.97624206542969</v>
      </c>
      <c r="J45" s="132">
        <v>136.89849853515625</v>
      </c>
      <c r="K45" s="132">
        <v>4.2123184204101563</v>
      </c>
      <c r="L45" s="133">
        <v>2.6266076564788818</v>
      </c>
      <c r="M45" s="134">
        <v>16.168834686279297</v>
      </c>
      <c r="N45" s="133">
        <v>2.6973869800567627</v>
      </c>
      <c r="O45" s="135">
        <v>0.25296139717102051</v>
      </c>
      <c r="P45" s="136">
        <v>3.0999999046325684</v>
      </c>
      <c r="Q45" s="92"/>
      <c r="R45" s="92"/>
      <c r="S45" s="109">
        <v>4487.17626953125</v>
      </c>
      <c r="T45" s="109">
        <v>53377.2578125</v>
      </c>
      <c r="U45" s="109">
        <v>44671.6953125</v>
      </c>
      <c r="V45" s="109">
        <v>1672.34521484375</v>
      </c>
      <c r="W45" s="111">
        <f t="shared" si="10"/>
        <v>7.8847588400773327E-3</v>
      </c>
      <c r="X45" s="109"/>
      <c r="Y45" s="92"/>
      <c r="Z45" s="92" t="e">
        <f t="shared" si="4"/>
        <v>#REF!</v>
      </c>
      <c r="AA45" s="92"/>
      <c r="AB45" s="98" t="e">
        <f t="shared" si="11"/>
        <v>#REF!</v>
      </c>
      <c r="AC45" t="e">
        <f>#REF!*100</f>
        <v>#REF!</v>
      </c>
      <c r="AE45" t="e">
        <f t="shared" si="12"/>
        <v>#REF!</v>
      </c>
      <c r="AF45" t="e">
        <f>-SUM($AE$3:AE45)*W45</f>
        <v>#REF!</v>
      </c>
      <c r="AG45" s="112" t="e">
        <f t="shared" si="13"/>
        <v>#REF!</v>
      </c>
      <c r="AH45" t="e">
        <f t="shared" si="6"/>
        <v>#REF!</v>
      </c>
      <c r="AJ45">
        <v>43</v>
      </c>
      <c r="AK45" t="e">
        <f ca="1">PRODUCT(BB45:OFFSET(BA45,0,AJ45))</f>
        <v>#REF!</v>
      </c>
      <c r="AL45" t="e">
        <f ca="1">MIN((AN45/H45)*(AK45),(1+'F5 Foreign GDP'!$H$2/100)*AK45)</f>
        <v>#REF!</v>
      </c>
      <c r="AN45" s="190">
        <v>24887.46484375</v>
      </c>
      <c r="AO45" s="190">
        <v>175.15127563476563</v>
      </c>
      <c r="AP45" s="190">
        <v>137.35981750488281</v>
      </c>
      <c r="AQ45" s="190">
        <v>4.0770554542541504</v>
      </c>
      <c r="AR45" s="91"/>
      <c r="AS45" s="93" t="e">
        <f t="shared" ca="1" si="8"/>
        <v>#REF!</v>
      </c>
      <c r="AT45" t="e">
        <f t="shared" ca="1" si="3"/>
        <v>#REF!</v>
      </c>
      <c r="AU45" s="94"/>
      <c r="AV45" s="94"/>
      <c r="BB45">
        <v>1</v>
      </c>
      <c r="BC45">
        <v>1</v>
      </c>
      <c r="BD45">
        <v>1</v>
      </c>
      <c r="BE45" t="e">
        <v>#REF!</v>
      </c>
      <c r="BF45" t="e">
        <v>#REF!</v>
      </c>
      <c r="BG45" t="e">
        <v>#REF!</v>
      </c>
      <c r="BH45" t="e">
        <v>#REF!</v>
      </c>
      <c r="BI45" t="e">
        <v>#REF!</v>
      </c>
      <c r="BJ45" t="e">
        <v>#REF!</v>
      </c>
      <c r="BK45" t="e">
        <v>#REF!</v>
      </c>
      <c r="BL45" t="e">
        <v>#REF!</v>
      </c>
      <c r="BM45" t="e">
        <v>#REF!</v>
      </c>
      <c r="BN45" t="e">
        <v>#REF!</v>
      </c>
      <c r="BO45" t="e">
        <v>#REF!</v>
      </c>
      <c r="BP45" t="e">
        <v>#REF!</v>
      </c>
      <c r="BQ45" t="e">
        <v>#REF!</v>
      </c>
      <c r="BR45" t="e">
        <v>#REF!</v>
      </c>
      <c r="BS45" t="e">
        <v>#REF!</v>
      </c>
      <c r="BT45" t="e">
        <v>#REF!</v>
      </c>
      <c r="BU45" t="e">
        <v>#REF!</v>
      </c>
      <c r="BV45" t="e">
        <v>#REF!</v>
      </c>
      <c r="BW45" t="e">
        <v>#REF!</v>
      </c>
      <c r="BX45" t="e">
        <v>#REF!</v>
      </c>
      <c r="BY45" t="e">
        <v>#REF!</v>
      </c>
      <c r="BZ45" t="e">
        <v>#REF!</v>
      </c>
      <c r="CA45" t="e">
        <v>#REF!</v>
      </c>
      <c r="CB45" t="e">
        <v>#REF!</v>
      </c>
      <c r="CC45" t="e">
        <v>#REF!</v>
      </c>
      <c r="CD45" t="e">
        <v>#REF!</v>
      </c>
      <c r="CE45" t="e">
        <v>#REF!</v>
      </c>
      <c r="CF45" t="e">
        <v>#REF!</v>
      </c>
      <c r="CG45" t="e">
        <v>#REF!</v>
      </c>
      <c r="CH45" t="e">
        <v>#REF!</v>
      </c>
      <c r="CI45" t="e">
        <v>#REF!</v>
      </c>
      <c r="CJ45" t="e">
        <v>#REF!</v>
      </c>
      <c r="CK45" t="e">
        <v>#REF!</v>
      </c>
      <c r="CL45" t="e">
        <v>#REF!</v>
      </c>
      <c r="CM45" t="e">
        <v>#REF!</v>
      </c>
      <c r="CN45" t="e">
        <v>#REF!</v>
      </c>
      <c r="CO45" t="e">
        <v>#REF!</v>
      </c>
      <c r="CP45" t="e">
        <v>#REF!</v>
      </c>
      <c r="CQ45" t="e">
        <v>#REF!</v>
      </c>
      <c r="CR45" t="e">
        <v>#REF!</v>
      </c>
      <c r="CS45" t="e">
        <v>#REF!</v>
      </c>
      <c r="CT45" t="e">
        <v>#REF!</v>
      </c>
      <c r="CU45" t="e">
        <v>#REF!</v>
      </c>
    </row>
    <row r="46" spans="1:99">
      <c r="A46" s="156">
        <v>49491</v>
      </c>
      <c r="B46" s="157" t="e">
        <f t="shared" ca="1" si="1"/>
        <v>#REF!</v>
      </c>
      <c r="C46">
        <v>-0.35</v>
      </c>
      <c r="D46" t="e">
        <f t="shared" si="17"/>
        <v>#REF!</v>
      </c>
      <c r="E46" s="94">
        <f t="shared" si="0"/>
        <v>1.9225947601520188</v>
      </c>
      <c r="F46" t="e">
        <f t="shared" ca="1" si="9"/>
        <v>#REF!</v>
      </c>
      <c r="G46" s="90">
        <v>49400</v>
      </c>
      <c r="H46" s="131">
        <v>25002.3671875</v>
      </c>
      <c r="I46" s="131">
        <v>172.83206176757813</v>
      </c>
      <c r="J46" s="132">
        <v>136.97587585449219</v>
      </c>
      <c r="K46" s="132">
        <v>4.2115287780761719</v>
      </c>
      <c r="L46" s="133">
        <v>2.6268002986907959</v>
      </c>
      <c r="M46" s="134">
        <v>16.168830871582031</v>
      </c>
      <c r="N46" s="133">
        <v>2.6970739364624023</v>
      </c>
      <c r="O46" s="135">
        <v>0.25167727470397949</v>
      </c>
      <c r="P46" s="136">
        <v>3.0999999046325684</v>
      </c>
      <c r="Q46" s="92"/>
      <c r="R46" s="92"/>
      <c r="S46" s="109">
        <v>4529.44580078125</v>
      </c>
      <c r="T46" s="109">
        <v>54086.84765625</v>
      </c>
      <c r="U46" s="109">
        <v>45134.93359375</v>
      </c>
      <c r="V46" s="109">
        <v>1692.748046875</v>
      </c>
      <c r="W46" s="111">
        <f t="shared" si="10"/>
        <v>7.8758765054218142E-3</v>
      </c>
      <c r="X46" s="109"/>
      <c r="Y46" s="92"/>
      <c r="Z46" s="92" t="e">
        <f t="shared" si="4"/>
        <v>#REF!</v>
      </c>
      <c r="AA46" s="92"/>
      <c r="AB46" s="98" t="e">
        <f t="shared" si="11"/>
        <v>#REF!</v>
      </c>
      <c r="AC46" t="e">
        <f>#REF!*100</f>
        <v>#REF!</v>
      </c>
      <c r="AE46" t="e">
        <f t="shared" si="12"/>
        <v>#REF!</v>
      </c>
      <c r="AF46" t="e">
        <f>-SUM($AE$3:AE46)*W46</f>
        <v>#REF!</v>
      </c>
      <c r="AG46" s="112" t="e">
        <f t="shared" si="13"/>
        <v>#REF!</v>
      </c>
      <c r="AH46" t="e">
        <f t="shared" si="6"/>
        <v>#REF!</v>
      </c>
      <c r="AJ46">
        <v>44</v>
      </c>
      <c r="AK46" t="e">
        <f ca="1">PRODUCT(BB46:OFFSET(BA46,0,AJ46))</f>
        <v>#REF!</v>
      </c>
      <c r="AL46" t="e">
        <f ca="1">MIN((AN46/H46)*(AK46),(1+'F5 Foreign GDP'!$H$2/100)*AK46)</f>
        <v>#REF!</v>
      </c>
      <c r="AN46" s="190">
        <v>25002.244140625</v>
      </c>
      <c r="AO46" s="190">
        <v>176.08799743652344</v>
      </c>
      <c r="AP46" s="190">
        <v>137.44619750976563</v>
      </c>
      <c r="AQ46" s="190">
        <v>4.0738539695739746</v>
      </c>
      <c r="AR46" s="91"/>
      <c r="AS46" s="93" t="e">
        <f t="shared" ca="1" si="8"/>
        <v>#REF!</v>
      </c>
      <c r="AT46" t="e">
        <f t="shared" ca="1" si="3"/>
        <v>#REF!</v>
      </c>
      <c r="AU46" s="94"/>
      <c r="AV46" s="94"/>
      <c r="BB46">
        <v>1</v>
      </c>
      <c r="BC46">
        <v>1</v>
      </c>
      <c r="BD46">
        <v>1</v>
      </c>
      <c r="BE46" t="e">
        <v>#REF!</v>
      </c>
      <c r="BF46" t="e">
        <v>#REF!</v>
      </c>
      <c r="BG46" t="e">
        <v>#REF!</v>
      </c>
      <c r="BH46" t="e">
        <v>#REF!</v>
      </c>
      <c r="BI46" t="e">
        <v>#REF!</v>
      </c>
      <c r="BJ46" t="e">
        <v>#REF!</v>
      </c>
      <c r="BK46" t="e">
        <v>#REF!</v>
      </c>
      <c r="BL46" t="e">
        <v>#REF!</v>
      </c>
      <c r="BM46" t="e">
        <v>#REF!</v>
      </c>
      <c r="BN46" t="e">
        <v>#REF!</v>
      </c>
      <c r="BO46" t="e">
        <v>#REF!</v>
      </c>
      <c r="BP46" t="e">
        <v>#REF!</v>
      </c>
      <c r="BQ46" t="e">
        <v>#REF!</v>
      </c>
      <c r="BR46" t="e">
        <v>#REF!</v>
      </c>
      <c r="BS46" t="e">
        <v>#REF!</v>
      </c>
      <c r="BT46" t="e">
        <v>#REF!</v>
      </c>
      <c r="BU46" t="e">
        <v>#REF!</v>
      </c>
      <c r="BV46" t="e">
        <v>#REF!</v>
      </c>
      <c r="BW46" t="e">
        <v>#REF!</v>
      </c>
      <c r="BX46" t="e">
        <v>#REF!</v>
      </c>
      <c r="BY46" t="e">
        <v>#REF!</v>
      </c>
      <c r="BZ46" t="e">
        <v>#REF!</v>
      </c>
      <c r="CA46" t="e">
        <v>#REF!</v>
      </c>
      <c r="CB46" t="e">
        <v>#REF!</v>
      </c>
      <c r="CC46" t="e">
        <v>#REF!</v>
      </c>
      <c r="CD46" t="e">
        <v>#REF!</v>
      </c>
      <c r="CE46" t="e">
        <v>#REF!</v>
      </c>
      <c r="CF46" t="e">
        <v>#REF!</v>
      </c>
      <c r="CG46" t="e">
        <v>#REF!</v>
      </c>
      <c r="CH46" t="e">
        <v>#REF!</v>
      </c>
      <c r="CI46" t="e">
        <v>#REF!</v>
      </c>
      <c r="CJ46" t="e">
        <v>#REF!</v>
      </c>
      <c r="CK46" t="e">
        <v>#REF!</v>
      </c>
      <c r="CL46" t="e">
        <v>#REF!</v>
      </c>
      <c r="CM46" t="e">
        <v>#REF!</v>
      </c>
      <c r="CN46" t="e">
        <v>#REF!</v>
      </c>
      <c r="CO46" t="e">
        <v>#REF!</v>
      </c>
      <c r="CP46" t="e">
        <v>#REF!</v>
      </c>
      <c r="CQ46" t="e">
        <v>#REF!</v>
      </c>
      <c r="CR46" t="e">
        <v>#REF!</v>
      </c>
      <c r="CS46" t="e">
        <v>#REF!</v>
      </c>
      <c r="CT46" t="e">
        <v>#REF!</v>
      </c>
      <c r="CU46" t="e">
        <v>#REF!</v>
      </c>
    </row>
    <row r="47" spans="1:99" ht="12.95" thickBot="1">
      <c r="A47" s="158">
        <v>49583</v>
      </c>
      <c r="B47" s="157" t="e">
        <f t="shared" ca="1" si="1"/>
        <v>#REF!</v>
      </c>
      <c r="C47">
        <v>-0.35</v>
      </c>
      <c r="D47" t="e">
        <f t="shared" si="17"/>
        <v>#REF!</v>
      </c>
      <c r="E47" s="94">
        <f t="shared" si="0"/>
        <v>1.9619850534490446</v>
      </c>
      <c r="F47" t="e">
        <f t="shared" ca="1" si="9"/>
        <v>#REF!</v>
      </c>
      <c r="G47" s="90">
        <v>49491</v>
      </c>
      <c r="H47" s="131">
        <v>25115.58203125</v>
      </c>
      <c r="I47" s="131">
        <v>173.69082641601563</v>
      </c>
      <c r="J47" s="132">
        <v>137.04545593261719</v>
      </c>
      <c r="K47" s="132">
        <v>4.2130379676818848</v>
      </c>
      <c r="L47" s="133">
        <v>2.6268301010131836</v>
      </c>
      <c r="M47" s="134">
        <v>16.168828964233398</v>
      </c>
      <c r="N47" s="133">
        <v>2.6971879005432129</v>
      </c>
      <c r="O47" s="135">
        <v>0.2507326602935791</v>
      </c>
      <c r="P47" s="136">
        <v>3.0999999046325684</v>
      </c>
      <c r="Q47" s="92"/>
      <c r="R47" s="92"/>
      <c r="S47" s="109">
        <v>4572.10546875</v>
      </c>
      <c r="T47" s="109">
        <v>54801.015625</v>
      </c>
      <c r="U47" s="109">
        <v>45596.9921875</v>
      </c>
      <c r="V47" s="109">
        <v>1713.33154296875</v>
      </c>
      <c r="W47" s="111">
        <f t="shared" si="10"/>
        <v>7.8674128196607653E-3</v>
      </c>
      <c r="X47" s="109"/>
      <c r="Y47" s="92"/>
      <c r="Z47" s="92" t="e">
        <f t="shared" si="4"/>
        <v>#REF!</v>
      </c>
      <c r="AA47" s="92"/>
      <c r="AB47" s="98" t="e">
        <f t="shared" si="11"/>
        <v>#REF!</v>
      </c>
      <c r="AC47" t="e">
        <f>#REF!*100</f>
        <v>#REF!</v>
      </c>
      <c r="AE47" t="e">
        <f t="shared" si="12"/>
        <v>#REF!</v>
      </c>
      <c r="AF47" t="e">
        <f>-SUM($AE$3:AE47)*W47</f>
        <v>#REF!</v>
      </c>
      <c r="AG47" s="112" t="e">
        <f t="shared" si="13"/>
        <v>#REF!</v>
      </c>
      <c r="AH47" t="e">
        <f t="shared" si="6"/>
        <v>#REF!</v>
      </c>
      <c r="AJ47">
        <v>45</v>
      </c>
      <c r="AK47" t="e">
        <f ca="1">PRODUCT(BB47:OFFSET(BA47,0,AJ47))</f>
        <v>#REF!</v>
      </c>
      <c r="AL47" t="e">
        <f ca="1">MIN((AN47/H47)*(AK47),(1+'F5 Foreign GDP'!$H$2/100)*AK47)</f>
        <v>#REF!</v>
      </c>
      <c r="AN47" s="190">
        <v>25114.271484375</v>
      </c>
      <c r="AO47" s="190">
        <v>177.03019714355469</v>
      </c>
      <c r="AP47" s="190">
        <v>137.52320861816406</v>
      </c>
      <c r="AQ47" s="190">
        <v>4.0734186172485352</v>
      </c>
      <c r="AR47" s="91"/>
      <c r="AS47" s="93" t="e">
        <f t="shared" ca="1" si="8"/>
        <v>#REF!</v>
      </c>
      <c r="AT47" t="e">
        <f t="shared" ca="1" si="3"/>
        <v>#REF!</v>
      </c>
      <c r="AU47" s="94"/>
      <c r="AV47" s="94"/>
      <c r="BB47">
        <v>1</v>
      </c>
      <c r="BC47">
        <v>1</v>
      </c>
      <c r="BD47">
        <v>1</v>
      </c>
      <c r="BE47" t="e">
        <v>#REF!</v>
      </c>
      <c r="BF47" t="e">
        <v>#REF!</v>
      </c>
      <c r="BG47" t="e">
        <v>#REF!</v>
      </c>
      <c r="BH47" t="e">
        <v>#REF!</v>
      </c>
      <c r="BI47" t="e">
        <v>#REF!</v>
      </c>
      <c r="BJ47" t="e">
        <v>#REF!</v>
      </c>
      <c r="BK47" t="e">
        <v>#REF!</v>
      </c>
      <c r="BL47" t="e">
        <v>#REF!</v>
      </c>
      <c r="BM47" t="e">
        <v>#REF!</v>
      </c>
      <c r="BN47" t="e">
        <v>#REF!</v>
      </c>
      <c r="BO47" t="e">
        <v>#REF!</v>
      </c>
      <c r="BP47" t="e">
        <v>#REF!</v>
      </c>
      <c r="BQ47" t="e">
        <v>#REF!</v>
      </c>
      <c r="BR47" t="e">
        <v>#REF!</v>
      </c>
      <c r="BS47" t="e">
        <v>#REF!</v>
      </c>
      <c r="BT47" t="e">
        <v>#REF!</v>
      </c>
      <c r="BU47" t="e">
        <v>#REF!</v>
      </c>
      <c r="BV47" t="e">
        <v>#REF!</v>
      </c>
      <c r="BW47" t="e">
        <v>#REF!</v>
      </c>
      <c r="BX47" t="e">
        <v>#REF!</v>
      </c>
      <c r="BY47" t="e">
        <v>#REF!</v>
      </c>
      <c r="BZ47" t="e">
        <v>#REF!</v>
      </c>
      <c r="CA47" t="e">
        <v>#REF!</v>
      </c>
      <c r="CB47" t="e">
        <v>#REF!</v>
      </c>
      <c r="CC47" t="e">
        <v>#REF!</v>
      </c>
      <c r="CD47" t="e">
        <v>#REF!</v>
      </c>
      <c r="CE47" t="e">
        <v>#REF!</v>
      </c>
      <c r="CF47" t="e">
        <v>#REF!</v>
      </c>
      <c r="CG47" t="e">
        <v>#REF!</v>
      </c>
      <c r="CH47" t="e">
        <v>#REF!</v>
      </c>
      <c r="CI47" t="e">
        <v>#REF!</v>
      </c>
      <c r="CJ47" t="e">
        <v>#REF!</v>
      </c>
      <c r="CK47" t="e">
        <v>#REF!</v>
      </c>
      <c r="CL47" t="e">
        <v>#REF!</v>
      </c>
      <c r="CM47" t="e">
        <v>#REF!</v>
      </c>
      <c r="CN47" t="e">
        <v>#REF!</v>
      </c>
      <c r="CO47" t="e">
        <v>#REF!</v>
      </c>
      <c r="CP47" t="e">
        <v>#REF!</v>
      </c>
      <c r="CQ47" t="e">
        <v>#REF!</v>
      </c>
      <c r="CR47" t="e">
        <v>#REF!</v>
      </c>
      <c r="CS47" t="e">
        <v>#REF!</v>
      </c>
      <c r="CT47" t="e">
        <v>#REF!</v>
      </c>
      <c r="CU47" t="e">
        <v>#REF!</v>
      </c>
    </row>
    <row r="48" spans="1:99">
      <c r="G48" s="90">
        <v>49583</v>
      </c>
      <c r="H48" s="131">
        <v>25227.162109375</v>
      </c>
      <c r="I48" s="131">
        <v>174.54570007324219</v>
      </c>
      <c r="J48" s="132">
        <v>137.10441589355469</v>
      </c>
      <c r="K48" s="132">
        <v>4.2222094535827637</v>
      </c>
      <c r="L48" s="133">
        <v>2.6268954277038574</v>
      </c>
      <c r="M48" s="134">
        <v>16.168827056884766</v>
      </c>
      <c r="N48" s="133">
        <v>2.6972739696502686</v>
      </c>
      <c r="O48" s="135">
        <v>0.24998736381530762</v>
      </c>
      <c r="P48" s="136">
        <v>3.0999999046325684</v>
      </c>
      <c r="Q48" s="92"/>
      <c r="R48" s="92"/>
      <c r="S48" s="109">
        <v>4614.3125</v>
      </c>
      <c r="T48" s="109">
        <v>55519.875</v>
      </c>
      <c r="U48" s="109">
        <v>46058.8828125</v>
      </c>
      <c r="V48" s="109">
        <v>1734.1318359375</v>
      </c>
      <c r="W48" s="111">
        <f t="shared" si="10"/>
        <v>7.8594898305893723E-3</v>
      </c>
      <c r="X48" s="109"/>
      <c r="Y48" s="92"/>
      <c r="Z48" s="92" t="e">
        <f t="shared" si="4"/>
        <v>#REF!</v>
      </c>
      <c r="AA48" s="92"/>
      <c r="AB48" s="98" t="e">
        <f t="shared" si="11"/>
        <v>#REF!</v>
      </c>
      <c r="AC48" t="e">
        <f>#REF!*100</f>
        <v>#REF!</v>
      </c>
      <c r="AE48" t="e">
        <f t="shared" si="12"/>
        <v>#REF!</v>
      </c>
      <c r="AF48" t="e">
        <f>-SUM($AE$3:AE48)*W48</f>
        <v>#REF!</v>
      </c>
      <c r="AG48" s="112" t="e">
        <f t="shared" si="13"/>
        <v>#REF!</v>
      </c>
      <c r="AH48" t="e">
        <f t="shared" si="6"/>
        <v>#REF!</v>
      </c>
      <c r="AJ48">
        <v>46</v>
      </c>
      <c r="AK48" t="e">
        <f ca="1">PRODUCT(BB48:OFFSET(BA48,0,AJ48))</f>
        <v>#REF!</v>
      </c>
      <c r="AL48" t="e">
        <f ca="1">MIN((AN48/H48)*(AK48),(1+'F5 Foreign GDP'!$H$2/100)*AK48)</f>
        <v>#REF!</v>
      </c>
      <c r="AN48" s="190">
        <v>25224.29296875</v>
      </c>
      <c r="AO48" s="190">
        <v>177.97026062011719</v>
      </c>
      <c r="AP48" s="190">
        <v>137.58839416503906</v>
      </c>
      <c r="AQ48" s="190">
        <v>4.0810604095458984</v>
      </c>
      <c r="AR48" s="91"/>
      <c r="AS48" s="93" t="e">
        <f t="shared" ca="1" si="8"/>
        <v>#REF!</v>
      </c>
      <c r="AT48" t="e">
        <f t="shared" ca="1" si="3"/>
        <v>#REF!</v>
      </c>
      <c r="AU48" s="94"/>
      <c r="AV48" s="94"/>
      <c r="BB48">
        <v>1</v>
      </c>
      <c r="BC48">
        <v>1</v>
      </c>
      <c r="BD48">
        <v>1</v>
      </c>
      <c r="BE48" t="e">
        <v>#REF!</v>
      </c>
      <c r="BF48" t="e">
        <v>#REF!</v>
      </c>
      <c r="BG48" t="e">
        <v>#REF!</v>
      </c>
      <c r="BH48" t="e">
        <v>#REF!</v>
      </c>
      <c r="BI48" t="e">
        <v>#REF!</v>
      </c>
      <c r="BJ48" t="e">
        <v>#REF!</v>
      </c>
      <c r="BK48" t="e">
        <v>#REF!</v>
      </c>
      <c r="BL48" t="e">
        <v>#REF!</v>
      </c>
      <c r="BM48" t="e">
        <v>#REF!</v>
      </c>
      <c r="BN48" t="e">
        <v>#REF!</v>
      </c>
      <c r="BO48" t="e">
        <v>#REF!</v>
      </c>
      <c r="BP48" t="e">
        <v>#REF!</v>
      </c>
      <c r="BQ48" t="e">
        <v>#REF!</v>
      </c>
      <c r="BR48" t="e">
        <v>#REF!</v>
      </c>
      <c r="BS48" t="e">
        <v>#REF!</v>
      </c>
      <c r="BT48" t="e">
        <v>#REF!</v>
      </c>
      <c r="BU48" t="e">
        <v>#REF!</v>
      </c>
      <c r="BV48" t="e">
        <v>#REF!</v>
      </c>
      <c r="BW48" t="e">
        <v>#REF!</v>
      </c>
      <c r="BX48" t="e">
        <v>#REF!</v>
      </c>
      <c r="BY48" t="e">
        <v>#REF!</v>
      </c>
      <c r="BZ48" t="e">
        <v>#REF!</v>
      </c>
      <c r="CA48" t="e">
        <v>#REF!</v>
      </c>
      <c r="CB48" t="e">
        <v>#REF!</v>
      </c>
      <c r="CC48" t="e">
        <v>#REF!</v>
      </c>
      <c r="CD48" t="e">
        <v>#REF!</v>
      </c>
      <c r="CE48" t="e">
        <v>#REF!</v>
      </c>
      <c r="CF48" t="e">
        <v>#REF!</v>
      </c>
      <c r="CG48" t="e">
        <v>#REF!</v>
      </c>
      <c r="CH48" t="e">
        <v>#REF!</v>
      </c>
      <c r="CI48" t="e">
        <v>#REF!</v>
      </c>
      <c r="CJ48" t="e">
        <v>#REF!</v>
      </c>
      <c r="CK48" t="e">
        <v>#REF!</v>
      </c>
      <c r="CL48" t="e">
        <v>#REF!</v>
      </c>
      <c r="CM48" t="e">
        <v>#REF!</v>
      </c>
      <c r="CN48" t="e">
        <v>#REF!</v>
      </c>
      <c r="CO48" t="e">
        <v>#REF!</v>
      </c>
      <c r="CP48" t="e">
        <v>#REF!</v>
      </c>
      <c r="CQ48" t="e">
        <v>#REF!</v>
      </c>
      <c r="CR48" t="e">
        <v>#REF!</v>
      </c>
      <c r="CS48" t="e">
        <v>#REF!</v>
      </c>
      <c r="CT48" t="e">
        <v>#REF!</v>
      </c>
      <c r="CU48" t="e">
        <v>#REF!</v>
      </c>
    </row>
    <row r="49" spans="1:61">
      <c r="B49" t="e">
        <f ca="1">30000*B47/100</f>
        <v>#REF!</v>
      </c>
      <c r="F49" t="e">
        <f ca="1">SUM(F4:F43)</f>
        <v>#REF!</v>
      </c>
      <c r="BE49" s="391"/>
      <c r="BF49" s="391"/>
      <c r="BG49" s="391"/>
      <c r="BH49" s="391"/>
      <c r="BI49" s="391"/>
    </row>
    <row r="52" spans="1:61" ht="14.1">
      <c r="A52" t="s">
        <v>324</v>
      </c>
      <c r="B52" s="95">
        <v>2025</v>
      </c>
      <c r="C52" s="95">
        <v>2026</v>
      </c>
      <c r="D52" s="95">
        <v>2027</v>
      </c>
      <c r="E52" s="95">
        <v>2028</v>
      </c>
      <c r="F52" s="95">
        <v>2029</v>
      </c>
      <c r="G52" s="95">
        <v>2030</v>
      </c>
      <c r="H52" s="95">
        <v>2031</v>
      </c>
      <c r="I52" s="95">
        <v>2032</v>
      </c>
      <c r="J52" s="95">
        <v>2033</v>
      </c>
      <c r="K52" s="95">
        <v>2034</v>
      </c>
      <c r="L52" s="95">
        <v>2035</v>
      </c>
      <c r="BG52" s="96"/>
      <c r="BH52" s="96"/>
      <c r="BI52" s="96"/>
    </row>
    <row r="53" spans="1:61">
      <c r="B53" s="25" t="e">
        <f ca="1">AY7</f>
        <v>#REF!</v>
      </c>
      <c r="C53" s="25" t="e">
        <f ca="1">AY11</f>
        <v>#REF!</v>
      </c>
      <c r="D53" s="25" t="e">
        <f ca="1">AY15</f>
        <v>#REF!</v>
      </c>
      <c r="E53" s="25" t="e">
        <f ca="1">AY19</f>
        <v>#REF!</v>
      </c>
      <c r="F53" s="25" t="e">
        <f ca="1">AY23</f>
        <v>#REF!</v>
      </c>
      <c r="G53" s="25" t="e">
        <f ca="1">AY27</f>
        <v>#REF!</v>
      </c>
      <c r="H53" s="25" t="e">
        <f ca="1">AY31</f>
        <v>#REF!</v>
      </c>
      <c r="I53" s="25"/>
      <c r="J53" s="25"/>
      <c r="K53" s="25"/>
      <c r="L53" s="25"/>
    </row>
    <row r="54" spans="1:61">
      <c r="B54">
        <f>AZ7</f>
        <v>-0.1573037086420509</v>
      </c>
      <c r="C54">
        <f>AZ11</f>
        <v>-0.53616970592165469</v>
      </c>
      <c r="D54">
        <f>AZ15</f>
        <v>0.16014830638182709</v>
      </c>
      <c r="E54">
        <f>AZ19</f>
        <v>0.12793747042058601</v>
      </c>
      <c r="F54">
        <f>AZ23</f>
        <v>5.5387637761292519E-2</v>
      </c>
      <c r="G54">
        <f>AZ27</f>
        <v>0</v>
      </c>
      <c r="H54">
        <f>AZ31</f>
        <v>0</v>
      </c>
    </row>
    <row r="63" spans="1:61">
      <c r="P63" s="97"/>
      <c r="Q63" s="97"/>
      <c r="R63" s="97"/>
      <c r="S63" s="97"/>
      <c r="T63" s="97"/>
      <c r="U63" s="97"/>
      <c r="V63" s="97"/>
      <c r="W63" s="97"/>
      <c r="X63" s="97"/>
      <c r="Y63" s="97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D4F91-6294-4CA7-A5F5-1556BC28CB03}">
  <sheetPr codeName="Sheet7"/>
  <dimension ref="A1:H81"/>
  <sheetViews>
    <sheetView workbookViewId="0">
      <selection activeCell="D7" sqref="D7"/>
    </sheetView>
  </sheetViews>
  <sheetFormatPr defaultRowHeight="12.6"/>
  <sheetData>
    <row r="1" spans="1:8">
      <c r="A1" t="s">
        <v>2569</v>
      </c>
      <c r="B1" t="s">
        <v>2570</v>
      </c>
      <c r="D1" t="s">
        <v>2569</v>
      </c>
      <c r="E1" t="s">
        <v>509</v>
      </c>
      <c r="F1" t="s">
        <v>2571</v>
      </c>
      <c r="G1" t="s">
        <v>2572</v>
      </c>
      <c r="H1" t="s">
        <v>2573</v>
      </c>
    </row>
    <row r="2" spans="1:8">
      <c r="A2">
        <v>1</v>
      </c>
      <c r="B2">
        <f>AVERAGEIFS($G$2:$G$81,$D$2:$D$81,A2)</f>
        <v>4.0839882911258805E-3</v>
      </c>
      <c r="D2">
        <v>1</v>
      </c>
      <c r="E2" t="s">
        <v>2574</v>
      </c>
      <c r="F2">
        <v>-0.99996375589999698</v>
      </c>
      <c r="G2" s="192">
        <v>-1.60844161101181E-5</v>
      </c>
      <c r="H2">
        <v>0</v>
      </c>
    </row>
    <row r="3" spans="1:8">
      <c r="A3">
        <v>2</v>
      </c>
      <c r="B3">
        <f t="shared" ref="B3:B21" si="0">AVERAGEIFS($G$2:$G$81,$D$2:$D$81,A3)</f>
        <v>1.0827463699880599E-2</v>
      </c>
      <c r="D3">
        <f>IF(RIGHT(E3,1)="1",D2+1,D2)</f>
        <v>1</v>
      </c>
      <c r="E3" t="s">
        <v>2575</v>
      </c>
      <c r="F3">
        <v>-1.0000507321999901</v>
      </c>
      <c r="G3">
        <v>3.2221998320203201E-3</v>
      </c>
      <c r="H3">
        <v>-1.7247581000003E-3</v>
      </c>
    </row>
    <row r="4" spans="1:8">
      <c r="A4">
        <v>3</v>
      </c>
      <c r="B4">
        <f t="shared" si="0"/>
        <v>1.412329290709775E-2</v>
      </c>
      <c r="D4">
        <f t="shared" ref="D4:D67" si="1">IF(RIGHT(E4,1)="1",D3+1,D3)</f>
        <v>1</v>
      </c>
      <c r="E4" t="s">
        <v>2576</v>
      </c>
      <c r="F4">
        <v>-0.99999361509999496</v>
      </c>
      <c r="G4">
        <v>5.11484273435502E-3</v>
      </c>
      <c r="H4">
        <v>-2.6906127000000898E-3</v>
      </c>
    </row>
    <row r="5" spans="1:8">
      <c r="A5">
        <v>4</v>
      </c>
      <c r="B5">
        <f t="shared" si="0"/>
        <v>1.6136813889644452E-2</v>
      </c>
      <c r="D5">
        <f t="shared" si="1"/>
        <v>1</v>
      </c>
      <c r="E5" t="s">
        <v>2577</v>
      </c>
      <c r="F5">
        <v>-1.0001262735999801</v>
      </c>
      <c r="G5">
        <v>8.0149950142383002E-3</v>
      </c>
      <c r="H5">
        <v>-3.69293359999967E-3</v>
      </c>
    </row>
    <row r="6" spans="1:8">
      <c r="A6">
        <v>5</v>
      </c>
      <c r="B6">
        <f t="shared" si="0"/>
        <v>1.7473230122866348E-2</v>
      </c>
      <c r="D6">
        <f t="shared" si="1"/>
        <v>2</v>
      </c>
      <c r="E6" t="s">
        <v>2578</v>
      </c>
      <c r="F6">
        <v>-1.0001352401999899</v>
      </c>
      <c r="G6">
        <v>9.1163023241413992E-3</v>
      </c>
      <c r="H6">
        <v>-4.1634836999995799E-3</v>
      </c>
    </row>
    <row r="7" spans="1:8">
      <c r="A7">
        <v>6</v>
      </c>
      <c r="B7">
        <f t="shared" si="0"/>
        <v>1.8452609530839E-2</v>
      </c>
      <c r="D7">
        <f t="shared" si="1"/>
        <v>2</v>
      </c>
      <c r="E7" t="s">
        <v>2579</v>
      </c>
      <c r="F7">
        <v>-1.000240851</v>
      </c>
      <c r="G7">
        <v>1.04868176845629E-2</v>
      </c>
      <c r="H7">
        <v>-4.5686304000001898E-3</v>
      </c>
    </row>
    <row r="8" spans="1:8">
      <c r="A8">
        <v>7</v>
      </c>
      <c r="B8">
        <f t="shared" si="0"/>
        <v>1.9229196677034099E-2</v>
      </c>
      <c r="D8">
        <f t="shared" si="1"/>
        <v>2</v>
      </c>
      <c r="E8" t="s">
        <v>2580</v>
      </c>
      <c r="F8">
        <v>-1.0002970604999999</v>
      </c>
      <c r="G8">
        <v>1.1362180234564199E-2</v>
      </c>
      <c r="H8">
        <v>-4.8079674999999796E-3</v>
      </c>
    </row>
    <row r="9" spans="1:8">
      <c r="A9">
        <v>8</v>
      </c>
      <c r="B9">
        <f t="shared" si="0"/>
        <v>1.9887415724090227E-2</v>
      </c>
      <c r="D9">
        <f t="shared" si="1"/>
        <v>2</v>
      </c>
      <c r="E9" t="s">
        <v>2581</v>
      </c>
      <c r="F9">
        <v>-1.0004193221</v>
      </c>
      <c r="G9">
        <v>1.2344554556253899E-2</v>
      </c>
      <c r="H9">
        <v>-4.9899730000003903E-3</v>
      </c>
    </row>
    <row r="10" spans="1:8">
      <c r="A10">
        <v>9</v>
      </c>
      <c r="B10">
        <f t="shared" si="0"/>
        <v>2.0476862333806925E-2</v>
      </c>
      <c r="D10">
        <f t="shared" si="1"/>
        <v>3</v>
      </c>
      <c r="E10" t="s">
        <v>2582</v>
      </c>
      <c r="F10">
        <v>-1.0004697203999999</v>
      </c>
      <c r="G10">
        <v>1.31282870045046E-2</v>
      </c>
      <c r="H10">
        <v>-5.0805554999998302E-3</v>
      </c>
    </row>
    <row r="11" spans="1:8">
      <c r="A11">
        <v>10</v>
      </c>
      <c r="B11">
        <f t="shared" si="0"/>
        <v>2.102741139878845E-2</v>
      </c>
      <c r="D11">
        <f t="shared" si="1"/>
        <v>3</v>
      </c>
      <c r="E11" t="s">
        <v>2583</v>
      </c>
      <c r="F11">
        <v>-1.0006631832999999</v>
      </c>
      <c r="G11">
        <v>1.3859528500459401E-2</v>
      </c>
      <c r="H11">
        <v>-5.1243744999998602E-3</v>
      </c>
    </row>
    <row r="12" spans="1:8">
      <c r="A12">
        <v>11</v>
      </c>
      <c r="B12">
        <f t="shared" si="0"/>
        <v>2.1557270839328523E-2</v>
      </c>
      <c r="D12">
        <f t="shared" si="1"/>
        <v>3</v>
      </c>
      <c r="E12" t="s">
        <v>2584</v>
      </c>
      <c r="F12">
        <v>-1.00071231069999</v>
      </c>
      <c r="G12">
        <v>1.44744230970994E-2</v>
      </c>
      <c r="H12">
        <v>-5.12187819999981E-3</v>
      </c>
    </row>
    <row r="13" spans="1:8">
      <c r="A13">
        <v>12</v>
      </c>
      <c r="B13">
        <f t="shared" si="0"/>
        <v>2.2076225873751625E-2</v>
      </c>
      <c r="D13">
        <f t="shared" si="1"/>
        <v>3</v>
      </c>
      <c r="E13" t="s">
        <v>2585</v>
      </c>
      <c r="F13">
        <v>-1.0009556632000001</v>
      </c>
      <c r="G13">
        <v>1.50309330263276E-2</v>
      </c>
      <c r="H13">
        <v>-5.0918279000000599E-3</v>
      </c>
    </row>
    <row r="14" spans="1:8">
      <c r="A14">
        <v>13</v>
      </c>
      <c r="B14">
        <f t="shared" si="0"/>
        <v>2.2589396582839399E-2</v>
      </c>
      <c r="D14">
        <f t="shared" si="1"/>
        <v>4</v>
      </c>
      <c r="E14" t="s">
        <v>2586</v>
      </c>
      <c r="F14">
        <v>-1.00106891969998</v>
      </c>
      <c r="G14">
        <v>1.5518783368983999E-2</v>
      </c>
      <c r="H14">
        <v>-5.0388527000004499E-3</v>
      </c>
    </row>
    <row r="15" spans="1:8">
      <c r="A15">
        <v>14</v>
      </c>
      <c r="B15">
        <f t="shared" si="0"/>
        <v>2.3098332897508699E-2</v>
      </c>
      <c r="D15">
        <f t="shared" si="1"/>
        <v>4</v>
      </c>
      <c r="E15" t="s">
        <v>2587</v>
      </c>
      <c r="F15">
        <v>-1.0012616809999999</v>
      </c>
      <c r="G15">
        <v>1.5959372786444801E-2</v>
      </c>
      <c r="H15">
        <v>-4.9711824000001001E-3</v>
      </c>
    </row>
    <row r="16" spans="1:8">
      <c r="A16">
        <v>15</v>
      </c>
      <c r="B16">
        <f t="shared" si="0"/>
        <v>2.3602176051906672E-2</v>
      </c>
      <c r="D16">
        <f t="shared" si="1"/>
        <v>4</v>
      </c>
      <c r="E16" t="s">
        <v>2588</v>
      </c>
      <c r="F16">
        <v>-1.0014271733</v>
      </c>
      <c r="G16">
        <v>1.6354721254652201E-2</v>
      </c>
      <c r="H16">
        <v>-4.8928077000000196E-3</v>
      </c>
    </row>
    <row r="17" spans="1:8">
      <c r="A17">
        <v>16</v>
      </c>
      <c r="B17">
        <f t="shared" si="0"/>
        <v>2.4098974391667478E-2</v>
      </c>
      <c r="D17">
        <f t="shared" si="1"/>
        <v>4</v>
      </c>
      <c r="E17" t="s">
        <v>2589</v>
      </c>
      <c r="F17">
        <v>-1.0016677794</v>
      </c>
      <c r="G17">
        <v>1.67143781484968E-2</v>
      </c>
      <c r="H17">
        <v>-4.80797040000036E-3</v>
      </c>
    </row>
    <row r="18" spans="1:8">
      <c r="A18">
        <v>17</v>
      </c>
      <c r="B18">
        <f t="shared" si="0"/>
        <v>2.4585922693176547E-2</v>
      </c>
      <c r="D18">
        <f t="shared" si="1"/>
        <v>5</v>
      </c>
      <c r="E18" t="s">
        <v>2590</v>
      </c>
      <c r="F18">
        <v>-1.001882191</v>
      </c>
      <c r="G18">
        <v>1.7042579539139301E-2</v>
      </c>
      <c r="H18">
        <v>-4.7194374999996701E-3</v>
      </c>
    </row>
    <row r="19" spans="1:8">
      <c r="A19">
        <v>18</v>
      </c>
      <c r="B19">
        <f t="shared" si="0"/>
        <v>2.5059750052641654E-2</v>
      </c>
      <c r="D19">
        <f t="shared" si="1"/>
        <v>5</v>
      </c>
      <c r="E19" t="s">
        <v>2591</v>
      </c>
      <c r="F19">
        <v>-1.0020709763</v>
      </c>
      <c r="G19">
        <v>1.7344433902444199E-2</v>
      </c>
      <c r="H19">
        <v>-4.6294448000000401E-3</v>
      </c>
    </row>
    <row r="20" spans="1:8">
      <c r="A20">
        <v>19</v>
      </c>
      <c r="B20">
        <f t="shared" si="0"/>
        <v>2.5518260974810525E-2</v>
      </c>
      <c r="D20">
        <f t="shared" si="1"/>
        <v>5</v>
      </c>
      <c r="E20" t="s">
        <v>2592</v>
      </c>
      <c r="F20">
        <v>-1.0023338823000001</v>
      </c>
      <c r="G20">
        <v>1.7623307334280101E-2</v>
      </c>
      <c r="H20">
        <v>-4.53957289999959E-3</v>
      </c>
    </row>
    <row r="21" spans="1:8">
      <c r="A21">
        <v>20</v>
      </c>
      <c r="B21">
        <f t="shared" si="0"/>
        <v>2.5958998238850776E-2</v>
      </c>
      <c r="D21">
        <f t="shared" si="1"/>
        <v>5</v>
      </c>
      <c r="E21" t="s">
        <v>2593</v>
      </c>
      <c r="F21">
        <v>-1.0025714326999899</v>
      </c>
      <c r="G21">
        <v>1.7882599715601799E-2</v>
      </c>
      <c r="H21">
        <v>-4.45123880000036E-3</v>
      </c>
    </row>
    <row r="22" spans="1:8">
      <c r="D22">
        <f t="shared" si="1"/>
        <v>6</v>
      </c>
      <c r="E22" t="s">
        <v>2594</v>
      </c>
      <c r="F22">
        <v>-1.0027835789999899</v>
      </c>
      <c r="G22">
        <v>1.8124619764225899E-2</v>
      </c>
      <c r="H22">
        <v>-4.3652870000000701E-3</v>
      </c>
    </row>
    <row r="23" spans="1:8">
      <c r="D23">
        <f t="shared" si="1"/>
        <v>6</v>
      </c>
      <c r="E23" t="s">
        <v>2595</v>
      </c>
      <c r="F23">
        <v>-1.0030707243999999</v>
      </c>
      <c r="G23">
        <v>1.83516720314136E-2</v>
      </c>
      <c r="H23">
        <v>-4.2824244999996302E-3</v>
      </c>
    </row>
    <row r="24" spans="1:8">
      <c r="D24">
        <f t="shared" si="1"/>
        <v>6</v>
      </c>
      <c r="E24" t="s">
        <v>2596</v>
      </c>
      <c r="F24">
        <v>-1.0033333988000099</v>
      </c>
      <c r="G24">
        <v>1.85657540205941E-2</v>
      </c>
      <c r="H24">
        <v>-4.2032715999999696E-3</v>
      </c>
    </row>
    <row r="25" spans="1:8">
      <c r="D25">
        <f t="shared" si="1"/>
        <v>6</v>
      </c>
      <c r="E25" t="s">
        <v>2597</v>
      </c>
      <c r="F25">
        <v>-1.0035719243999901</v>
      </c>
      <c r="G25">
        <v>1.8768392307122399E-2</v>
      </c>
      <c r="H25">
        <v>-4.1281005000004499E-3</v>
      </c>
    </row>
    <row r="26" spans="1:8">
      <c r="D26">
        <f t="shared" si="1"/>
        <v>7</v>
      </c>
      <c r="E26" t="s">
        <v>2598</v>
      </c>
      <c r="F26">
        <v>-1.0037868111999999</v>
      </c>
      <c r="G26">
        <v>1.8961019093355298E-2</v>
      </c>
      <c r="H26">
        <v>-4.0571271999995098E-3</v>
      </c>
    </row>
    <row r="27" spans="1:8">
      <c r="D27">
        <f t="shared" si="1"/>
        <v>7</v>
      </c>
      <c r="E27" t="s">
        <v>2599</v>
      </c>
      <c r="F27">
        <v>-1.0040783469000001</v>
      </c>
      <c r="G27">
        <v>1.9144677813476198E-2</v>
      </c>
      <c r="H27">
        <v>-3.9904292999999504E-3</v>
      </c>
    </row>
    <row r="28" spans="1:8">
      <c r="D28">
        <f t="shared" si="1"/>
        <v>7</v>
      </c>
      <c r="E28" t="s">
        <v>2600</v>
      </c>
      <c r="F28">
        <v>-1.0044473978999899</v>
      </c>
      <c r="G28">
        <v>1.9320755880691799E-2</v>
      </c>
      <c r="H28">
        <v>-3.9282224000000698E-3</v>
      </c>
    </row>
    <row r="29" spans="1:8">
      <c r="D29">
        <f t="shared" si="1"/>
        <v>7</v>
      </c>
      <c r="E29" t="s">
        <v>2601</v>
      </c>
      <c r="F29">
        <v>-1.00469474569999</v>
      </c>
      <c r="G29">
        <v>1.9490333920613102E-2</v>
      </c>
      <c r="H29">
        <v>-3.8705818999999701E-3</v>
      </c>
    </row>
    <row r="30" spans="1:8">
      <c r="D30">
        <f t="shared" si="1"/>
        <v>8</v>
      </c>
      <c r="E30" t="s">
        <v>2602</v>
      </c>
      <c r="F30">
        <v>-1.0050205815</v>
      </c>
      <c r="G30">
        <v>1.96538890378628E-2</v>
      </c>
      <c r="H30">
        <v>-3.81720340000002E-3</v>
      </c>
    </row>
    <row r="31" spans="1:8">
      <c r="D31">
        <f t="shared" si="1"/>
        <v>8</v>
      </c>
      <c r="E31" t="s">
        <v>2603</v>
      </c>
      <c r="F31">
        <v>-1.0053259431999899</v>
      </c>
      <c r="G31">
        <v>1.98125091078305E-2</v>
      </c>
      <c r="H31">
        <v>-3.7681857000003401E-3</v>
      </c>
    </row>
    <row r="32" spans="1:8">
      <c r="D32">
        <f t="shared" si="1"/>
        <v>8</v>
      </c>
      <c r="E32" t="s">
        <v>2604</v>
      </c>
      <c r="F32">
        <v>-1.0057109956999899</v>
      </c>
      <c r="G32">
        <v>1.99664389089582E-2</v>
      </c>
      <c r="H32">
        <v>-3.7232660000004101E-3</v>
      </c>
    </row>
    <row r="33" spans="4:8">
      <c r="D33">
        <f t="shared" si="1"/>
        <v>8</v>
      </c>
      <c r="E33" t="s">
        <v>2605</v>
      </c>
      <c r="F33">
        <v>-1.00597703079999</v>
      </c>
      <c r="G33">
        <v>2.0116825841709401E-2</v>
      </c>
      <c r="H33">
        <v>-3.6825051999998799E-3</v>
      </c>
    </row>
    <row r="34" spans="4:8">
      <c r="D34">
        <f t="shared" si="1"/>
        <v>9</v>
      </c>
      <c r="E34" t="s">
        <v>2606</v>
      </c>
      <c r="F34">
        <v>-1.0063238845</v>
      </c>
      <c r="G34">
        <v>2.0263465416836501E-2</v>
      </c>
      <c r="H34">
        <v>-3.6454264000000602E-3</v>
      </c>
    </row>
    <row r="35" spans="4:8">
      <c r="D35">
        <f t="shared" si="1"/>
        <v>9</v>
      </c>
      <c r="E35" t="s">
        <v>2607</v>
      </c>
      <c r="F35">
        <v>-1.00665286</v>
      </c>
      <c r="G35">
        <v>2.04074266474174E-2</v>
      </c>
      <c r="H35">
        <v>-3.6121053000000201E-3</v>
      </c>
    </row>
    <row r="36" spans="4:8">
      <c r="D36">
        <f t="shared" si="1"/>
        <v>9</v>
      </c>
      <c r="E36" t="s">
        <v>2608</v>
      </c>
      <c r="F36">
        <v>-1.0070640066000001</v>
      </c>
      <c r="G36">
        <v>2.0548593364821899E-2</v>
      </c>
      <c r="H36">
        <v>-3.5822071000002299E-3</v>
      </c>
    </row>
    <row r="37" spans="4:8">
      <c r="D37">
        <f t="shared" si="1"/>
        <v>9</v>
      </c>
      <c r="E37" t="s">
        <v>2609</v>
      </c>
      <c r="F37">
        <v>-1.00735867689999</v>
      </c>
      <c r="G37">
        <v>2.06879639061519E-2</v>
      </c>
      <c r="H37">
        <v>-3.5557664999997999E-3</v>
      </c>
    </row>
    <row r="38" spans="4:8">
      <c r="D38">
        <f t="shared" si="1"/>
        <v>10</v>
      </c>
      <c r="E38" t="s">
        <v>2610</v>
      </c>
      <c r="F38">
        <v>-1.00773664759999</v>
      </c>
      <c r="G38">
        <v>2.0825097630994199E-2</v>
      </c>
      <c r="H38">
        <v>-3.5322769999998598E-3</v>
      </c>
    </row>
    <row r="39" spans="4:8">
      <c r="D39">
        <f t="shared" si="1"/>
        <v>10</v>
      </c>
      <c r="E39" t="s">
        <v>2611</v>
      </c>
      <c r="F39">
        <v>-1.0080992126999799</v>
      </c>
      <c r="G39">
        <v>2.0960903849398499E-2</v>
      </c>
      <c r="H39">
        <v>-3.5118048000000401E-3</v>
      </c>
    </row>
    <row r="40" spans="4:8">
      <c r="D40">
        <f t="shared" si="1"/>
        <v>10</v>
      </c>
      <c r="E40" t="s">
        <v>2612</v>
      </c>
      <c r="F40">
        <v>-1.00854637629998</v>
      </c>
      <c r="G40">
        <v>2.1095099428869401E-2</v>
      </c>
      <c r="H40">
        <v>-3.4940104000000202E-3</v>
      </c>
    </row>
    <row r="41" spans="4:8">
      <c r="D41">
        <f t="shared" si="1"/>
        <v>10</v>
      </c>
      <c r="E41" t="s">
        <v>2613</v>
      </c>
      <c r="F41">
        <v>-1.00887945810001</v>
      </c>
      <c r="G41">
        <v>2.12285446858917E-2</v>
      </c>
      <c r="H41">
        <v>-3.47893309999985E-3</v>
      </c>
    </row>
    <row r="42" spans="4:8">
      <c r="D42">
        <f t="shared" si="1"/>
        <v>11</v>
      </c>
      <c r="E42" t="s">
        <v>2614</v>
      </c>
      <c r="F42">
        <v>-1.00929818759999</v>
      </c>
      <c r="G42">
        <v>2.1360670487236E-2</v>
      </c>
      <c r="H42">
        <v>-3.4660758000001901E-3</v>
      </c>
    </row>
    <row r="43" spans="4:8">
      <c r="D43">
        <f t="shared" si="1"/>
        <v>11</v>
      </c>
      <c r="E43" t="s">
        <v>2615</v>
      </c>
      <c r="F43">
        <v>-1.0097038088999899</v>
      </c>
      <c r="G43">
        <v>2.14922713098975E-2</v>
      </c>
      <c r="H43">
        <v>-3.45551920000047E-3</v>
      </c>
    </row>
    <row r="44" spans="4:8">
      <c r="D44">
        <f t="shared" si="1"/>
        <v>11</v>
      </c>
      <c r="E44" t="s">
        <v>2616</v>
      </c>
      <c r="F44">
        <v>-1.0100962979999899</v>
      </c>
      <c r="G44">
        <v>2.1622960270506399E-2</v>
      </c>
      <c r="H44">
        <v>-3.44694199999953E-3</v>
      </c>
    </row>
    <row r="45" spans="4:8">
      <c r="D45">
        <f t="shared" si="1"/>
        <v>11</v>
      </c>
      <c r="E45" t="s">
        <v>2617</v>
      </c>
      <c r="F45">
        <v>-1.0104765007999901</v>
      </c>
      <c r="G45">
        <v>2.1753181289674201E-2</v>
      </c>
      <c r="H45">
        <v>-3.4402321000000201E-3</v>
      </c>
    </row>
    <row r="46" spans="4:8">
      <c r="D46">
        <f t="shared" si="1"/>
        <v>12</v>
      </c>
      <c r="E46" t="s">
        <v>2618</v>
      </c>
      <c r="F46">
        <v>-1.01094456239999</v>
      </c>
      <c r="G46">
        <v>2.1882728169098E-2</v>
      </c>
      <c r="H46">
        <v>-3.43516320000028E-3</v>
      </c>
    </row>
    <row r="47" spans="4:8">
      <c r="D47">
        <f t="shared" si="1"/>
        <v>12</v>
      </c>
      <c r="E47" t="s">
        <v>2619</v>
      </c>
      <c r="F47">
        <v>-1.0113014199000001</v>
      </c>
      <c r="G47">
        <v>2.2012080301947401E-2</v>
      </c>
      <c r="H47">
        <v>-3.4317629000003799E-3</v>
      </c>
    </row>
    <row r="48" spans="4:8">
      <c r="D48">
        <f t="shared" si="1"/>
        <v>12</v>
      </c>
      <c r="E48" t="s">
        <v>2620</v>
      </c>
      <c r="F48">
        <v>-1.0117468782000001</v>
      </c>
      <c r="G48">
        <v>2.21407477382085E-2</v>
      </c>
      <c r="H48">
        <v>-3.4296211999996998E-3</v>
      </c>
    </row>
    <row r="49" spans="4:8">
      <c r="D49">
        <f t="shared" si="1"/>
        <v>12</v>
      </c>
      <c r="E49" t="s">
        <v>2621</v>
      </c>
      <c r="F49">
        <v>-1.0121819935</v>
      </c>
      <c r="G49">
        <v>2.2269347285752601E-2</v>
      </c>
      <c r="H49">
        <v>-3.4288542000000801E-3</v>
      </c>
    </row>
    <row r="50" spans="4:8">
      <c r="D50">
        <f t="shared" si="1"/>
        <v>13</v>
      </c>
      <c r="E50" t="s">
        <v>2622</v>
      </c>
      <c r="F50">
        <v>-1.0127066573999799</v>
      </c>
      <c r="G50">
        <v>2.23974579244057E-2</v>
      </c>
      <c r="H50">
        <v>-3.4291955000001401E-3</v>
      </c>
    </row>
    <row r="51" spans="4:8">
      <c r="D51">
        <f t="shared" si="1"/>
        <v>13</v>
      </c>
      <c r="E51" t="s">
        <v>2623</v>
      </c>
      <c r="F51">
        <v>-1.0131219919999901</v>
      </c>
      <c r="G51">
        <v>2.2525729365674398E-2</v>
      </c>
      <c r="H51">
        <v>-3.4307476000000601E-3</v>
      </c>
    </row>
    <row r="52" spans="4:8">
      <c r="D52">
        <f t="shared" si="1"/>
        <v>13</v>
      </c>
      <c r="E52" t="s">
        <v>2624</v>
      </c>
      <c r="F52">
        <v>-1.01352760349999</v>
      </c>
      <c r="G52">
        <v>2.2653452708487599E-2</v>
      </c>
      <c r="H52">
        <v>-3.4330860999999499E-3</v>
      </c>
    </row>
    <row r="53" spans="4:8">
      <c r="D53">
        <f t="shared" si="1"/>
        <v>13</v>
      </c>
      <c r="E53" t="s">
        <v>2625</v>
      </c>
      <c r="F53">
        <v>-1.01402413379999</v>
      </c>
      <c r="G53">
        <v>2.27809463327899E-2</v>
      </c>
      <c r="H53">
        <v>-3.43618880000035E-3</v>
      </c>
    </row>
    <row r="54" spans="4:8">
      <c r="D54">
        <f t="shared" si="1"/>
        <v>14</v>
      </c>
      <c r="E54" t="s">
        <v>2626</v>
      </c>
      <c r="F54">
        <v>-1.0145118602000001</v>
      </c>
      <c r="G54">
        <v>2.2908138821264801E-2</v>
      </c>
      <c r="H54">
        <v>-3.4400534000000801E-3</v>
      </c>
    </row>
    <row r="55" spans="4:8">
      <c r="D55">
        <f t="shared" si="1"/>
        <v>14</v>
      </c>
      <c r="E55" t="s">
        <v>2627</v>
      </c>
      <c r="F55">
        <v>-1.0149911787999799</v>
      </c>
      <c r="G55">
        <v>2.30351175291021E-2</v>
      </c>
      <c r="H55">
        <v>-3.4445615000003298E-3</v>
      </c>
    </row>
    <row r="56" spans="4:8">
      <c r="D56">
        <f t="shared" si="1"/>
        <v>14</v>
      </c>
      <c r="E56" t="s">
        <v>2628</v>
      </c>
      <c r="F56">
        <v>-1.01546239880001</v>
      </c>
      <c r="G56">
        <v>2.3161858308018399E-2</v>
      </c>
      <c r="H56">
        <v>-3.44961490000017E-3</v>
      </c>
    </row>
    <row r="57" spans="4:8">
      <c r="D57">
        <f t="shared" si="1"/>
        <v>14</v>
      </c>
      <c r="E57" t="s">
        <v>2629</v>
      </c>
      <c r="F57">
        <v>-1.0159256691</v>
      </c>
      <c r="G57">
        <v>2.3288216931649501E-2</v>
      </c>
      <c r="H57">
        <v>-3.4550930000001802E-3</v>
      </c>
    </row>
    <row r="58" spans="4:8">
      <c r="D58">
        <f t="shared" si="1"/>
        <v>15</v>
      </c>
      <c r="E58" t="s">
        <v>2630</v>
      </c>
      <c r="F58">
        <v>-1.0164811771</v>
      </c>
      <c r="G58">
        <v>2.34141406786792E-2</v>
      </c>
      <c r="H58">
        <v>-3.4609118000003499E-3</v>
      </c>
    </row>
    <row r="59" spans="4:8">
      <c r="D59">
        <f t="shared" si="1"/>
        <v>15</v>
      </c>
      <c r="E59" t="s">
        <v>2631</v>
      </c>
      <c r="F59">
        <v>-1.01692950989999</v>
      </c>
      <c r="G59">
        <v>2.3539868817978801E-2</v>
      </c>
      <c r="H59">
        <v>-3.4671664000000802E-3</v>
      </c>
    </row>
    <row r="60" spans="4:8">
      <c r="D60">
        <f t="shared" si="1"/>
        <v>15</v>
      </c>
      <c r="E60" t="s">
        <v>2632</v>
      </c>
      <c r="F60">
        <v>-1.0174703508999901</v>
      </c>
      <c r="G60">
        <v>2.3664918387833401E-2</v>
      </c>
      <c r="H60">
        <v>-3.4735453999998299E-3</v>
      </c>
    </row>
    <row r="61" spans="4:8">
      <c r="D61">
        <f t="shared" si="1"/>
        <v>15</v>
      </c>
      <c r="E61" t="s">
        <v>2633</v>
      </c>
      <c r="F61">
        <v>-1.0180044984000001</v>
      </c>
      <c r="G61">
        <v>2.3789776323135298E-2</v>
      </c>
      <c r="H61">
        <v>-3.4802386000003199E-3</v>
      </c>
    </row>
    <row r="62" spans="4:8">
      <c r="D62">
        <f t="shared" si="1"/>
        <v>16</v>
      </c>
      <c r="E62" t="s">
        <v>2634</v>
      </c>
      <c r="F62">
        <v>-1.01853169689999</v>
      </c>
      <c r="G62">
        <v>2.3913977129819099E-2</v>
      </c>
      <c r="H62">
        <v>-3.4870637000000699E-3</v>
      </c>
    </row>
    <row r="63" spans="4:8">
      <c r="D63">
        <f t="shared" si="1"/>
        <v>16</v>
      </c>
      <c r="E63" t="s">
        <v>2635</v>
      </c>
      <c r="F63">
        <v>-1.0190524424999901</v>
      </c>
      <c r="G63">
        <v>2.4037777115570799E-2</v>
      </c>
      <c r="H63">
        <v>-3.49402479999996E-3</v>
      </c>
    </row>
    <row r="64" spans="4:8">
      <c r="D64">
        <f t="shared" si="1"/>
        <v>16</v>
      </c>
      <c r="E64" t="s">
        <v>2636</v>
      </c>
      <c r="F64">
        <v>-1.0195666317000001</v>
      </c>
      <c r="G64">
        <v>2.4160866088673801E-2</v>
      </c>
      <c r="H64">
        <v>-3.5010192000001199E-3</v>
      </c>
    </row>
    <row r="65" spans="4:8">
      <c r="D65">
        <f t="shared" si="1"/>
        <v>16</v>
      </c>
      <c r="E65" t="s">
        <v>2637</v>
      </c>
      <c r="F65">
        <v>-1.02017444399999</v>
      </c>
      <c r="G65">
        <v>2.4283277232606201E-2</v>
      </c>
      <c r="H65">
        <v>-3.5080166999996998E-3</v>
      </c>
    </row>
    <row r="66" spans="4:8">
      <c r="D66">
        <f t="shared" si="1"/>
        <v>17</v>
      </c>
      <c r="E66" t="s">
        <v>2638</v>
      </c>
      <c r="F66">
        <v>-1.0206763222999999</v>
      </c>
      <c r="G66">
        <v>2.4405188073584001E-2</v>
      </c>
      <c r="H66">
        <v>-3.5151398999996798E-3</v>
      </c>
    </row>
    <row r="67" spans="4:8">
      <c r="D67">
        <f t="shared" si="1"/>
        <v>17</v>
      </c>
      <c r="E67" t="s">
        <v>2639</v>
      </c>
      <c r="F67">
        <v>-1.0212718862999901</v>
      </c>
      <c r="G67">
        <v>2.45261364427262E-2</v>
      </c>
      <c r="H67">
        <v>-3.52211619999986E-3</v>
      </c>
    </row>
    <row r="68" spans="4:8">
      <c r="D68">
        <f t="shared" ref="D68:D81" si="2">IF(RIGHT(E68,1)="1",D67+1,D67)</f>
        <v>17</v>
      </c>
      <c r="E68" t="s">
        <v>2640</v>
      </c>
      <c r="F68">
        <v>-1.0217618692999899</v>
      </c>
      <c r="G68">
        <v>2.4646588889476399E-2</v>
      </c>
      <c r="H68">
        <v>-3.5291651000003699E-3</v>
      </c>
    </row>
    <row r="69" spans="4:8">
      <c r="D69">
        <f t="shared" si="2"/>
        <v>17</v>
      </c>
      <c r="E69" t="s">
        <v>2641</v>
      </c>
      <c r="F69">
        <v>-1.02234553309999</v>
      </c>
      <c r="G69">
        <v>2.4765777366919602E-2</v>
      </c>
      <c r="H69">
        <v>-3.53596349999957E-3</v>
      </c>
    </row>
    <row r="70" spans="4:8">
      <c r="D70">
        <f t="shared" si="2"/>
        <v>18</v>
      </c>
      <c r="E70" t="s">
        <v>2642</v>
      </c>
      <c r="F70">
        <v>-1.02292375579999</v>
      </c>
      <c r="G70">
        <v>2.4884386050616401E-2</v>
      </c>
      <c r="H70">
        <v>-3.5427886999998799E-3</v>
      </c>
    </row>
    <row r="71" spans="4:8">
      <c r="D71">
        <f t="shared" si="2"/>
        <v>18</v>
      </c>
      <c r="E71" t="s">
        <v>2643</v>
      </c>
      <c r="F71">
        <v>-1.0234961019</v>
      </c>
      <c r="G71">
        <v>2.500187913268E-2</v>
      </c>
      <c r="H71">
        <v>-3.5494876999997401E-3</v>
      </c>
    </row>
    <row r="72" spans="4:8">
      <c r="D72">
        <f t="shared" si="2"/>
        <v>18</v>
      </c>
      <c r="E72" t="s">
        <v>2644</v>
      </c>
      <c r="F72">
        <v>-1.0240630304</v>
      </c>
      <c r="G72">
        <v>2.5118579611294E-2</v>
      </c>
      <c r="H72">
        <v>-3.5561109999998602E-3</v>
      </c>
    </row>
    <row r="73" spans="4:8">
      <c r="D73">
        <f t="shared" si="2"/>
        <v>18</v>
      </c>
      <c r="E73" t="s">
        <v>2645</v>
      </c>
      <c r="F73">
        <v>-1.0247242847</v>
      </c>
      <c r="G73">
        <v>2.5234155415976199E-2</v>
      </c>
      <c r="H73">
        <v>-3.5625852999994398E-3</v>
      </c>
    </row>
    <row r="74" spans="4:8">
      <c r="D74">
        <f t="shared" si="2"/>
        <v>19</v>
      </c>
      <c r="E74" t="s">
        <v>2646</v>
      </c>
      <c r="F74">
        <v>-1.02528042929999</v>
      </c>
      <c r="G74">
        <v>2.5348976485806099E-2</v>
      </c>
      <c r="H74">
        <v>-3.5690875000000898E-3</v>
      </c>
    </row>
    <row r="75" spans="4:8">
      <c r="D75">
        <f t="shared" si="2"/>
        <v>19</v>
      </c>
      <c r="E75" t="s">
        <v>2647</v>
      </c>
      <c r="F75">
        <v>-1.0259309196999999</v>
      </c>
      <c r="G75">
        <v>2.5462483097560201E-2</v>
      </c>
      <c r="H75">
        <v>-3.5753494000000099E-3</v>
      </c>
    </row>
    <row r="76" spans="4:8">
      <c r="D76">
        <f t="shared" si="2"/>
        <v>19</v>
      </c>
      <c r="E76" t="s">
        <v>2648</v>
      </c>
      <c r="F76">
        <v>-1.02647649369998</v>
      </c>
      <c r="G76">
        <v>2.5575208512096301E-2</v>
      </c>
      <c r="H76">
        <v>-3.5816211000003202E-3</v>
      </c>
    </row>
    <row r="77" spans="4:8">
      <c r="D77">
        <f t="shared" si="2"/>
        <v>19</v>
      </c>
      <c r="E77" t="s">
        <v>2649</v>
      </c>
      <c r="F77">
        <v>-1.02711634149999</v>
      </c>
      <c r="G77">
        <v>2.5686375803779499E-2</v>
      </c>
      <c r="H77">
        <v>-3.58759299999983E-3</v>
      </c>
    </row>
    <row r="78" spans="4:8">
      <c r="D78">
        <f t="shared" si="2"/>
        <v>20</v>
      </c>
      <c r="E78" t="s">
        <v>2650</v>
      </c>
      <c r="F78">
        <v>-1.02775130979999</v>
      </c>
      <c r="G78">
        <v>2.5796694024915402E-2</v>
      </c>
      <c r="H78">
        <v>-3.5935622000000901E-3</v>
      </c>
    </row>
    <row r="79" spans="4:8">
      <c r="D79">
        <f t="shared" si="2"/>
        <v>20</v>
      </c>
      <c r="E79" t="s">
        <v>2651</v>
      </c>
      <c r="F79">
        <v>-1.0283809198</v>
      </c>
      <c r="G79">
        <v>2.5905637622258799E-2</v>
      </c>
      <c r="H79">
        <v>-3.5993897999998799E-3</v>
      </c>
    </row>
    <row r="80" spans="4:8">
      <c r="D80">
        <f t="shared" si="2"/>
        <v>20</v>
      </c>
      <c r="E80" t="s">
        <v>2652</v>
      </c>
      <c r="F80">
        <v>-1.0290056006999999</v>
      </c>
      <c r="G80">
        <v>2.6013548596570599E-2</v>
      </c>
      <c r="H80">
        <v>-3.6051407999997099E-3</v>
      </c>
    </row>
    <row r="81" spans="4:8">
      <c r="D81">
        <f t="shared" si="2"/>
        <v>20</v>
      </c>
      <c r="E81" t="s">
        <v>2653</v>
      </c>
      <c r="F81">
        <v>-1.02962510449999</v>
      </c>
      <c r="G81">
        <v>2.6120112711658299E-2</v>
      </c>
      <c r="H81">
        <v>-3.6107544999996999E-3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401A-CB9E-47E7-93DF-0D0E6F5FB9A2}">
  <sheetPr codeName="Sheet16"/>
  <dimension ref="A1:KP68"/>
  <sheetViews>
    <sheetView zoomScale="85" zoomScaleNormal="85" workbookViewId="0">
      <selection activeCell="B29" sqref="B29"/>
    </sheetView>
  </sheetViews>
  <sheetFormatPr defaultColWidth="9.140625" defaultRowHeight="14.45"/>
  <cols>
    <col min="1" max="1" width="35.140625" style="28" bestFit="1" customWidth="1"/>
    <col min="2" max="2" width="18" style="28" bestFit="1" customWidth="1"/>
    <col min="3" max="4" width="10.5703125" style="28" bestFit="1" customWidth="1"/>
    <col min="5" max="11" width="11.5703125" style="28" bestFit="1" customWidth="1"/>
    <col min="12" max="12" width="15.28515625" style="28" bestFit="1" customWidth="1"/>
    <col min="13" max="13" width="9.140625" style="28"/>
    <col min="14" max="14" width="9.85546875" style="28" bestFit="1" customWidth="1"/>
    <col min="15" max="15" width="9.140625" style="28"/>
    <col min="16" max="16" width="46.7109375" style="28" customWidth="1"/>
    <col min="17" max="17" width="9.140625" style="28"/>
    <col min="18" max="18" width="33.85546875" style="28" bestFit="1" customWidth="1"/>
    <col min="19" max="27" width="9.140625" style="28"/>
    <col min="28" max="28" width="12" style="28" bestFit="1" customWidth="1"/>
    <col min="29" max="32" width="12" style="28" customWidth="1"/>
    <col min="33" max="33" width="31" style="28" customWidth="1"/>
    <col min="34" max="16384" width="9.140625" style="28"/>
  </cols>
  <sheetData>
    <row r="1" spans="1:302">
      <c r="A1" s="28" t="s">
        <v>546</v>
      </c>
      <c r="B1" s="28" t="e">
        <f>#REF!*100</f>
        <v>#REF!</v>
      </c>
      <c r="C1" s="28" t="e">
        <f>#REF!*100</f>
        <v>#REF!</v>
      </c>
      <c r="T1" s="402" t="s">
        <v>312</v>
      </c>
      <c r="U1" s="402" t="s">
        <v>527</v>
      </c>
      <c r="Y1" s="28" t="s">
        <v>547</v>
      </c>
      <c r="Z1" s="402" t="s">
        <v>2654</v>
      </c>
      <c r="AA1" s="402" t="s">
        <v>2655</v>
      </c>
      <c r="AB1" s="28" t="s">
        <v>548</v>
      </c>
      <c r="AD1" s="402" t="s">
        <v>312</v>
      </c>
      <c r="AE1" s="402" t="s">
        <v>527</v>
      </c>
      <c r="AV1" s="28" t="s">
        <v>549</v>
      </c>
      <c r="BL1" s="48" t="s">
        <v>550</v>
      </c>
      <c r="BM1" s="48" t="s">
        <v>551</v>
      </c>
      <c r="BN1" s="48" t="str">
        <f>"CD"&amp;AG24&amp;"X@SURVEYS/(CD"&amp;AG24&amp;"IND@SURVEYS)"</f>
        <v>CD1X@SURVEYS/(CD1IND@SURVEYS)</v>
      </c>
      <c r="BO1" s="48" t="str">
        <f t="shared" ref="BO1:BW1" si="0">"CD"&amp;AH24&amp;"X@SURVEYS/(CD"&amp;AH24&amp;"IND@SURVEYS)"</f>
        <v>CD2X@SURVEYS/(CD2IND@SURVEYS)</v>
      </c>
      <c r="BP1" s="48" t="str">
        <f t="shared" si="0"/>
        <v>CD3X@SURVEYS/(CD3IND@SURVEYS)</v>
      </c>
      <c r="BQ1" s="48" t="str">
        <f t="shared" si="0"/>
        <v>CD4X@SURVEYS/(CD4IND@SURVEYS)</v>
      </c>
      <c r="BR1" s="48" t="str">
        <f t="shared" si="0"/>
        <v>CD5X@SURVEYS/(CD5IND@SURVEYS)</v>
      </c>
      <c r="BS1" s="48" t="str">
        <f t="shared" si="0"/>
        <v>CD6X@SURVEYS/(CD6IND@SURVEYS)</v>
      </c>
      <c r="BT1" s="48" t="str">
        <f t="shared" si="0"/>
        <v>CD7X@SURVEYS/(CD7IND@SURVEYS)</v>
      </c>
      <c r="BU1" s="48" t="str">
        <f t="shared" si="0"/>
        <v>CD8X@SURVEYS/(CD8IND@SURVEYS)</v>
      </c>
      <c r="BV1" s="48" t="str">
        <f t="shared" si="0"/>
        <v>CD9X@SURVEYS/(CD9IND@SURVEYS)</v>
      </c>
      <c r="BW1" s="48" t="str">
        <f t="shared" si="0"/>
        <v>CD10X@SURVEYS/(CD10IND@SURVEYS)</v>
      </c>
      <c r="BX1" s="403" t="str">
        <f t="shared" ref="BX1:CG1" si="1">"CD"&amp;AG24&amp;"NUM@SURVEYS*CD"&amp;AG24&amp;"X@SURVEYS/(CESX@SURVEYS*CESNUM@SURVEYS)"</f>
        <v>CD1NUM@SURVEYS*CD1X@SURVEYS/(CESX@SURVEYS*CESNUM@SURVEYS)</v>
      </c>
      <c r="BY1" s="403" t="str">
        <f t="shared" si="1"/>
        <v>CD2NUM@SURVEYS*CD2X@SURVEYS/(CESX@SURVEYS*CESNUM@SURVEYS)</v>
      </c>
      <c r="BZ1" s="403" t="str">
        <f t="shared" si="1"/>
        <v>CD3NUM@SURVEYS*CD3X@SURVEYS/(CESX@SURVEYS*CESNUM@SURVEYS)</v>
      </c>
      <c r="CA1" s="403" t="str">
        <f t="shared" si="1"/>
        <v>CD4NUM@SURVEYS*CD4X@SURVEYS/(CESX@SURVEYS*CESNUM@SURVEYS)</v>
      </c>
      <c r="CB1" s="403" t="str">
        <f t="shared" si="1"/>
        <v>CD5NUM@SURVEYS*CD5X@SURVEYS/(CESX@SURVEYS*CESNUM@SURVEYS)</v>
      </c>
      <c r="CC1" s="403" t="str">
        <f t="shared" si="1"/>
        <v>CD6NUM@SURVEYS*CD6X@SURVEYS/(CESX@SURVEYS*CESNUM@SURVEYS)</v>
      </c>
      <c r="CD1" s="403" t="str">
        <f t="shared" si="1"/>
        <v>CD7NUM@SURVEYS*CD7X@SURVEYS/(CESX@SURVEYS*CESNUM@SURVEYS)</v>
      </c>
      <c r="CE1" s="403" t="str">
        <f t="shared" si="1"/>
        <v>CD8NUM@SURVEYS*CD8X@SURVEYS/(CESX@SURVEYS*CESNUM@SURVEYS)</v>
      </c>
      <c r="CF1" s="403" t="str">
        <f t="shared" si="1"/>
        <v>CD9NUM@SURVEYS*CD9X@SURVEYS/(CESX@SURVEYS*CESNUM@SURVEYS)</v>
      </c>
      <c r="CG1" s="403" t="str">
        <f t="shared" si="1"/>
        <v>CD10NUM@SURVEYS*CD10X@SURVEYS/(CESX@SURVEYS*CESNUM@SURVEYS)</v>
      </c>
      <c r="CH1" s="28" t="s">
        <v>552</v>
      </c>
      <c r="CI1" s="28" t="s">
        <v>553</v>
      </c>
      <c r="CJ1" s="28" t="s">
        <v>554</v>
      </c>
      <c r="CK1" s="28" t="s">
        <v>555</v>
      </c>
      <c r="CL1" s="28" t="s">
        <v>556</v>
      </c>
      <c r="CM1" s="28" t="s">
        <v>557</v>
      </c>
      <c r="CN1" s="49" t="s">
        <v>558</v>
      </c>
      <c r="CO1" s="28" t="s">
        <v>559</v>
      </c>
      <c r="CP1" s="28" t="s">
        <v>560</v>
      </c>
      <c r="CQ1" s="49" t="s">
        <v>561</v>
      </c>
      <c r="CR1" s="28" t="s">
        <v>562</v>
      </c>
      <c r="CS1" s="28" t="s">
        <v>563</v>
      </c>
      <c r="CT1" s="28" t="s">
        <v>564</v>
      </c>
      <c r="CU1" s="28" t="s">
        <v>565</v>
      </c>
      <c r="CV1" s="28" t="s">
        <v>566</v>
      </c>
      <c r="CW1" s="28" t="s">
        <v>567</v>
      </c>
      <c r="CX1" s="402" t="s">
        <v>568</v>
      </c>
      <c r="CY1" s="402" t="s">
        <v>569</v>
      </c>
      <c r="CZ1" s="402" t="s">
        <v>570</v>
      </c>
      <c r="DA1" s="28" t="s">
        <v>571</v>
      </c>
      <c r="DB1" s="28" t="s">
        <v>572</v>
      </c>
      <c r="DC1" s="28" t="s">
        <v>573</v>
      </c>
      <c r="DD1" s="28" t="s">
        <v>574</v>
      </c>
      <c r="DE1" s="28" t="s">
        <v>575</v>
      </c>
      <c r="DF1" s="28" t="s">
        <v>576</v>
      </c>
      <c r="DG1" s="49" t="s">
        <v>577</v>
      </c>
      <c r="DH1" s="28" t="s">
        <v>578</v>
      </c>
      <c r="DI1" s="28" t="s">
        <v>579</v>
      </c>
      <c r="DJ1" s="49" t="s">
        <v>580</v>
      </c>
      <c r="DK1" s="28" t="s">
        <v>581</v>
      </c>
      <c r="DL1" s="28" t="s">
        <v>582</v>
      </c>
      <c r="DM1" s="28" t="s">
        <v>583</v>
      </c>
      <c r="DN1" s="28" t="s">
        <v>584</v>
      </c>
      <c r="DO1" s="28" t="s">
        <v>585</v>
      </c>
      <c r="DP1" s="28" t="s">
        <v>586</v>
      </c>
      <c r="DQ1" s="402" t="s">
        <v>587</v>
      </c>
      <c r="DR1" s="28" t="s">
        <v>588</v>
      </c>
      <c r="DS1" s="402" t="s">
        <v>589</v>
      </c>
      <c r="DT1" s="28" t="s">
        <v>590</v>
      </c>
      <c r="DU1" s="28" t="s">
        <v>591</v>
      </c>
      <c r="DV1" s="28" t="s">
        <v>592</v>
      </c>
      <c r="DW1" s="28" t="s">
        <v>593</v>
      </c>
      <c r="DX1" s="28" t="s">
        <v>594</v>
      </c>
      <c r="DY1" s="28" t="s">
        <v>595</v>
      </c>
      <c r="DZ1" s="49" t="s">
        <v>596</v>
      </c>
      <c r="EA1" s="28" t="s">
        <v>597</v>
      </c>
      <c r="EB1" s="28" t="s">
        <v>598</v>
      </c>
      <c r="EC1" s="49" t="s">
        <v>599</v>
      </c>
      <c r="ED1" s="28" t="s">
        <v>600</v>
      </c>
      <c r="EE1" s="28" t="s">
        <v>601</v>
      </c>
      <c r="EF1" s="28" t="s">
        <v>602</v>
      </c>
      <c r="EG1" s="28" t="s">
        <v>603</v>
      </c>
      <c r="EH1" s="28" t="s">
        <v>604</v>
      </c>
      <c r="EI1" s="28" t="s">
        <v>605</v>
      </c>
      <c r="EJ1" s="402" t="s">
        <v>606</v>
      </c>
      <c r="EK1" s="28" t="s">
        <v>607</v>
      </c>
      <c r="EL1" s="402" t="s">
        <v>608</v>
      </c>
      <c r="EM1" s="28" t="s">
        <v>609</v>
      </c>
      <c r="EN1" s="28" t="s">
        <v>610</v>
      </c>
      <c r="EO1" s="28" t="s">
        <v>611</v>
      </c>
      <c r="EP1" s="28" t="s">
        <v>612</v>
      </c>
      <c r="EQ1" s="28" t="s">
        <v>613</v>
      </c>
      <c r="ER1" s="28" t="s">
        <v>614</v>
      </c>
      <c r="ES1" s="49" t="s">
        <v>615</v>
      </c>
      <c r="ET1" s="28" t="s">
        <v>616</v>
      </c>
      <c r="EU1" s="28" t="s">
        <v>617</v>
      </c>
      <c r="EV1" s="49" t="s">
        <v>618</v>
      </c>
      <c r="EW1" s="28" t="s">
        <v>619</v>
      </c>
      <c r="EX1" s="28" t="s">
        <v>620</v>
      </c>
      <c r="EY1" s="28" t="s">
        <v>621</v>
      </c>
      <c r="EZ1" s="28" t="s">
        <v>622</v>
      </c>
      <c r="FA1" s="28" t="s">
        <v>623</v>
      </c>
      <c r="FB1" s="28" t="s">
        <v>624</v>
      </c>
      <c r="FC1" s="28" t="s">
        <v>625</v>
      </c>
      <c r="FD1" s="402" t="s">
        <v>626</v>
      </c>
      <c r="FE1" s="402" t="s">
        <v>627</v>
      </c>
      <c r="FF1" s="28" t="s">
        <v>628</v>
      </c>
      <c r="FG1" s="28" t="s">
        <v>629</v>
      </c>
      <c r="FH1" s="28" t="s">
        <v>630</v>
      </c>
      <c r="FI1" s="28" t="s">
        <v>631</v>
      </c>
      <c r="FJ1" s="28" t="s">
        <v>632</v>
      </c>
      <c r="FK1" s="28" t="s">
        <v>633</v>
      </c>
      <c r="FL1" s="49" t="s">
        <v>634</v>
      </c>
      <c r="FM1" s="28" t="s">
        <v>635</v>
      </c>
      <c r="FN1" s="28" t="s">
        <v>636</v>
      </c>
      <c r="FO1" s="49" t="s">
        <v>637</v>
      </c>
      <c r="FP1" s="28" t="s">
        <v>638</v>
      </c>
      <c r="FQ1" s="28" t="s">
        <v>639</v>
      </c>
      <c r="FR1" s="28" t="s">
        <v>640</v>
      </c>
      <c r="FS1" s="28" t="s">
        <v>641</v>
      </c>
      <c r="FT1" s="28" t="s">
        <v>642</v>
      </c>
      <c r="FU1" s="28" t="s">
        <v>643</v>
      </c>
      <c r="FV1" s="28" t="s">
        <v>644</v>
      </c>
      <c r="FW1" s="28" t="s">
        <v>645</v>
      </c>
      <c r="FX1" s="402" t="s">
        <v>646</v>
      </c>
      <c r="FY1" s="28" t="s">
        <v>647</v>
      </c>
      <c r="FZ1" s="28" t="s">
        <v>648</v>
      </c>
      <c r="GA1" s="28" t="s">
        <v>649</v>
      </c>
      <c r="GB1" s="28" t="s">
        <v>650</v>
      </c>
      <c r="GC1" s="28" t="s">
        <v>651</v>
      </c>
      <c r="GD1" s="28" t="s">
        <v>652</v>
      </c>
      <c r="GE1" s="49" t="s">
        <v>653</v>
      </c>
      <c r="GF1" s="28" t="s">
        <v>654</v>
      </c>
      <c r="GG1" s="28" t="s">
        <v>655</v>
      </c>
      <c r="GH1" s="49" t="s">
        <v>656</v>
      </c>
      <c r="GI1" s="28" t="s">
        <v>657</v>
      </c>
      <c r="GJ1" s="28" t="s">
        <v>658</v>
      </c>
      <c r="GK1" s="28" t="s">
        <v>659</v>
      </c>
      <c r="GL1" s="28" t="s">
        <v>660</v>
      </c>
      <c r="GM1" s="28" t="s">
        <v>661</v>
      </c>
      <c r="GN1" s="28" t="s">
        <v>662</v>
      </c>
      <c r="GO1" s="28" t="s">
        <v>663</v>
      </c>
      <c r="GP1" s="28" t="s">
        <v>664</v>
      </c>
      <c r="GQ1" s="402" t="s">
        <v>665</v>
      </c>
      <c r="GR1" s="28" t="s">
        <v>666</v>
      </c>
      <c r="GS1" s="28" t="s">
        <v>667</v>
      </c>
      <c r="GT1" s="28" t="s">
        <v>668</v>
      </c>
      <c r="GU1" s="28" t="s">
        <v>669</v>
      </c>
      <c r="GV1" s="28" t="s">
        <v>670</v>
      </c>
      <c r="GW1" s="28" t="s">
        <v>671</v>
      </c>
      <c r="GX1" s="49" t="s">
        <v>672</v>
      </c>
      <c r="GY1" s="28" t="s">
        <v>673</v>
      </c>
      <c r="GZ1" s="28" t="s">
        <v>674</v>
      </c>
      <c r="HA1" s="49" t="s">
        <v>675</v>
      </c>
      <c r="HB1" s="28" t="s">
        <v>676</v>
      </c>
      <c r="HC1" s="28" t="s">
        <v>677</v>
      </c>
      <c r="HD1" s="28" t="s">
        <v>678</v>
      </c>
      <c r="HE1" s="28" t="s">
        <v>679</v>
      </c>
      <c r="HF1" s="28" t="s">
        <v>680</v>
      </c>
      <c r="HG1" s="28" t="s">
        <v>681</v>
      </c>
      <c r="HH1" s="28" t="s">
        <v>682</v>
      </c>
      <c r="HI1" s="28" t="s">
        <v>683</v>
      </c>
      <c r="HJ1" s="402" t="s">
        <v>684</v>
      </c>
      <c r="HK1" s="28" t="s">
        <v>685</v>
      </c>
      <c r="HL1" s="28" t="s">
        <v>686</v>
      </c>
      <c r="HM1" s="28" t="s">
        <v>687</v>
      </c>
      <c r="HN1" s="28" t="s">
        <v>688</v>
      </c>
      <c r="HO1" s="28" t="s">
        <v>689</v>
      </c>
      <c r="HP1" s="28" t="s">
        <v>690</v>
      </c>
      <c r="HQ1" s="49" t="s">
        <v>691</v>
      </c>
      <c r="HR1" s="28" t="s">
        <v>692</v>
      </c>
      <c r="HS1" s="28" t="s">
        <v>693</v>
      </c>
      <c r="HT1" s="49" t="s">
        <v>694</v>
      </c>
      <c r="HU1" s="28" t="s">
        <v>695</v>
      </c>
      <c r="HV1" s="28" t="s">
        <v>696</v>
      </c>
      <c r="HW1" s="28" t="s">
        <v>697</v>
      </c>
      <c r="HX1" s="28" t="s">
        <v>698</v>
      </c>
      <c r="HY1" s="28" t="s">
        <v>699</v>
      </c>
      <c r="HZ1" s="28" t="s">
        <v>700</v>
      </c>
      <c r="IA1" s="28" t="s">
        <v>701</v>
      </c>
      <c r="IB1" s="28" t="s">
        <v>702</v>
      </c>
      <c r="IC1" s="402" t="s">
        <v>703</v>
      </c>
      <c r="ID1" s="28" t="s">
        <v>704</v>
      </c>
      <c r="IE1" s="28" t="s">
        <v>705</v>
      </c>
      <c r="IF1" s="28" t="s">
        <v>706</v>
      </c>
      <c r="IG1" s="28" t="s">
        <v>707</v>
      </c>
      <c r="IH1" s="28" t="s">
        <v>708</v>
      </c>
      <c r="II1" s="28" t="s">
        <v>709</v>
      </c>
      <c r="IJ1" s="49" t="s">
        <v>710</v>
      </c>
      <c r="IK1" s="28" t="s">
        <v>711</v>
      </c>
      <c r="IL1" s="28" t="s">
        <v>712</v>
      </c>
      <c r="IM1" s="49" t="s">
        <v>713</v>
      </c>
      <c r="IN1" s="28" t="s">
        <v>714</v>
      </c>
      <c r="IO1" s="28" t="s">
        <v>715</v>
      </c>
      <c r="IP1" s="28" t="s">
        <v>716</v>
      </c>
      <c r="IQ1" s="28" t="s">
        <v>717</v>
      </c>
      <c r="IR1" s="28" t="s">
        <v>718</v>
      </c>
      <c r="IS1" s="28" t="s">
        <v>719</v>
      </c>
      <c r="IT1" s="28" t="s">
        <v>720</v>
      </c>
      <c r="IU1" s="28" t="s">
        <v>721</v>
      </c>
      <c r="IV1" s="402" t="s">
        <v>722</v>
      </c>
      <c r="IW1" s="28" t="s">
        <v>723</v>
      </c>
      <c r="IX1" s="28" t="s">
        <v>724</v>
      </c>
      <c r="IY1" s="28" t="s">
        <v>725</v>
      </c>
      <c r="IZ1" s="28" t="s">
        <v>726</v>
      </c>
      <c r="JA1" s="28" t="s">
        <v>727</v>
      </c>
      <c r="JB1" s="28" t="s">
        <v>728</v>
      </c>
      <c r="JC1" s="49" t="s">
        <v>729</v>
      </c>
      <c r="JD1" s="28" t="s">
        <v>730</v>
      </c>
      <c r="JE1" s="28" t="s">
        <v>731</v>
      </c>
      <c r="JF1" s="49" t="s">
        <v>732</v>
      </c>
      <c r="JG1" s="28" t="s">
        <v>733</v>
      </c>
      <c r="JH1" s="28" t="s">
        <v>734</v>
      </c>
      <c r="JI1" s="28" t="s">
        <v>735</v>
      </c>
      <c r="JJ1" s="28" t="s">
        <v>736</v>
      </c>
      <c r="JK1" s="28" t="s">
        <v>737</v>
      </c>
      <c r="JL1" s="28" t="s">
        <v>738</v>
      </c>
      <c r="JM1" s="28" t="s">
        <v>739</v>
      </c>
      <c r="JN1" s="28" t="s">
        <v>740</v>
      </c>
      <c r="JO1" s="402" t="s">
        <v>741</v>
      </c>
      <c r="JP1" s="48" t="s">
        <v>742</v>
      </c>
      <c r="JQ1" s="28" t="str">
        <f t="shared" ref="JQ1:JY1" si="2">"CD"&amp;AH24&amp;"IND@SURVEYS"</f>
        <v>CD2IND@SURVEYS</v>
      </c>
      <c r="JR1" s="28" t="str">
        <f t="shared" si="2"/>
        <v>CD3IND@SURVEYS</v>
      </c>
      <c r="JS1" s="28" t="str">
        <f t="shared" si="2"/>
        <v>CD4IND@SURVEYS</v>
      </c>
      <c r="JT1" s="28" t="str">
        <f t="shared" si="2"/>
        <v>CD5IND@SURVEYS</v>
      </c>
      <c r="JU1" s="28" t="str">
        <f t="shared" si="2"/>
        <v>CD6IND@SURVEYS</v>
      </c>
      <c r="JV1" s="28" t="str">
        <f t="shared" si="2"/>
        <v>CD7IND@SURVEYS</v>
      </c>
      <c r="JW1" s="28" t="str">
        <f t="shared" si="2"/>
        <v>CD8IND@SURVEYS</v>
      </c>
      <c r="JX1" s="28" t="str">
        <f t="shared" si="2"/>
        <v>CD9IND@SURVEYS</v>
      </c>
      <c r="JY1" s="28" t="str">
        <f t="shared" si="2"/>
        <v>CD10IND@SURVEYS</v>
      </c>
      <c r="KB1" s="49"/>
      <c r="KE1" s="49"/>
    </row>
    <row r="2" spans="1:302">
      <c r="A2" s="404" t="s">
        <v>743</v>
      </c>
      <c r="B2" s="28">
        <f>L26</f>
        <v>146730</v>
      </c>
      <c r="P2" s="28" t="s">
        <v>744</v>
      </c>
      <c r="Q2" s="28" t="s">
        <v>333</v>
      </c>
      <c r="R2" s="28" t="s">
        <v>332</v>
      </c>
      <c r="S2" s="28" t="s">
        <v>333</v>
      </c>
      <c r="T2" s="28">
        <f>' LR Products'!J11</f>
        <v>1.55</v>
      </c>
      <c r="U2" s="28">
        <v>3.6</v>
      </c>
      <c r="Y2" s="28">
        <v>34.087000000000003</v>
      </c>
      <c r="Z2" s="28">
        <v>1.907</v>
      </c>
      <c r="AA2" s="28">
        <f>Z2/Y2</f>
        <v>5.5945081702701904E-2</v>
      </c>
      <c r="AB2" s="28">
        <f t="shared" ref="AB2:AB33" si="3">Y2/$Y$67</f>
        <v>2.5603904481516453E-6</v>
      </c>
      <c r="AD2" s="28" t="e">
        <f t="shared" ref="AD2:AD33" si="4">T2*$B$1/$T$68</f>
        <v>#REF!</v>
      </c>
      <c r="AE2" s="28" t="e">
        <f t="shared" ref="AE2:AE33" si="5">U2*$C$1/$U$68</f>
        <v>#REF!</v>
      </c>
      <c r="AW2" s="28">
        <v>1</v>
      </c>
      <c r="AX2" s="28">
        <v>2</v>
      </c>
      <c r="AY2" s="28">
        <v>3</v>
      </c>
      <c r="AZ2" s="28">
        <v>4</v>
      </c>
      <c r="BA2" s="28">
        <v>5</v>
      </c>
      <c r="BB2" s="28">
        <v>6</v>
      </c>
      <c r="BC2" s="28">
        <v>7</v>
      </c>
      <c r="BD2" s="28">
        <v>8</v>
      </c>
      <c r="BE2" s="28">
        <v>9</v>
      </c>
      <c r="BF2" s="28">
        <v>10</v>
      </c>
      <c r="BL2" s="28" t="s">
        <v>745</v>
      </c>
      <c r="BN2" s="28" t="s">
        <v>2656</v>
      </c>
      <c r="BO2" s="28" t="s">
        <v>2657</v>
      </c>
      <c r="BP2" s="28" t="s">
        <v>2658</v>
      </c>
      <c r="BQ2" s="28" t="s">
        <v>2659</v>
      </c>
      <c r="BR2" s="28" t="s">
        <v>2660</v>
      </c>
      <c r="BS2" s="28" t="s">
        <v>2661</v>
      </c>
      <c r="BT2" s="28" t="s">
        <v>2662</v>
      </c>
      <c r="BU2" s="28" t="s">
        <v>2663</v>
      </c>
      <c r="BV2" s="28" t="s">
        <v>2664</v>
      </c>
      <c r="BW2" s="28" t="s">
        <v>2665</v>
      </c>
      <c r="BX2" s="28" t="s">
        <v>746</v>
      </c>
      <c r="BY2" s="28" t="s">
        <v>747</v>
      </c>
      <c r="BZ2" s="28" t="s">
        <v>748</v>
      </c>
      <c r="CA2" s="28" t="s">
        <v>749</v>
      </c>
      <c r="CB2" s="28" t="s">
        <v>750</v>
      </c>
      <c r="CC2" s="28" t="s">
        <v>751</v>
      </c>
      <c r="CD2" s="28" t="s">
        <v>752</v>
      </c>
      <c r="CE2" s="28" t="s">
        <v>753</v>
      </c>
      <c r="CF2" s="28" t="s">
        <v>754</v>
      </c>
      <c r="CG2" s="28" t="s">
        <v>755</v>
      </c>
      <c r="CH2" s="28" t="s">
        <v>756</v>
      </c>
      <c r="CI2" s="28" t="s">
        <v>757</v>
      </c>
      <c r="CJ2" s="28" t="s">
        <v>758</v>
      </c>
      <c r="CK2" s="28" t="s">
        <v>759</v>
      </c>
      <c r="CL2" s="28" t="s">
        <v>760</v>
      </c>
      <c r="CM2" s="28" t="s">
        <v>761</v>
      </c>
      <c r="CN2" s="28" t="s">
        <v>762</v>
      </c>
      <c r="CO2" s="28" t="s">
        <v>763</v>
      </c>
      <c r="CP2" s="28" t="s">
        <v>764</v>
      </c>
      <c r="CQ2" s="28" t="s">
        <v>765</v>
      </c>
      <c r="CR2" s="28" t="s">
        <v>766</v>
      </c>
      <c r="CS2" s="28" t="s">
        <v>767</v>
      </c>
      <c r="CT2" s="28" t="s">
        <v>768</v>
      </c>
      <c r="CU2" s="28" t="s">
        <v>769</v>
      </c>
      <c r="CV2" s="28" t="s">
        <v>770</v>
      </c>
      <c r="CW2" s="28" t="s">
        <v>771</v>
      </c>
      <c r="CX2" s="28" t="s">
        <v>772</v>
      </c>
      <c r="CY2" s="28" t="s">
        <v>773</v>
      </c>
      <c r="CZ2" s="28" t="s">
        <v>774</v>
      </c>
      <c r="DA2" s="28" t="s">
        <v>775</v>
      </c>
      <c r="DB2" s="28" t="s">
        <v>776</v>
      </c>
      <c r="DC2" s="28" t="s">
        <v>777</v>
      </c>
      <c r="DD2" s="28" t="s">
        <v>778</v>
      </c>
      <c r="DE2" s="28" t="s">
        <v>779</v>
      </c>
      <c r="DF2" s="28" t="s">
        <v>780</v>
      </c>
      <c r="DG2" s="28" t="s">
        <v>781</v>
      </c>
      <c r="DH2" s="28" t="s">
        <v>782</v>
      </c>
      <c r="DI2" s="28" t="s">
        <v>783</v>
      </c>
      <c r="DJ2" s="28" t="s">
        <v>784</v>
      </c>
      <c r="DK2" s="28" t="s">
        <v>785</v>
      </c>
      <c r="DL2" s="28" t="s">
        <v>786</v>
      </c>
      <c r="DM2" s="28" t="s">
        <v>787</v>
      </c>
      <c r="DN2" s="28" t="s">
        <v>788</v>
      </c>
      <c r="DO2" s="28" t="s">
        <v>789</v>
      </c>
      <c r="DP2" s="28" t="s">
        <v>790</v>
      </c>
      <c r="DQ2" s="28" t="s">
        <v>791</v>
      </c>
      <c r="DR2" s="28" t="s">
        <v>792</v>
      </c>
      <c r="DS2" s="28" t="s">
        <v>793</v>
      </c>
      <c r="DT2" s="28" t="s">
        <v>794</v>
      </c>
      <c r="DU2" s="28" t="s">
        <v>795</v>
      </c>
      <c r="DV2" s="28" t="s">
        <v>796</v>
      </c>
      <c r="DW2" s="28" t="s">
        <v>797</v>
      </c>
      <c r="DX2" s="28" t="s">
        <v>798</v>
      </c>
      <c r="DY2" s="28" t="s">
        <v>799</v>
      </c>
      <c r="DZ2" s="28" t="s">
        <v>800</v>
      </c>
      <c r="EA2" s="28" t="s">
        <v>801</v>
      </c>
      <c r="EB2" s="28" t="s">
        <v>802</v>
      </c>
      <c r="EC2" s="28" t="s">
        <v>803</v>
      </c>
      <c r="ED2" s="28" t="s">
        <v>804</v>
      </c>
      <c r="EE2" s="28" t="s">
        <v>805</v>
      </c>
      <c r="EF2" s="28" t="s">
        <v>806</v>
      </c>
      <c r="EG2" s="28" t="s">
        <v>807</v>
      </c>
      <c r="EH2" s="28" t="s">
        <v>808</v>
      </c>
      <c r="EI2" s="28" t="s">
        <v>809</v>
      </c>
      <c r="EJ2" s="28" t="s">
        <v>810</v>
      </c>
      <c r="EK2" s="28" t="s">
        <v>811</v>
      </c>
      <c r="EL2" s="28" t="s">
        <v>812</v>
      </c>
      <c r="EM2" s="28" t="s">
        <v>813</v>
      </c>
      <c r="EN2" s="28" t="s">
        <v>814</v>
      </c>
      <c r="EO2" s="28" t="s">
        <v>815</v>
      </c>
      <c r="EP2" s="28" t="s">
        <v>816</v>
      </c>
      <c r="EQ2" s="28" t="s">
        <v>817</v>
      </c>
      <c r="ER2" s="28" t="s">
        <v>818</v>
      </c>
      <c r="ES2" s="28" t="s">
        <v>819</v>
      </c>
      <c r="ET2" s="28" t="s">
        <v>820</v>
      </c>
      <c r="EU2" s="28" t="s">
        <v>821</v>
      </c>
      <c r="EV2" s="28" t="s">
        <v>822</v>
      </c>
      <c r="EW2" s="28" t="s">
        <v>823</v>
      </c>
      <c r="EX2" s="28" t="s">
        <v>824</v>
      </c>
      <c r="EY2" s="28" t="s">
        <v>825</v>
      </c>
      <c r="EZ2" s="28" t="s">
        <v>826</v>
      </c>
      <c r="FA2" s="28" t="s">
        <v>827</v>
      </c>
      <c r="FB2" s="28" t="s">
        <v>828</v>
      </c>
      <c r="FC2" s="28" t="s">
        <v>829</v>
      </c>
      <c r="FD2" s="28" t="s">
        <v>830</v>
      </c>
      <c r="FE2" s="28" t="s">
        <v>831</v>
      </c>
      <c r="FF2" s="28" t="s">
        <v>832</v>
      </c>
      <c r="FG2" s="28" t="s">
        <v>833</v>
      </c>
      <c r="FH2" s="28" t="s">
        <v>834</v>
      </c>
      <c r="FI2" s="28" t="s">
        <v>835</v>
      </c>
      <c r="FJ2" s="28" t="s">
        <v>836</v>
      </c>
      <c r="FK2" s="28" t="s">
        <v>837</v>
      </c>
      <c r="FL2" s="28" t="s">
        <v>838</v>
      </c>
      <c r="FM2" s="28" t="s">
        <v>839</v>
      </c>
      <c r="FN2" s="28" t="s">
        <v>840</v>
      </c>
      <c r="FO2" s="28" t="s">
        <v>841</v>
      </c>
      <c r="FP2" s="28" t="s">
        <v>842</v>
      </c>
      <c r="FQ2" s="28" t="s">
        <v>843</v>
      </c>
      <c r="FR2" s="28" t="s">
        <v>844</v>
      </c>
      <c r="FS2" s="28" t="s">
        <v>845</v>
      </c>
      <c r="FT2" s="28" t="s">
        <v>846</v>
      </c>
      <c r="FU2" s="28" t="s">
        <v>847</v>
      </c>
      <c r="FV2" s="28" t="s">
        <v>848</v>
      </c>
      <c r="FW2" s="28" t="s">
        <v>849</v>
      </c>
      <c r="FX2" s="28" t="s">
        <v>850</v>
      </c>
      <c r="FY2" s="28" t="s">
        <v>851</v>
      </c>
      <c r="FZ2" s="28" t="s">
        <v>852</v>
      </c>
      <c r="GA2" s="28" t="s">
        <v>853</v>
      </c>
      <c r="GB2" s="28" t="s">
        <v>854</v>
      </c>
      <c r="GC2" s="28" t="s">
        <v>855</v>
      </c>
      <c r="GD2" s="28" t="s">
        <v>856</v>
      </c>
      <c r="GE2" s="28" t="s">
        <v>857</v>
      </c>
      <c r="GF2" s="28" t="s">
        <v>858</v>
      </c>
      <c r="GG2" s="28" t="s">
        <v>859</v>
      </c>
      <c r="GH2" s="28" t="s">
        <v>860</v>
      </c>
      <c r="GI2" s="28" t="s">
        <v>861</v>
      </c>
      <c r="GJ2" s="28" t="s">
        <v>862</v>
      </c>
      <c r="GK2" s="28" t="s">
        <v>863</v>
      </c>
      <c r="GL2" s="28" t="s">
        <v>864</v>
      </c>
      <c r="GM2" s="28" t="s">
        <v>865</v>
      </c>
      <c r="GN2" s="28" t="s">
        <v>866</v>
      </c>
      <c r="GO2" s="28" t="s">
        <v>867</v>
      </c>
      <c r="GP2" s="28" t="s">
        <v>868</v>
      </c>
      <c r="GQ2" s="28" t="s">
        <v>869</v>
      </c>
      <c r="GR2" s="28" t="s">
        <v>870</v>
      </c>
      <c r="GS2" s="28" t="s">
        <v>871</v>
      </c>
      <c r="GT2" s="28" t="s">
        <v>872</v>
      </c>
      <c r="GU2" s="28" t="s">
        <v>873</v>
      </c>
      <c r="GV2" s="28" t="s">
        <v>874</v>
      </c>
      <c r="GW2" s="28" t="s">
        <v>875</v>
      </c>
      <c r="GX2" s="28" t="s">
        <v>876</v>
      </c>
      <c r="GY2" s="28" t="s">
        <v>877</v>
      </c>
      <c r="GZ2" s="28" t="s">
        <v>878</v>
      </c>
      <c r="HA2" s="28" t="s">
        <v>879</v>
      </c>
      <c r="HB2" s="28" t="s">
        <v>880</v>
      </c>
      <c r="HC2" s="28" t="s">
        <v>881</v>
      </c>
      <c r="HD2" s="28" t="s">
        <v>882</v>
      </c>
      <c r="HE2" s="28" t="s">
        <v>883</v>
      </c>
      <c r="HF2" s="28" t="s">
        <v>884</v>
      </c>
      <c r="HG2" s="28" t="s">
        <v>885</v>
      </c>
      <c r="HH2" s="28" t="s">
        <v>886</v>
      </c>
      <c r="HI2" s="28" t="s">
        <v>887</v>
      </c>
      <c r="HJ2" s="28" t="s">
        <v>888</v>
      </c>
      <c r="HK2" s="28" t="s">
        <v>889</v>
      </c>
      <c r="HL2" s="28" t="s">
        <v>890</v>
      </c>
      <c r="HM2" s="28" t="s">
        <v>891</v>
      </c>
      <c r="HN2" s="28" t="s">
        <v>892</v>
      </c>
      <c r="HO2" s="28" t="s">
        <v>893</v>
      </c>
      <c r="HP2" s="28" t="s">
        <v>894</v>
      </c>
      <c r="HQ2" s="28" t="s">
        <v>895</v>
      </c>
      <c r="HR2" s="28" t="s">
        <v>896</v>
      </c>
      <c r="HS2" s="28" t="s">
        <v>897</v>
      </c>
      <c r="HT2" s="28" t="s">
        <v>898</v>
      </c>
      <c r="HU2" s="28" t="s">
        <v>899</v>
      </c>
      <c r="HV2" s="28" t="s">
        <v>900</v>
      </c>
      <c r="HW2" s="28" t="s">
        <v>901</v>
      </c>
      <c r="HX2" s="28" t="s">
        <v>902</v>
      </c>
      <c r="HY2" s="28" t="s">
        <v>903</v>
      </c>
      <c r="HZ2" s="28" t="s">
        <v>904</v>
      </c>
      <c r="IA2" s="28" t="s">
        <v>905</v>
      </c>
      <c r="IB2" s="28" t="s">
        <v>906</v>
      </c>
      <c r="IC2" s="28" t="s">
        <v>907</v>
      </c>
      <c r="ID2" s="28" t="s">
        <v>908</v>
      </c>
      <c r="IE2" s="28" t="s">
        <v>909</v>
      </c>
      <c r="IF2" s="28" t="s">
        <v>910</v>
      </c>
      <c r="IG2" s="28" t="s">
        <v>911</v>
      </c>
      <c r="IH2" s="28" t="s">
        <v>912</v>
      </c>
      <c r="II2" s="28" t="s">
        <v>913</v>
      </c>
      <c r="IJ2" s="28" t="s">
        <v>914</v>
      </c>
      <c r="IK2" s="28" t="s">
        <v>915</v>
      </c>
      <c r="IL2" s="28" t="s">
        <v>916</v>
      </c>
      <c r="IM2" s="28" t="s">
        <v>917</v>
      </c>
      <c r="IN2" s="28" t="s">
        <v>918</v>
      </c>
      <c r="IO2" s="28" t="s">
        <v>919</v>
      </c>
      <c r="IP2" s="28" t="s">
        <v>920</v>
      </c>
      <c r="IQ2" s="28" t="s">
        <v>921</v>
      </c>
      <c r="IR2" s="28" t="s">
        <v>922</v>
      </c>
      <c r="IS2" s="28" t="s">
        <v>923</v>
      </c>
      <c r="IT2" s="28" t="s">
        <v>924</v>
      </c>
      <c r="IU2" s="28" t="s">
        <v>925</v>
      </c>
      <c r="IV2" s="28" t="s">
        <v>926</v>
      </c>
      <c r="IW2" s="28" t="s">
        <v>927</v>
      </c>
      <c r="IX2" s="28" t="s">
        <v>928</v>
      </c>
      <c r="IY2" s="28" t="s">
        <v>929</v>
      </c>
      <c r="IZ2" s="28" t="s">
        <v>930</v>
      </c>
      <c r="JA2" s="28" t="s">
        <v>931</v>
      </c>
      <c r="JB2" s="28" t="s">
        <v>932</v>
      </c>
      <c r="JC2" s="28" t="s">
        <v>933</v>
      </c>
      <c r="JD2" s="28" t="s">
        <v>934</v>
      </c>
      <c r="JE2" s="28" t="s">
        <v>935</v>
      </c>
      <c r="JF2" s="28" t="s">
        <v>936</v>
      </c>
      <c r="JG2" s="28" t="s">
        <v>937</v>
      </c>
      <c r="JH2" s="28" t="s">
        <v>938</v>
      </c>
      <c r="JI2" s="28" t="s">
        <v>939</v>
      </c>
      <c r="JJ2" s="28" t="s">
        <v>940</v>
      </c>
      <c r="JK2" s="28" t="s">
        <v>941</v>
      </c>
      <c r="JL2" s="28" t="s">
        <v>942</v>
      </c>
      <c r="JM2" s="28" t="s">
        <v>943</v>
      </c>
      <c r="JN2" s="28" t="s">
        <v>944</v>
      </c>
      <c r="JO2" s="28" t="s">
        <v>945</v>
      </c>
      <c r="JP2" s="28" t="s">
        <v>946</v>
      </c>
      <c r="JQ2" s="28" t="s">
        <v>947</v>
      </c>
      <c r="JR2" s="28" t="s">
        <v>948</v>
      </c>
      <c r="JS2" s="28" t="s">
        <v>949</v>
      </c>
      <c r="JT2" s="28" t="s">
        <v>950</v>
      </c>
      <c r="JU2" s="28" t="s">
        <v>951</v>
      </c>
      <c r="JV2" s="28" t="s">
        <v>952</v>
      </c>
      <c r="JW2" s="28" t="s">
        <v>953</v>
      </c>
      <c r="JX2" s="28" t="s">
        <v>954</v>
      </c>
      <c r="JY2" s="28" t="s">
        <v>955</v>
      </c>
    </row>
    <row r="3" spans="1:302">
      <c r="A3" s="404" t="s">
        <v>956</v>
      </c>
      <c r="B3" s="28">
        <v>21369.582058224074</v>
      </c>
      <c r="P3" s="28" t="s">
        <v>957</v>
      </c>
      <c r="Q3" s="28" t="s">
        <v>336</v>
      </c>
      <c r="R3" s="28" t="s">
        <v>335</v>
      </c>
      <c r="S3" s="28" t="s">
        <v>336</v>
      </c>
      <c r="T3" s="28">
        <f>' LR Products'!J12</f>
        <v>1.1200000000000001</v>
      </c>
      <c r="U3" s="28">
        <v>2.91</v>
      </c>
      <c r="Y3" s="28">
        <v>2071.3809999999999</v>
      </c>
      <c r="Z3" s="28">
        <v>16.023</v>
      </c>
      <c r="AA3" s="28">
        <f t="shared" ref="AA3:AA66" si="6">Z3/Y3</f>
        <v>7.7354190272093835E-3</v>
      </c>
      <c r="AB3" s="28">
        <f t="shared" si="3"/>
        <v>1.5558846853295399E-4</v>
      </c>
      <c r="AD3" s="28" t="e">
        <f t="shared" si="4"/>
        <v>#REF!</v>
      </c>
      <c r="AE3" s="28" t="e">
        <f t="shared" si="5"/>
        <v>#REF!</v>
      </c>
      <c r="AG3" s="28" t="s">
        <v>957</v>
      </c>
      <c r="AH3" s="64" cm="1">
        <f t="array" ref="AH3">SUMPRODUCT($AA$2:$AA$66,$AB$2:$AB$66,IF($P$2:$P$66=AG3,1,0))/SUMPRODUCT($AB$2:$AB$66,IF($P$2:$P$66=AG3,1,0))</f>
        <v>3.9329107003987153E-2</v>
      </c>
      <c r="AI3" s="64" t="e" cm="1">
        <f t="array" ref="AI3">SUMPRODUCT($AE$2:$AE$66,$AB$2:$AB$66,IF($P$2:$P$66=AG3,1,0))/SUMPRODUCT($AB$2:$AB$66,IF($P$2:$P$66=AG3,1,0))</f>
        <v>#REF!</v>
      </c>
      <c r="AU3" s="28" t="s">
        <v>958</v>
      </c>
      <c r="AV3" s="28" t="s">
        <v>959</v>
      </c>
      <c r="AW3" s="28">
        <f t="array" aca="1" ref="AW3:AW21" ca="1">IFERROR(TRANSPOSE(OFFSET($CH$7:$CZ$7,0,(AW$2-1)*19)),0)</f>
        <v>1.6959247648902822</v>
      </c>
      <c r="AX3" s="28">
        <f t="array" aca="1" ref="AX3:AX21" ca="1">IFERROR(TRANSPOSE(OFFSET($CH$7:$CZ$7,0,(AX$2-1)*19)),0)</f>
        <v>1.1797090051120724</v>
      </c>
      <c r="AY3" s="28">
        <f t="array" aca="1" ref="AY3:AY21" ca="1">IFERROR(TRANSPOSE(OFFSET($CH$7:$CZ$7,0,(AY$2-1)*19)),0)</f>
        <v>1.3008592229825751</v>
      </c>
      <c r="AZ3" s="28">
        <f t="array" aca="1" ref="AZ3:AZ21" ca="1">IFERROR(TRANSPOSE(OFFSET($CH$7:$CZ$7,0,(AZ$2-1)*19)),0)</f>
        <v>1.2943928817979597</v>
      </c>
      <c r="BA3" s="28">
        <f t="array" aca="1" ref="BA3:BA21" ca="1">IFERROR(TRANSPOSE(OFFSET($CH$7:$CZ$7,0,(BA$2-1)*19)),0)</f>
        <v>1.2358646949728371</v>
      </c>
      <c r="BB3" s="28">
        <f t="array" aca="1" ref="BB3:BB21" ca="1">IFERROR(TRANSPOSE(OFFSET($CH$7:$CZ$7,0,(BB$2-1)*19)),0)</f>
        <v>1.1763026409707351</v>
      </c>
      <c r="BC3" s="28">
        <f t="array" aca="1" ref="BC3:BC21" ca="1">IFERROR(TRANSPOSE(OFFSET($CH$7:$CZ$7,0,(BC$2-1)*19)),0)</f>
        <v>1.1033124306533855</v>
      </c>
      <c r="BD3" s="28">
        <f t="array" aca="1" ref="BD3:BD21" ca="1">IFERROR(TRANSPOSE(OFFSET($CH$7:$CZ$7,0,(BD$2-1)*19)),0)</f>
        <v>1.0083049181013743</v>
      </c>
      <c r="BE3" s="28">
        <f t="array" aca="1" ref="BE3:BE21" ca="1">IFERROR(TRANSPOSE(OFFSET($CH$7:$CZ$7,0,(BE$2-1)*19)),0)</f>
        <v>1.0284737181797607</v>
      </c>
      <c r="BF3" s="28">
        <f t="array" aca="1" ref="BF3:BF21" ca="1">IFERROR(TRANSPOSE(OFFSET($CH$7:$CZ$7,0,(BF$2-1)*19)),0)</f>
        <v>0.7822613660252935</v>
      </c>
      <c r="BL3" s="28" t="s">
        <v>960</v>
      </c>
      <c r="BN3" s="28" t="s">
        <v>2666</v>
      </c>
      <c r="BO3" s="28" t="s">
        <v>2667</v>
      </c>
      <c r="BP3" s="28" t="s">
        <v>2668</v>
      </c>
      <c r="BQ3" s="28" t="s">
        <v>2669</v>
      </c>
      <c r="BR3" s="28" t="s">
        <v>2670</v>
      </c>
      <c r="BS3" s="28" t="s">
        <v>2671</v>
      </c>
      <c r="BT3" s="28" t="s">
        <v>2672</v>
      </c>
      <c r="BU3" s="28" t="s">
        <v>2673</v>
      </c>
      <c r="BV3" s="28" t="s">
        <v>2674</v>
      </c>
      <c r="BW3" s="28" t="s">
        <v>2675</v>
      </c>
      <c r="BX3" s="28" t="s">
        <v>961</v>
      </c>
      <c r="BY3" s="28" t="s">
        <v>962</v>
      </c>
      <c r="BZ3" s="28" t="s">
        <v>963</v>
      </c>
      <c r="CA3" s="28" t="s">
        <v>964</v>
      </c>
      <c r="CB3" s="28" t="s">
        <v>965</v>
      </c>
      <c r="CC3" s="28" t="s">
        <v>966</v>
      </c>
      <c r="CD3" s="28" t="s">
        <v>967</v>
      </c>
      <c r="CE3" s="28" t="s">
        <v>968</v>
      </c>
      <c r="CF3" s="28" t="s">
        <v>969</v>
      </c>
      <c r="CG3" s="28" t="s">
        <v>970</v>
      </c>
      <c r="CH3" s="28" t="s">
        <v>971</v>
      </c>
      <c r="CI3" s="28" t="s">
        <v>972</v>
      </c>
      <c r="CJ3" s="28" t="s">
        <v>973</v>
      </c>
      <c r="CK3" s="28" t="s">
        <v>974</v>
      </c>
      <c r="CL3" s="28" t="s">
        <v>975</v>
      </c>
      <c r="CM3" s="28" t="s">
        <v>976</v>
      </c>
      <c r="CN3" s="28" t="s">
        <v>977</v>
      </c>
      <c r="CO3" s="28" t="s">
        <v>978</v>
      </c>
      <c r="CP3" s="28" t="s">
        <v>979</v>
      </c>
      <c r="CQ3" s="28" t="s">
        <v>980</v>
      </c>
      <c r="CR3" s="28" t="s">
        <v>981</v>
      </c>
      <c r="CS3" s="28" t="s">
        <v>982</v>
      </c>
      <c r="CT3" s="28" t="s">
        <v>983</v>
      </c>
      <c r="CU3" s="28" t="s">
        <v>984</v>
      </c>
      <c r="CV3" s="28" t="s">
        <v>985</v>
      </c>
      <c r="CW3" s="28" t="s">
        <v>986</v>
      </c>
      <c r="CX3" s="28" t="s">
        <v>987</v>
      </c>
      <c r="CY3" s="28" t="s">
        <v>988</v>
      </c>
      <c r="CZ3" s="28" t="s">
        <v>989</v>
      </c>
      <c r="DA3" s="28" t="s">
        <v>990</v>
      </c>
      <c r="DB3" s="28" t="s">
        <v>991</v>
      </c>
      <c r="DC3" s="28" t="s">
        <v>992</v>
      </c>
      <c r="DD3" s="28" t="s">
        <v>993</v>
      </c>
      <c r="DE3" s="28" t="s">
        <v>994</v>
      </c>
      <c r="DF3" s="28" t="s">
        <v>995</v>
      </c>
      <c r="DG3" s="28" t="s">
        <v>996</v>
      </c>
      <c r="DH3" s="28" t="s">
        <v>997</v>
      </c>
      <c r="DI3" s="28" t="s">
        <v>998</v>
      </c>
      <c r="DJ3" s="28" t="s">
        <v>999</v>
      </c>
      <c r="DK3" s="28" t="s">
        <v>1000</v>
      </c>
      <c r="DL3" s="28" t="s">
        <v>1001</v>
      </c>
      <c r="DM3" s="28" t="s">
        <v>1002</v>
      </c>
      <c r="DN3" s="28" t="s">
        <v>1003</v>
      </c>
      <c r="DO3" s="28" t="s">
        <v>1004</v>
      </c>
      <c r="DP3" s="28" t="s">
        <v>1005</v>
      </c>
      <c r="DQ3" s="28" t="s">
        <v>1006</v>
      </c>
      <c r="DR3" s="28" t="s">
        <v>1007</v>
      </c>
      <c r="DS3" s="28" t="s">
        <v>1008</v>
      </c>
      <c r="DT3" s="28" t="s">
        <v>1009</v>
      </c>
      <c r="DU3" s="28" t="s">
        <v>1010</v>
      </c>
      <c r="DV3" s="28" t="s">
        <v>1011</v>
      </c>
      <c r="DW3" s="28" t="s">
        <v>1012</v>
      </c>
      <c r="DX3" s="28" t="s">
        <v>1013</v>
      </c>
      <c r="DY3" s="28" t="s">
        <v>1014</v>
      </c>
      <c r="DZ3" s="28" t="s">
        <v>1015</v>
      </c>
      <c r="EA3" s="28" t="s">
        <v>1016</v>
      </c>
      <c r="EB3" s="28" t="s">
        <v>1017</v>
      </c>
      <c r="EC3" s="28" t="s">
        <v>1018</v>
      </c>
      <c r="ED3" s="28" t="s">
        <v>1019</v>
      </c>
      <c r="EE3" s="28" t="s">
        <v>1020</v>
      </c>
      <c r="EF3" s="28" t="s">
        <v>1021</v>
      </c>
      <c r="EG3" s="28" t="s">
        <v>1022</v>
      </c>
      <c r="EH3" s="28" t="s">
        <v>1023</v>
      </c>
      <c r="EI3" s="28" t="s">
        <v>1024</v>
      </c>
      <c r="EJ3" s="28" t="s">
        <v>1025</v>
      </c>
      <c r="EK3" s="28" t="s">
        <v>1026</v>
      </c>
      <c r="EL3" s="28" t="s">
        <v>1027</v>
      </c>
      <c r="EM3" s="28" t="s">
        <v>1028</v>
      </c>
      <c r="EN3" s="28" t="s">
        <v>1029</v>
      </c>
      <c r="EO3" s="28" t="s">
        <v>1030</v>
      </c>
      <c r="EP3" s="28" t="s">
        <v>1031</v>
      </c>
      <c r="EQ3" s="28" t="s">
        <v>1032</v>
      </c>
      <c r="ER3" s="28" t="s">
        <v>1033</v>
      </c>
      <c r="ES3" s="28" t="s">
        <v>1034</v>
      </c>
      <c r="ET3" s="28" t="s">
        <v>1035</v>
      </c>
      <c r="EU3" s="28" t="s">
        <v>1036</v>
      </c>
      <c r="EV3" s="28" t="s">
        <v>1037</v>
      </c>
      <c r="EW3" s="28" t="s">
        <v>1038</v>
      </c>
      <c r="EX3" s="28" t="s">
        <v>1039</v>
      </c>
      <c r="EY3" s="28" t="s">
        <v>1040</v>
      </c>
      <c r="EZ3" s="28" t="s">
        <v>1041</v>
      </c>
      <c r="FA3" s="28" t="s">
        <v>1042</v>
      </c>
      <c r="FB3" s="28" t="s">
        <v>1043</v>
      </c>
      <c r="FC3" s="28" t="s">
        <v>1044</v>
      </c>
      <c r="FD3" s="28" t="s">
        <v>1045</v>
      </c>
      <c r="FE3" s="28" t="s">
        <v>1046</v>
      </c>
      <c r="FF3" s="28" t="s">
        <v>1047</v>
      </c>
      <c r="FG3" s="28" t="s">
        <v>1048</v>
      </c>
      <c r="FH3" s="28" t="s">
        <v>1049</v>
      </c>
      <c r="FI3" s="28" t="s">
        <v>1050</v>
      </c>
      <c r="FJ3" s="28" t="s">
        <v>1051</v>
      </c>
      <c r="FK3" s="28" t="s">
        <v>1052</v>
      </c>
      <c r="FL3" s="28" t="s">
        <v>1053</v>
      </c>
      <c r="FM3" s="28" t="s">
        <v>1054</v>
      </c>
      <c r="FN3" s="28" t="s">
        <v>1055</v>
      </c>
      <c r="FO3" s="28" t="s">
        <v>1056</v>
      </c>
      <c r="FP3" s="28" t="s">
        <v>1057</v>
      </c>
      <c r="FQ3" s="28" t="s">
        <v>1058</v>
      </c>
      <c r="FR3" s="28" t="s">
        <v>1059</v>
      </c>
      <c r="FS3" s="28" t="s">
        <v>1060</v>
      </c>
      <c r="FT3" s="28" t="s">
        <v>1061</v>
      </c>
      <c r="FU3" s="28" t="s">
        <v>1062</v>
      </c>
      <c r="FV3" s="28" t="s">
        <v>1063</v>
      </c>
      <c r="FW3" s="28" t="s">
        <v>1064</v>
      </c>
      <c r="FX3" s="28" t="s">
        <v>1065</v>
      </c>
      <c r="FY3" s="28" t="s">
        <v>1066</v>
      </c>
      <c r="FZ3" s="28" t="s">
        <v>1067</v>
      </c>
      <c r="GA3" s="28" t="s">
        <v>1068</v>
      </c>
      <c r="GB3" s="28" t="s">
        <v>1069</v>
      </c>
      <c r="GC3" s="28" t="s">
        <v>1070</v>
      </c>
      <c r="GD3" s="28" t="s">
        <v>1071</v>
      </c>
      <c r="GE3" s="28" t="s">
        <v>1072</v>
      </c>
      <c r="GF3" s="28" t="s">
        <v>1073</v>
      </c>
      <c r="GG3" s="28" t="s">
        <v>1074</v>
      </c>
      <c r="GH3" s="28" t="s">
        <v>1075</v>
      </c>
      <c r="GI3" s="28" t="s">
        <v>1076</v>
      </c>
      <c r="GJ3" s="28" t="s">
        <v>1077</v>
      </c>
      <c r="GK3" s="28" t="s">
        <v>1078</v>
      </c>
      <c r="GL3" s="28" t="s">
        <v>1079</v>
      </c>
      <c r="GM3" s="28" t="s">
        <v>1080</v>
      </c>
      <c r="GN3" s="28" t="s">
        <v>1081</v>
      </c>
      <c r="GO3" s="28" t="s">
        <v>1082</v>
      </c>
      <c r="GP3" s="28" t="s">
        <v>1083</v>
      </c>
      <c r="GQ3" s="28" t="s">
        <v>1084</v>
      </c>
      <c r="GR3" s="28" t="s">
        <v>1085</v>
      </c>
      <c r="GS3" s="28" t="s">
        <v>1086</v>
      </c>
      <c r="GT3" s="28" t="s">
        <v>1087</v>
      </c>
      <c r="GU3" s="28" t="s">
        <v>1088</v>
      </c>
      <c r="GV3" s="28" t="s">
        <v>1089</v>
      </c>
      <c r="GW3" s="28" t="s">
        <v>1090</v>
      </c>
      <c r="GX3" s="28" t="s">
        <v>1091</v>
      </c>
      <c r="GY3" s="28" t="s">
        <v>1092</v>
      </c>
      <c r="GZ3" s="28" t="s">
        <v>1093</v>
      </c>
      <c r="HA3" s="28" t="s">
        <v>1094</v>
      </c>
      <c r="HB3" s="28" t="s">
        <v>1095</v>
      </c>
      <c r="HC3" s="28" t="s">
        <v>1096</v>
      </c>
      <c r="HD3" s="28" t="s">
        <v>1097</v>
      </c>
      <c r="HE3" s="28" t="s">
        <v>1098</v>
      </c>
      <c r="HF3" s="28" t="s">
        <v>1099</v>
      </c>
      <c r="HG3" s="28" t="s">
        <v>1100</v>
      </c>
      <c r="HH3" s="28" t="s">
        <v>1101</v>
      </c>
      <c r="HI3" s="28" t="s">
        <v>1102</v>
      </c>
      <c r="HJ3" s="28" t="s">
        <v>1103</v>
      </c>
      <c r="HK3" s="28" t="s">
        <v>1104</v>
      </c>
      <c r="HL3" s="28" t="s">
        <v>1105</v>
      </c>
      <c r="HM3" s="28" t="s">
        <v>1106</v>
      </c>
      <c r="HN3" s="28" t="s">
        <v>1107</v>
      </c>
      <c r="HO3" s="28" t="s">
        <v>1108</v>
      </c>
      <c r="HP3" s="28" t="s">
        <v>1109</v>
      </c>
      <c r="HQ3" s="28" t="s">
        <v>1110</v>
      </c>
      <c r="HR3" s="28" t="s">
        <v>1111</v>
      </c>
      <c r="HS3" s="28" t="s">
        <v>1112</v>
      </c>
      <c r="HT3" s="28" t="s">
        <v>1113</v>
      </c>
      <c r="HU3" s="28" t="s">
        <v>1114</v>
      </c>
      <c r="HV3" s="28" t="s">
        <v>1115</v>
      </c>
      <c r="HW3" s="28" t="s">
        <v>1116</v>
      </c>
      <c r="HX3" s="28" t="s">
        <v>1117</v>
      </c>
      <c r="HY3" s="28" t="s">
        <v>1118</v>
      </c>
      <c r="HZ3" s="28" t="s">
        <v>1119</v>
      </c>
      <c r="IA3" s="28" t="s">
        <v>1120</v>
      </c>
      <c r="IB3" s="28" t="s">
        <v>1121</v>
      </c>
      <c r="IC3" s="28" t="s">
        <v>1122</v>
      </c>
      <c r="ID3" s="28" t="s">
        <v>1123</v>
      </c>
      <c r="IE3" s="28" t="s">
        <v>1124</v>
      </c>
      <c r="IF3" s="28" t="s">
        <v>1125</v>
      </c>
      <c r="IG3" s="28" t="s">
        <v>1126</v>
      </c>
      <c r="IH3" s="28" t="s">
        <v>1127</v>
      </c>
      <c r="II3" s="28" t="s">
        <v>1128</v>
      </c>
      <c r="IJ3" s="28" t="s">
        <v>1129</v>
      </c>
      <c r="IK3" s="28" t="s">
        <v>1130</v>
      </c>
      <c r="IL3" s="28" t="s">
        <v>1131</v>
      </c>
      <c r="IM3" s="28" t="s">
        <v>1132</v>
      </c>
      <c r="IN3" s="28" t="s">
        <v>1133</v>
      </c>
      <c r="IO3" s="28" t="s">
        <v>1134</v>
      </c>
      <c r="IP3" s="28" t="s">
        <v>1135</v>
      </c>
      <c r="IQ3" s="28" t="s">
        <v>1136</v>
      </c>
      <c r="IR3" s="28" t="s">
        <v>1137</v>
      </c>
      <c r="IS3" s="28" t="s">
        <v>1138</v>
      </c>
      <c r="IT3" s="28" t="s">
        <v>1139</v>
      </c>
      <c r="IU3" s="28" t="s">
        <v>1140</v>
      </c>
      <c r="IV3" s="28" t="s">
        <v>1141</v>
      </c>
      <c r="IW3" s="28" t="s">
        <v>1142</v>
      </c>
      <c r="IX3" s="28" t="s">
        <v>1143</v>
      </c>
      <c r="IY3" s="28" t="s">
        <v>1144</v>
      </c>
      <c r="IZ3" s="28" t="s">
        <v>1145</v>
      </c>
      <c r="JA3" s="28" t="s">
        <v>1146</v>
      </c>
      <c r="JB3" s="28" t="s">
        <v>1147</v>
      </c>
      <c r="JC3" s="28" t="s">
        <v>1148</v>
      </c>
      <c r="JD3" s="28" t="s">
        <v>1149</v>
      </c>
      <c r="JE3" s="28" t="s">
        <v>1150</v>
      </c>
      <c r="JF3" s="28" t="s">
        <v>1151</v>
      </c>
      <c r="JG3" s="28" t="s">
        <v>1152</v>
      </c>
      <c r="JH3" s="28" t="s">
        <v>1153</v>
      </c>
      <c r="JI3" s="28" t="s">
        <v>1154</v>
      </c>
      <c r="JJ3" s="28" t="s">
        <v>1155</v>
      </c>
      <c r="JK3" s="28" t="s">
        <v>1156</v>
      </c>
      <c r="JL3" s="28" t="s">
        <v>1157</v>
      </c>
      <c r="JM3" s="28" t="s">
        <v>1158</v>
      </c>
      <c r="JN3" s="28" t="s">
        <v>1159</v>
      </c>
      <c r="JO3" s="28" t="s">
        <v>1160</v>
      </c>
      <c r="JP3" s="28" t="s">
        <v>1161</v>
      </c>
      <c r="JQ3" s="28" t="s">
        <v>1162</v>
      </c>
      <c r="JR3" s="28" t="s">
        <v>1162</v>
      </c>
      <c r="JS3" s="28" t="s">
        <v>1162</v>
      </c>
      <c r="JT3" s="28" t="s">
        <v>1162</v>
      </c>
      <c r="JU3" s="28" t="s">
        <v>1162</v>
      </c>
      <c r="JV3" s="28" t="s">
        <v>1162</v>
      </c>
      <c r="JW3" s="28" t="s">
        <v>1162</v>
      </c>
      <c r="JX3" s="28" t="s">
        <v>1162</v>
      </c>
      <c r="JY3" s="28" t="s">
        <v>1162</v>
      </c>
    </row>
    <row r="4" spans="1:302">
      <c r="A4" s="404" t="s">
        <v>1163</v>
      </c>
      <c r="B4" s="200">
        <v>135.79300000000001</v>
      </c>
      <c r="P4" s="28" t="s">
        <v>957</v>
      </c>
      <c r="Q4" s="28" t="s">
        <v>339</v>
      </c>
      <c r="R4" s="28" t="s">
        <v>338</v>
      </c>
      <c r="S4" s="28" t="s">
        <v>339</v>
      </c>
      <c r="T4" s="28">
        <f>' LR Products'!J13</f>
        <v>1.61</v>
      </c>
      <c r="U4" s="28">
        <v>3.79</v>
      </c>
      <c r="Y4" s="28">
        <v>2119.3319999999999</v>
      </c>
      <c r="Z4" s="28">
        <v>148.79400000000001</v>
      </c>
      <c r="AA4" s="28">
        <f t="shared" si="6"/>
        <v>7.0207971190922439E-2</v>
      </c>
      <c r="AB4" s="28">
        <f t="shared" si="3"/>
        <v>1.5919023115152761E-4</v>
      </c>
      <c r="AD4" s="28" t="e">
        <f t="shared" si="4"/>
        <v>#REF!</v>
      </c>
      <c r="AE4" s="28" t="e">
        <f t="shared" si="5"/>
        <v>#REF!</v>
      </c>
      <c r="AG4" s="50" t="s">
        <v>1164</v>
      </c>
      <c r="AH4" s="64" cm="1">
        <f t="array" ref="AH4">SUMPRODUCT($AA$2:$AA$66,$AB$2:$AB$66,IF($P$2:$P$66=AG4,1,0))/SUMPRODUCT($AB$2:$AB$66,IF($P$2:$P$66=AG4,1,0))</f>
        <v>4.5658461773373619E-2</v>
      </c>
      <c r="AI4" s="64" t="e" cm="1">
        <f t="array" ref="AI4">SUMPRODUCT($AE$2:$AE$66,$AB$2:$AB$66,IF($P$2:$P$66=AG4,1,0))/SUMPRODUCT($AB$2:$AB$66,IF($P$2:$P$66=AG4,1,0))</f>
        <v>#REF!</v>
      </c>
      <c r="AU4" s="28" t="s">
        <v>1165</v>
      </c>
      <c r="AV4" s="28" t="s">
        <v>1166</v>
      </c>
      <c r="AW4" s="28">
        <f ca="1"/>
        <v>2.5862068965517242</v>
      </c>
      <c r="AX4" s="28">
        <f ca="1"/>
        <v>2.0953878995562047</v>
      </c>
      <c r="AY4" s="28">
        <f ca="1"/>
        <v>1.9327051312883972</v>
      </c>
      <c r="AZ4" s="28">
        <f ca="1"/>
        <v>1.9559714658280278</v>
      </c>
      <c r="BA4" s="28">
        <f ca="1"/>
        <v>1.8365638694217861</v>
      </c>
      <c r="BB4" s="28">
        <f ca="1"/>
        <v>1.6145610278372591</v>
      </c>
      <c r="BC4" s="28">
        <f ca="1"/>
        <v>1.6156982035330931</v>
      </c>
      <c r="BD4" s="28">
        <f ca="1"/>
        <v>1.3722988096981361</v>
      </c>
      <c r="BE4" s="28">
        <f ca="1"/>
        <v>1.3419612247806008</v>
      </c>
      <c r="BF4" s="28">
        <f ca="1"/>
        <v>0.94159041370229812</v>
      </c>
      <c r="BL4" s="28" t="s">
        <v>1167</v>
      </c>
      <c r="BN4" s="28" t="s">
        <v>2676</v>
      </c>
      <c r="BO4" s="28" t="s">
        <v>2677</v>
      </c>
      <c r="BP4" s="28" t="s">
        <v>2678</v>
      </c>
      <c r="BQ4" s="28" t="s">
        <v>2679</v>
      </c>
      <c r="BR4" s="28" t="s">
        <v>2680</v>
      </c>
      <c r="BS4" s="28" t="s">
        <v>2681</v>
      </c>
      <c r="BT4" s="28" t="s">
        <v>2682</v>
      </c>
      <c r="BU4" s="28" t="s">
        <v>2683</v>
      </c>
      <c r="BV4" s="28" t="s">
        <v>2684</v>
      </c>
      <c r="BW4" s="28" t="s">
        <v>2685</v>
      </c>
      <c r="BX4" s="28" t="s">
        <v>1168</v>
      </c>
      <c r="BY4" s="28" t="s">
        <v>1169</v>
      </c>
      <c r="BZ4" s="28" t="s">
        <v>1170</v>
      </c>
      <c r="CA4" s="28" t="s">
        <v>1171</v>
      </c>
      <c r="CB4" s="28" t="s">
        <v>1172</v>
      </c>
      <c r="CC4" s="28" t="s">
        <v>1173</v>
      </c>
      <c r="CD4" s="28" t="s">
        <v>1174</v>
      </c>
      <c r="CE4" s="28" t="s">
        <v>1175</v>
      </c>
      <c r="CF4" s="28" t="s">
        <v>1176</v>
      </c>
      <c r="CG4" s="28" t="s">
        <v>1177</v>
      </c>
      <c r="CH4" s="28" t="s">
        <v>1178</v>
      </c>
      <c r="CI4" s="28" t="s">
        <v>1179</v>
      </c>
      <c r="CJ4" s="28" t="s">
        <v>1180</v>
      </c>
      <c r="CK4" s="28" t="s">
        <v>1181</v>
      </c>
      <c r="CL4" s="28" t="s">
        <v>1182</v>
      </c>
      <c r="CM4" s="28" t="s">
        <v>1183</v>
      </c>
      <c r="CN4" s="28" t="s">
        <v>1184</v>
      </c>
      <c r="CO4" s="28" t="s">
        <v>1185</v>
      </c>
      <c r="CP4" s="28" t="s">
        <v>1186</v>
      </c>
      <c r="CQ4" s="28" t="s">
        <v>1187</v>
      </c>
      <c r="CR4" s="28" t="s">
        <v>1188</v>
      </c>
      <c r="CS4" s="28" t="s">
        <v>1189</v>
      </c>
      <c r="CT4" s="28" t="s">
        <v>1190</v>
      </c>
      <c r="CU4" s="28" t="s">
        <v>1191</v>
      </c>
      <c r="CV4" s="28" t="s">
        <v>1192</v>
      </c>
      <c r="CW4" s="28" t="s">
        <v>1193</v>
      </c>
      <c r="CX4" s="28" t="s">
        <v>1194</v>
      </c>
      <c r="CY4" s="28" t="s">
        <v>1195</v>
      </c>
      <c r="CZ4" s="28" t="s">
        <v>1196</v>
      </c>
      <c r="DA4" s="28" t="s">
        <v>1197</v>
      </c>
      <c r="DB4" s="28" t="s">
        <v>1198</v>
      </c>
      <c r="DC4" s="28" t="s">
        <v>1199</v>
      </c>
      <c r="DD4" s="28" t="s">
        <v>1200</v>
      </c>
      <c r="DE4" s="28" t="s">
        <v>1201</v>
      </c>
      <c r="DF4" s="28" t="s">
        <v>1202</v>
      </c>
      <c r="DG4" s="28" t="s">
        <v>1203</v>
      </c>
      <c r="DH4" s="28" t="s">
        <v>1204</v>
      </c>
      <c r="DI4" s="28" t="s">
        <v>1205</v>
      </c>
      <c r="DJ4" s="28" t="s">
        <v>1206</v>
      </c>
      <c r="DK4" s="28" t="s">
        <v>1207</v>
      </c>
      <c r="DL4" s="28" t="s">
        <v>1208</v>
      </c>
      <c r="DM4" s="28" t="s">
        <v>1209</v>
      </c>
      <c r="DN4" s="28" t="s">
        <v>1210</v>
      </c>
      <c r="DO4" s="28" t="s">
        <v>1211</v>
      </c>
      <c r="DP4" s="28" t="s">
        <v>1212</v>
      </c>
      <c r="DQ4" s="28" t="s">
        <v>1213</v>
      </c>
      <c r="DR4" s="28" t="s">
        <v>1214</v>
      </c>
      <c r="DS4" s="28" t="s">
        <v>1215</v>
      </c>
      <c r="DT4" s="28" t="s">
        <v>1216</v>
      </c>
      <c r="DU4" s="28" t="s">
        <v>1217</v>
      </c>
      <c r="DV4" s="28" t="s">
        <v>1218</v>
      </c>
      <c r="DW4" s="28" t="s">
        <v>1219</v>
      </c>
      <c r="DX4" s="28" t="s">
        <v>1220</v>
      </c>
      <c r="DY4" s="28" t="s">
        <v>1221</v>
      </c>
      <c r="DZ4" s="28" t="s">
        <v>1222</v>
      </c>
      <c r="EA4" s="28" t="s">
        <v>1223</v>
      </c>
      <c r="EB4" s="28" t="s">
        <v>1224</v>
      </c>
      <c r="EC4" s="28" t="s">
        <v>1225</v>
      </c>
      <c r="ED4" s="28" t="s">
        <v>1226</v>
      </c>
      <c r="EE4" s="28" t="s">
        <v>1227</v>
      </c>
      <c r="EF4" s="28" t="s">
        <v>1228</v>
      </c>
      <c r="EG4" s="28" t="s">
        <v>1229</v>
      </c>
      <c r="EH4" s="28" t="s">
        <v>1230</v>
      </c>
      <c r="EI4" s="28" t="s">
        <v>1231</v>
      </c>
      <c r="EJ4" s="28" t="s">
        <v>1232</v>
      </c>
      <c r="EK4" s="28" t="s">
        <v>1233</v>
      </c>
      <c r="EL4" s="28" t="s">
        <v>1234</v>
      </c>
      <c r="EM4" s="28" t="s">
        <v>1235</v>
      </c>
      <c r="EN4" s="28" t="s">
        <v>1236</v>
      </c>
      <c r="EO4" s="28" t="s">
        <v>1237</v>
      </c>
      <c r="EP4" s="28" t="s">
        <v>1238</v>
      </c>
      <c r="EQ4" s="28" t="s">
        <v>1239</v>
      </c>
      <c r="ER4" s="28" t="s">
        <v>1240</v>
      </c>
      <c r="ES4" s="28" t="s">
        <v>1241</v>
      </c>
      <c r="ET4" s="28" t="s">
        <v>1242</v>
      </c>
      <c r="EU4" s="28" t="s">
        <v>1243</v>
      </c>
      <c r="EV4" s="28" t="s">
        <v>1244</v>
      </c>
      <c r="EW4" s="28" t="s">
        <v>1245</v>
      </c>
      <c r="EX4" s="28" t="s">
        <v>1246</v>
      </c>
      <c r="EY4" s="28" t="s">
        <v>1247</v>
      </c>
      <c r="EZ4" s="28" t="s">
        <v>1248</v>
      </c>
      <c r="FA4" s="28" t="s">
        <v>1249</v>
      </c>
      <c r="FB4" s="28" t="s">
        <v>1250</v>
      </c>
      <c r="FC4" s="28" t="s">
        <v>1251</v>
      </c>
      <c r="FD4" s="28" t="s">
        <v>1252</v>
      </c>
      <c r="FE4" s="28" t="s">
        <v>1253</v>
      </c>
      <c r="FF4" s="28" t="s">
        <v>1254</v>
      </c>
      <c r="FG4" s="28" t="s">
        <v>1255</v>
      </c>
      <c r="FH4" s="28" t="s">
        <v>1256</v>
      </c>
      <c r="FI4" s="28" t="s">
        <v>1257</v>
      </c>
      <c r="FJ4" s="28" t="s">
        <v>1258</v>
      </c>
      <c r="FK4" s="28" t="s">
        <v>1259</v>
      </c>
      <c r="FL4" s="28" t="s">
        <v>1260</v>
      </c>
      <c r="FM4" s="28" t="s">
        <v>1261</v>
      </c>
      <c r="FN4" s="28" t="s">
        <v>1262</v>
      </c>
      <c r="FO4" s="28" t="s">
        <v>1263</v>
      </c>
      <c r="FP4" s="28" t="s">
        <v>1264</v>
      </c>
      <c r="FQ4" s="28" t="s">
        <v>1265</v>
      </c>
      <c r="FR4" s="28" t="s">
        <v>1266</v>
      </c>
      <c r="FS4" s="28" t="s">
        <v>1267</v>
      </c>
      <c r="FT4" s="28" t="s">
        <v>1268</v>
      </c>
      <c r="FU4" s="28" t="s">
        <v>1269</v>
      </c>
      <c r="FV4" s="28" t="s">
        <v>1270</v>
      </c>
      <c r="FW4" s="28" t="s">
        <v>1271</v>
      </c>
      <c r="FX4" s="28" t="s">
        <v>1272</v>
      </c>
      <c r="FY4" s="28" t="s">
        <v>1273</v>
      </c>
      <c r="FZ4" s="28" t="s">
        <v>1274</v>
      </c>
      <c r="GA4" s="28" t="s">
        <v>1275</v>
      </c>
      <c r="GB4" s="28" t="s">
        <v>1276</v>
      </c>
      <c r="GC4" s="28" t="s">
        <v>1277</v>
      </c>
      <c r="GD4" s="28" t="s">
        <v>1278</v>
      </c>
      <c r="GE4" s="28" t="s">
        <v>1279</v>
      </c>
      <c r="GF4" s="28" t="s">
        <v>1280</v>
      </c>
      <c r="GG4" s="28" t="s">
        <v>1281</v>
      </c>
      <c r="GH4" s="28" t="s">
        <v>1282</v>
      </c>
      <c r="GI4" s="28" t="s">
        <v>1283</v>
      </c>
      <c r="GJ4" s="28" t="s">
        <v>1284</v>
      </c>
      <c r="GK4" s="28" t="s">
        <v>1285</v>
      </c>
      <c r="GL4" s="28" t="s">
        <v>1286</v>
      </c>
      <c r="GM4" s="28" t="s">
        <v>1287</v>
      </c>
      <c r="GN4" s="28" t="s">
        <v>1288</v>
      </c>
      <c r="GO4" s="28" t="s">
        <v>1289</v>
      </c>
      <c r="GP4" s="28" t="s">
        <v>1290</v>
      </c>
      <c r="GQ4" s="28" t="s">
        <v>1291</v>
      </c>
      <c r="GR4" s="28" t="s">
        <v>1292</v>
      </c>
      <c r="GS4" s="28" t="s">
        <v>1293</v>
      </c>
      <c r="GT4" s="28" t="s">
        <v>1294</v>
      </c>
      <c r="GU4" s="28" t="s">
        <v>1295</v>
      </c>
      <c r="GV4" s="28" t="s">
        <v>1296</v>
      </c>
      <c r="GW4" s="28" t="s">
        <v>1297</v>
      </c>
      <c r="GX4" s="28" t="s">
        <v>1298</v>
      </c>
      <c r="GY4" s="28" t="s">
        <v>1299</v>
      </c>
      <c r="GZ4" s="28" t="s">
        <v>1300</v>
      </c>
      <c r="HA4" s="28" t="s">
        <v>1301</v>
      </c>
      <c r="HB4" s="28" t="s">
        <v>1302</v>
      </c>
      <c r="HC4" s="28" t="s">
        <v>1303</v>
      </c>
      <c r="HD4" s="28" t="s">
        <v>1304</v>
      </c>
      <c r="HE4" s="28" t="s">
        <v>1305</v>
      </c>
      <c r="HF4" s="28" t="s">
        <v>1306</v>
      </c>
      <c r="HG4" s="28" t="s">
        <v>1307</v>
      </c>
      <c r="HH4" s="28" t="s">
        <v>1308</v>
      </c>
      <c r="HI4" s="28" t="s">
        <v>1309</v>
      </c>
      <c r="HJ4" s="28" t="s">
        <v>1310</v>
      </c>
      <c r="HK4" s="28" t="s">
        <v>1311</v>
      </c>
      <c r="HL4" s="28" t="s">
        <v>1312</v>
      </c>
      <c r="HM4" s="28" t="s">
        <v>1313</v>
      </c>
      <c r="HN4" s="28" t="s">
        <v>1314</v>
      </c>
      <c r="HO4" s="28" t="s">
        <v>1315</v>
      </c>
      <c r="HP4" s="28" t="s">
        <v>1316</v>
      </c>
      <c r="HQ4" s="28" t="s">
        <v>1317</v>
      </c>
      <c r="HR4" s="28" t="s">
        <v>1318</v>
      </c>
      <c r="HS4" s="28" t="s">
        <v>1319</v>
      </c>
      <c r="HT4" s="28" t="s">
        <v>1320</v>
      </c>
      <c r="HU4" s="28" t="s">
        <v>1321</v>
      </c>
      <c r="HV4" s="28" t="s">
        <v>1322</v>
      </c>
      <c r="HW4" s="28" t="s">
        <v>1323</v>
      </c>
      <c r="HX4" s="28" t="s">
        <v>1324</v>
      </c>
      <c r="HY4" s="28" t="s">
        <v>1325</v>
      </c>
      <c r="HZ4" s="28" t="s">
        <v>1326</v>
      </c>
      <c r="IA4" s="28" t="s">
        <v>1327</v>
      </c>
      <c r="IB4" s="28" t="s">
        <v>1328</v>
      </c>
      <c r="IC4" s="28" t="s">
        <v>1329</v>
      </c>
      <c r="ID4" s="28" t="s">
        <v>1330</v>
      </c>
      <c r="IE4" s="28" t="s">
        <v>1331</v>
      </c>
      <c r="IF4" s="28" t="s">
        <v>1332</v>
      </c>
      <c r="IG4" s="28" t="s">
        <v>1333</v>
      </c>
      <c r="IH4" s="28" t="s">
        <v>1334</v>
      </c>
      <c r="II4" s="28" t="s">
        <v>1335</v>
      </c>
      <c r="IJ4" s="28" t="s">
        <v>1336</v>
      </c>
      <c r="IK4" s="28" t="s">
        <v>1337</v>
      </c>
      <c r="IL4" s="28" t="s">
        <v>1338</v>
      </c>
      <c r="IM4" s="28" t="s">
        <v>1339</v>
      </c>
      <c r="IN4" s="28" t="s">
        <v>1340</v>
      </c>
      <c r="IO4" s="28" t="s">
        <v>1341</v>
      </c>
      <c r="IP4" s="28" t="s">
        <v>1342</v>
      </c>
      <c r="IQ4" s="28" t="s">
        <v>1343</v>
      </c>
      <c r="IR4" s="28" t="s">
        <v>1344</v>
      </c>
      <c r="IS4" s="28" t="s">
        <v>1345</v>
      </c>
      <c r="IT4" s="28" t="s">
        <v>1346</v>
      </c>
      <c r="IU4" s="28" t="s">
        <v>1347</v>
      </c>
      <c r="IV4" s="28" t="s">
        <v>1348</v>
      </c>
      <c r="IW4" s="28" t="s">
        <v>1349</v>
      </c>
      <c r="IX4" s="28" t="s">
        <v>1350</v>
      </c>
      <c r="IY4" s="28" t="s">
        <v>1351</v>
      </c>
      <c r="IZ4" s="28" t="s">
        <v>1352</v>
      </c>
      <c r="JA4" s="28" t="s">
        <v>1353</v>
      </c>
      <c r="JB4" s="28" t="s">
        <v>1354</v>
      </c>
      <c r="JC4" s="28" t="s">
        <v>1355</v>
      </c>
      <c r="JD4" s="28" t="s">
        <v>1356</v>
      </c>
      <c r="JE4" s="28" t="s">
        <v>1357</v>
      </c>
      <c r="JF4" s="28" t="s">
        <v>1358</v>
      </c>
      <c r="JG4" s="28" t="s">
        <v>1359</v>
      </c>
      <c r="JH4" s="28" t="s">
        <v>1360</v>
      </c>
      <c r="JI4" s="28" t="s">
        <v>1361</v>
      </c>
      <c r="JJ4" s="28" t="s">
        <v>1362</v>
      </c>
      <c r="JK4" s="28" t="s">
        <v>1363</v>
      </c>
      <c r="JL4" s="28" t="s">
        <v>1364</v>
      </c>
      <c r="JM4" s="28" t="s">
        <v>1365</v>
      </c>
      <c r="JN4" s="28" t="s">
        <v>1366</v>
      </c>
      <c r="JO4" s="28" t="s">
        <v>1367</v>
      </c>
      <c r="JP4" s="28" t="s">
        <v>1368</v>
      </c>
      <c r="JQ4" s="28" t="s">
        <v>1369</v>
      </c>
      <c r="JR4" s="28" t="s">
        <v>1369</v>
      </c>
      <c r="JS4" s="28" t="s">
        <v>1369</v>
      </c>
      <c r="JT4" s="28" t="s">
        <v>1369</v>
      </c>
      <c r="JU4" s="28" t="s">
        <v>1369</v>
      </c>
      <c r="JV4" s="28" t="s">
        <v>1369</v>
      </c>
      <c r="JW4" s="28" t="s">
        <v>1369</v>
      </c>
      <c r="JX4" s="28" t="s">
        <v>1369</v>
      </c>
      <c r="JY4" s="28" t="s">
        <v>1369</v>
      </c>
    </row>
    <row r="5" spans="1:302">
      <c r="P5" s="28" t="s">
        <v>1370</v>
      </c>
      <c r="Q5" s="52" t="s">
        <v>342</v>
      </c>
      <c r="R5" s="52" t="s">
        <v>341</v>
      </c>
      <c r="S5" s="28" t="s">
        <v>342</v>
      </c>
      <c r="T5" s="28">
        <f>' LR Products'!J14</f>
        <v>1.54</v>
      </c>
      <c r="U5" s="28">
        <v>6.23</v>
      </c>
      <c r="W5" s="52"/>
      <c r="X5" s="52"/>
      <c r="Y5" s="28">
        <v>50266.171999999999</v>
      </c>
      <c r="Z5" s="28">
        <v>16555.824000000001</v>
      </c>
      <c r="AA5" s="28">
        <f t="shared" si="6"/>
        <v>0.32936313511201931</v>
      </c>
      <c r="AB5" s="28">
        <f t="shared" si="3"/>
        <v>3.7756630578797685E-3</v>
      </c>
      <c r="AD5" s="28" t="e">
        <f t="shared" si="4"/>
        <v>#REF!</v>
      </c>
      <c r="AE5" s="28" t="e">
        <f t="shared" si="5"/>
        <v>#REF!</v>
      </c>
      <c r="AG5" s="28" t="s">
        <v>1371</v>
      </c>
      <c r="AH5" s="64" cm="1">
        <f t="array" ref="AH5">SUMPRODUCT($AA$2:$AA$66,$AB$2:$AB$66,IF($P$2:$P$66=AG5,1,0))/SUMPRODUCT($AB$2:$AB$66,IF($P$2:$P$66=AG5,1,0))</f>
        <v>2.1279720908204871E-2</v>
      </c>
      <c r="AI5" s="64" t="e" cm="1">
        <f t="array" ref="AI5">SUMPRODUCT($AE$2:$AE$66,$AB$2:$AB$66,IF($P$2:$P$66=AG5,1,0))/SUMPRODUCT($AB$2:$AB$66,IF($P$2:$P$66=AG5,1,0))</f>
        <v>#REF!</v>
      </c>
      <c r="AU5" s="28" t="s">
        <v>1372</v>
      </c>
      <c r="AV5" s="28" t="s">
        <v>1371</v>
      </c>
      <c r="AW5" s="28">
        <f ca="1"/>
        <v>1.2225705329153604</v>
      </c>
      <c r="AX5" s="28">
        <f ca="1"/>
        <v>0.95500252794786811</v>
      </c>
      <c r="AY5" s="28">
        <f ca="1"/>
        <v>1.0122652441024071</v>
      </c>
      <c r="AZ5" s="28">
        <f ca="1"/>
        <v>0.96839763749328833</v>
      </c>
      <c r="BA5" s="28">
        <f ca="1"/>
        <v>0.8797124521984605</v>
      </c>
      <c r="BB5" s="28">
        <f ca="1"/>
        <v>0.86081370449678796</v>
      </c>
      <c r="BC5" s="28">
        <f ca="1"/>
        <v>0.8676897759714759</v>
      </c>
      <c r="BD5" s="28">
        <f ca="1"/>
        <v>0.73844737777963732</v>
      </c>
      <c r="BE5" s="28">
        <f ca="1"/>
        <v>0.69151655867832329</v>
      </c>
      <c r="BF5" s="28">
        <f ca="1"/>
        <v>0.52667101871009858</v>
      </c>
      <c r="BL5" s="28" t="s">
        <v>1373</v>
      </c>
      <c r="BN5" s="28" t="s">
        <v>2686</v>
      </c>
      <c r="BO5" s="28" t="s">
        <v>2687</v>
      </c>
      <c r="BP5" s="28" t="s">
        <v>2688</v>
      </c>
      <c r="BQ5" s="28" t="s">
        <v>2689</v>
      </c>
      <c r="BR5" s="28" t="s">
        <v>2690</v>
      </c>
      <c r="BS5" s="28" t="s">
        <v>2691</v>
      </c>
      <c r="BT5" s="28" t="s">
        <v>2692</v>
      </c>
      <c r="BU5" s="28" t="s">
        <v>2693</v>
      </c>
      <c r="BV5" s="28" t="s">
        <v>2694</v>
      </c>
      <c r="BW5" s="28" t="s">
        <v>2695</v>
      </c>
      <c r="BX5" s="28" t="s">
        <v>1374</v>
      </c>
      <c r="BY5" s="28" t="s">
        <v>1375</v>
      </c>
      <c r="BZ5" s="28" t="s">
        <v>1376</v>
      </c>
      <c r="CA5" s="28" t="s">
        <v>1377</v>
      </c>
      <c r="CB5" s="28" t="s">
        <v>1378</v>
      </c>
      <c r="CC5" s="28" t="s">
        <v>1379</v>
      </c>
      <c r="CD5" s="28" t="s">
        <v>1380</v>
      </c>
      <c r="CE5" s="28" t="s">
        <v>1381</v>
      </c>
      <c r="CF5" s="28" t="s">
        <v>1382</v>
      </c>
      <c r="CG5" s="28" t="s">
        <v>1383</v>
      </c>
      <c r="CH5" s="28" t="s">
        <v>1384</v>
      </c>
      <c r="CI5" s="28" t="s">
        <v>1385</v>
      </c>
      <c r="CJ5" s="28" t="s">
        <v>1386</v>
      </c>
      <c r="CK5" s="28" t="s">
        <v>1387</v>
      </c>
      <c r="CL5" s="28" t="s">
        <v>1388</v>
      </c>
      <c r="CM5" s="28" t="s">
        <v>1389</v>
      </c>
      <c r="CN5" s="28" t="s">
        <v>1390</v>
      </c>
      <c r="CO5" s="28" t="s">
        <v>1391</v>
      </c>
      <c r="CP5" s="28" t="s">
        <v>1392</v>
      </c>
      <c r="CQ5" s="28" t="s">
        <v>1393</v>
      </c>
      <c r="CR5" s="28" t="s">
        <v>1394</v>
      </c>
      <c r="CS5" s="28" t="s">
        <v>1395</v>
      </c>
      <c r="CT5" s="28" t="s">
        <v>1396</v>
      </c>
      <c r="CU5" s="28" t="s">
        <v>1397</v>
      </c>
      <c r="CV5" s="28" t="s">
        <v>1398</v>
      </c>
      <c r="CW5" s="28" t="s">
        <v>1399</v>
      </c>
      <c r="CX5" s="28" t="s">
        <v>1400</v>
      </c>
      <c r="CY5" s="28" t="s">
        <v>1401</v>
      </c>
      <c r="CZ5" s="28" t="s">
        <v>1402</v>
      </c>
      <c r="DA5" s="28" t="s">
        <v>1403</v>
      </c>
      <c r="DB5" s="28" t="s">
        <v>1404</v>
      </c>
      <c r="DC5" s="28" t="s">
        <v>1405</v>
      </c>
      <c r="DD5" s="28" t="s">
        <v>1406</v>
      </c>
      <c r="DE5" s="28" t="s">
        <v>1407</v>
      </c>
      <c r="DF5" s="28" t="s">
        <v>1408</v>
      </c>
      <c r="DG5" s="28" t="s">
        <v>1409</v>
      </c>
      <c r="DH5" s="28" t="s">
        <v>1410</v>
      </c>
      <c r="DI5" s="28" t="s">
        <v>1411</v>
      </c>
      <c r="DJ5" s="28" t="s">
        <v>1412</v>
      </c>
      <c r="DK5" s="28" t="s">
        <v>1413</v>
      </c>
      <c r="DL5" s="28" t="s">
        <v>1414</v>
      </c>
      <c r="DM5" s="28" t="s">
        <v>1415</v>
      </c>
      <c r="DN5" s="28" t="s">
        <v>1416</v>
      </c>
      <c r="DO5" s="28" t="s">
        <v>1417</v>
      </c>
      <c r="DP5" s="28" t="s">
        <v>1418</v>
      </c>
      <c r="DQ5" s="28" t="s">
        <v>1419</v>
      </c>
      <c r="DR5" s="28" t="s">
        <v>1420</v>
      </c>
      <c r="DS5" s="28" t="s">
        <v>1421</v>
      </c>
      <c r="DT5" s="28" t="s">
        <v>1422</v>
      </c>
      <c r="DU5" s="28" t="s">
        <v>1423</v>
      </c>
      <c r="DV5" s="28" t="s">
        <v>1424</v>
      </c>
      <c r="DW5" s="28" t="s">
        <v>1425</v>
      </c>
      <c r="DX5" s="28" t="s">
        <v>1426</v>
      </c>
      <c r="DY5" s="28" t="s">
        <v>1427</v>
      </c>
      <c r="DZ5" s="28" t="s">
        <v>1428</v>
      </c>
      <c r="EA5" s="28" t="s">
        <v>1429</v>
      </c>
      <c r="EB5" s="28" t="s">
        <v>1430</v>
      </c>
      <c r="EC5" s="28" t="s">
        <v>1431</v>
      </c>
      <c r="ED5" s="28" t="s">
        <v>1432</v>
      </c>
      <c r="EE5" s="28" t="s">
        <v>1433</v>
      </c>
      <c r="EF5" s="28" t="s">
        <v>1434</v>
      </c>
      <c r="EG5" s="28" t="s">
        <v>1435</v>
      </c>
      <c r="EH5" s="28" t="s">
        <v>1436</v>
      </c>
      <c r="EI5" s="28" t="s">
        <v>1437</v>
      </c>
      <c r="EJ5" s="28" t="s">
        <v>1438</v>
      </c>
      <c r="EK5" s="28" t="s">
        <v>1439</v>
      </c>
      <c r="EL5" s="28" t="s">
        <v>1440</v>
      </c>
      <c r="EM5" s="28" t="s">
        <v>1441</v>
      </c>
      <c r="EN5" s="28" t="s">
        <v>1442</v>
      </c>
      <c r="EO5" s="28" t="s">
        <v>1443</v>
      </c>
      <c r="EP5" s="28" t="s">
        <v>1444</v>
      </c>
      <c r="EQ5" s="28" t="s">
        <v>1445</v>
      </c>
      <c r="ER5" s="28" t="s">
        <v>1446</v>
      </c>
      <c r="ES5" s="28" t="s">
        <v>1447</v>
      </c>
      <c r="ET5" s="28" t="s">
        <v>1448</v>
      </c>
      <c r="EU5" s="28" t="s">
        <v>1449</v>
      </c>
      <c r="EV5" s="28" t="s">
        <v>1450</v>
      </c>
      <c r="EW5" s="28" t="s">
        <v>1451</v>
      </c>
      <c r="EX5" s="28" t="s">
        <v>1452</v>
      </c>
      <c r="EY5" s="28" t="s">
        <v>1453</v>
      </c>
      <c r="EZ5" s="28" t="s">
        <v>1454</v>
      </c>
      <c r="FA5" s="28" t="s">
        <v>1455</v>
      </c>
      <c r="FB5" s="28" t="s">
        <v>1456</v>
      </c>
      <c r="FC5" s="28" t="s">
        <v>1457</v>
      </c>
      <c r="FD5" s="28" t="s">
        <v>1458</v>
      </c>
      <c r="FE5" s="28" t="s">
        <v>1459</v>
      </c>
      <c r="FF5" s="28" t="s">
        <v>1460</v>
      </c>
      <c r="FG5" s="28" t="s">
        <v>1461</v>
      </c>
      <c r="FH5" s="28" t="s">
        <v>1462</v>
      </c>
      <c r="FI5" s="28" t="s">
        <v>1463</v>
      </c>
      <c r="FJ5" s="28" t="s">
        <v>1464</v>
      </c>
      <c r="FK5" s="28" t="s">
        <v>1465</v>
      </c>
      <c r="FL5" s="28" t="s">
        <v>1466</v>
      </c>
      <c r="FM5" s="28" t="s">
        <v>1467</v>
      </c>
      <c r="FN5" s="28" t="s">
        <v>1468</v>
      </c>
      <c r="FO5" s="28" t="s">
        <v>1469</v>
      </c>
      <c r="FP5" s="28" t="s">
        <v>1470</v>
      </c>
      <c r="FQ5" s="28" t="s">
        <v>1471</v>
      </c>
      <c r="FR5" s="28" t="s">
        <v>1472</v>
      </c>
      <c r="FS5" s="28" t="s">
        <v>1473</v>
      </c>
      <c r="FT5" s="28" t="s">
        <v>1474</v>
      </c>
      <c r="FU5" s="28" t="s">
        <v>1475</v>
      </c>
      <c r="FV5" s="28" t="s">
        <v>1476</v>
      </c>
      <c r="FW5" s="28" t="s">
        <v>1477</v>
      </c>
      <c r="FX5" s="28" t="s">
        <v>1478</v>
      </c>
      <c r="FY5" s="28" t="s">
        <v>1479</v>
      </c>
      <c r="FZ5" s="28" t="s">
        <v>1480</v>
      </c>
      <c r="GA5" s="28" t="s">
        <v>1481</v>
      </c>
      <c r="GB5" s="28" t="s">
        <v>1482</v>
      </c>
      <c r="GC5" s="28" t="s">
        <v>1483</v>
      </c>
      <c r="GD5" s="28" t="s">
        <v>1484</v>
      </c>
      <c r="GE5" s="28" t="s">
        <v>1485</v>
      </c>
      <c r="GF5" s="28" t="s">
        <v>1486</v>
      </c>
      <c r="GG5" s="28" t="s">
        <v>1487</v>
      </c>
      <c r="GH5" s="28" t="s">
        <v>1488</v>
      </c>
      <c r="GI5" s="28" t="s">
        <v>1489</v>
      </c>
      <c r="GJ5" s="28" t="s">
        <v>1490</v>
      </c>
      <c r="GK5" s="28" t="s">
        <v>1491</v>
      </c>
      <c r="GL5" s="28" t="s">
        <v>1492</v>
      </c>
      <c r="GM5" s="28" t="s">
        <v>1493</v>
      </c>
      <c r="GN5" s="28" t="s">
        <v>1494</v>
      </c>
      <c r="GO5" s="28" t="s">
        <v>1495</v>
      </c>
      <c r="GP5" s="28" t="s">
        <v>1496</v>
      </c>
      <c r="GQ5" s="28" t="s">
        <v>1497</v>
      </c>
      <c r="GR5" s="28" t="s">
        <v>1498</v>
      </c>
      <c r="GS5" s="28" t="s">
        <v>1499</v>
      </c>
      <c r="GT5" s="28" t="s">
        <v>1500</v>
      </c>
      <c r="GU5" s="28" t="s">
        <v>1501</v>
      </c>
      <c r="GV5" s="28" t="s">
        <v>1502</v>
      </c>
      <c r="GW5" s="28" t="s">
        <v>1503</v>
      </c>
      <c r="GX5" s="28" t="s">
        <v>1504</v>
      </c>
      <c r="GY5" s="28" t="s">
        <v>1505</v>
      </c>
      <c r="GZ5" s="28" t="s">
        <v>1506</v>
      </c>
      <c r="HA5" s="28" t="s">
        <v>1507</v>
      </c>
      <c r="HB5" s="28" t="s">
        <v>1508</v>
      </c>
      <c r="HC5" s="28" t="s">
        <v>1509</v>
      </c>
      <c r="HD5" s="28" t="s">
        <v>1510</v>
      </c>
      <c r="HE5" s="28" t="s">
        <v>1511</v>
      </c>
      <c r="HF5" s="28" t="s">
        <v>1512</v>
      </c>
      <c r="HG5" s="28" t="s">
        <v>1513</v>
      </c>
      <c r="HH5" s="28" t="s">
        <v>1514</v>
      </c>
      <c r="HI5" s="28" t="s">
        <v>1515</v>
      </c>
      <c r="HJ5" s="28" t="s">
        <v>1516</v>
      </c>
      <c r="HK5" s="28" t="s">
        <v>1517</v>
      </c>
      <c r="HL5" s="28" t="s">
        <v>1518</v>
      </c>
      <c r="HM5" s="28" t="s">
        <v>1519</v>
      </c>
      <c r="HN5" s="28" t="s">
        <v>1520</v>
      </c>
      <c r="HO5" s="28" t="s">
        <v>1521</v>
      </c>
      <c r="HP5" s="28" t="s">
        <v>1522</v>
      </c>
      <c r="HQ5" s="28" t="s">
        <v>1523</v>
      </c>
      <c r="HR5" s="28" t="s">
        <v>1524</v>
      </c>
      <c r="HS5" s="28" t="s">
        <v>1525</v>
      </c>
      <c r="HT5" s="28" t="s">
        <v>1526</v>
      </c>
      <c r="HU5" s="28" t="s">
        <v>1527</v>
      </c>
      <c r="HV5" s="28" t="s">
        <v>1528</v>
      </c>
      <c r="HW5" s="28" t="s">
        <v>1529</v>
      </c>
      <c r="HX5" s="28" t="s">
        <v>1530</v>
      </c>
      <c r="HY5" s="28" t="s">
        <v>1531</v>
      </c>
      <c r="HZ5" s="28" t="s">
        <v>1532</v>
      </c>
      <c r="IA5" s="28" t="s">
        <v>1533</v>
      </c>
      <c r="IB5" s="28" t="s">
        <v>1534</v>
      </c>
      <c r="IC5" s="28" t="s">
        <v>1535</v>
      </c>
      <c r="ID5" s="28" t="s">
        <v>1536</v>
      </c>
      <c r="IE5" s="28" t="s">
        <v>1537</v>
      </c>
      <c r="IF5" s="28" t="s">
        <v>1538</v>
      </c>
      <c r="IG5" s="28" t="s">
        <v>1539</v>
      </c>
      <c r="IH5" s="28" t="s">
        <v>1540</v>
      </c>
      <c r="II5" s="28" t="s">
        <v>1541</v>
      </c>
      <c r="IJ5" s="28" t="s">
        <v>1542</v>
      </c>
      <c r="IK5" s="28" t="s">
        <v>1543</v>
      </c>
      <c r="IL5" s="28" t="s">
        <v>1544</v>
      </c>
      <c r="IM5" s="28" t="s">
        <v>1545</v>
      </c>
      <c r="IN5" s="28" t="s">
        <v>1546</v>
      </c>
      <c r="IO5" s="28" t="s">
        <v>1547</v>
      </c>
      <c r="IP5" s="28" t="s">
        <v>1548</v>
      </c>
      <c r="IQ5" s="28" t="s">
        <v>1549</v>
      </c>
      <c r="IR5" s="28" t="s">
        <v>1550</v>
      </c>
      <c r="IS5" s="28" t="s">
        <v>1551</v>
      </c>
      <c r="IT5" s="28" t="s">
        <v>1552</v>
      </c>
      <c r="IU5" s="28" t="s">
        <v>1553</v>
      </c>
      <c r="IV5" s="28" t="s">
        <v>1554</v>
      </c>
      <c r="IW5" s="28" t="s">
        <v>1555</v>
      </c>
      <c r="IX5" s="28" t="s">
        <v>1556</v>
      </c>
      <c r="IY5" s="28" t="s">
        <v>1557</v>
      </c>
      <c r="IZ5" s="28" t="s">
        <v>1558</v>
      </c>
      <c r="JA5" s="28" t="s">
        <v>1559</v>
      </c>
      <c r="JB5" s="28" t="s">
        <v>1560</v>
      </c>
      <c r="JC5" s="28" t="s">
        <v>1561</v>
      </c>
      <c r="JD5" s="28" t="s">
        <v>1562</v>
      </c>
      <c r="JE5" s="28" t="s">
        <v>1563</v>
      </c>
      <c r="JF5" s="28" t="s">
        <v>1564</v>
      </c>
      <c r="JG5" s="28" t="s">
        <v>1565</v>
      </c>
      <c r="JH5" s="28" t="s">
        <v>1566</v>
      </c>
      <c r="JI5" s="28" t="s">
        <v>1567</v>
      </c>
      <c r="JJ5" s="28" t="s">
        <v>1568</v>
      </c>
      <c r="JK5" s="28" t="s">
        <v>1569</v>
      </c>
      <c r="JL5" s="28" t="s">
        <v>1570</v>
      </c>
      <c r="JM5" s="28" t="s">
        <v>1571</v>
      </c>
      <c r="JN5" s="28" t="s">
        <v>1572</v>
      </c>
      <c r="JO5" s="28" t="s">
        <v>1573</v>
      </c>
      <c r="JP5" s="28" t="s">
        <v>1574</v>
      </c>
      <c r="JQ5" s="28" t="s">
        <v>1575</v>
      </c>
      <c r="JR5" s="28" t="s">
        <v>1575</v>
      </c>
      <c r="JS5" s="28" t="s">
        <v>1575</v>
      </c>
      <c r="JT5" s="28" t="s">
        <v>1575</v>
      </c>
      <c r="JU5" s="28" t="s">
        <v>1575</v>
      </c>
      <c r="JV5" s="28" t="s">
        <v>1575</v>
      </c>
      <c r="JW5" s="28" t="s">
        <v>1575</v>
      </c>
      <c r="JX5" s="28" t="s">
        <v>1575</v>
      </c>
      <c r="JY5" s="28" t="s">
        <v>1575</v>
      </c>
    </row>
    <row r="6" spans="1:302">
      <c r="A6" s="28" t="s">
        <v>1576</v>
      </c>
      <c r="B6" s="28">
        <v>1</v>
      </c>
      <c r="C6" s="28">
        <v>2</v>
      </c>
      <c r="D6" s="28">
        <v>3</v>
      </c>
      <c r="E6" s="28">
        <v>4</v>
      </c>
      <c r="F6" s="28">
        <v>5</v>
      </c>
      <c r="G6" s="28">
        <v>6</v>
      </c>
      <c r="H6" s="28">
        <v>7</v>
      </c>
      <c r="I6" s="28">
        <v>8</v>
      </c>
      <c r="J6" s="28">
        <v>9</v>
      </c>
      <c r="K6" s="28">
        <v>10</v>
      </c>
      <c r="L6" s="402" t="s">
        <v>1577</v>
      </c>
      <c r="P6" s="28" t="s">
        <v>744</v>
      </c>
      <c r="Q6" s="28" t="s">
        <v>345</v>
      </c>
      <c r="R6" s="28" t="s">
        <v>344</v>
      </c>
      <c r="S6" s="28" t="s">
        <v>345</v>
      </c>
      <c r="T6" s="28">
        <f>' LR Products'!J15</f>
        <v>0.28000000000000003</v>
      </c>
      <c r="U6" s="28">
        <v>2.82</v>
      </c>
      <c r="Y6" s="28">
        <v>229.81</v>
      </c>
      <c r="Z6" s="28">
        <v>3.9129999999999998</v>
      </c>
      <c r="AA6" s="28">
        <f t="shared" si="6"/>
        <v>1.7027109351203166E-2</v>
      </c>
      <c r="AB6" s="28">
        <f t="shared" si="3"/>
        <v>1.7261810335017149E-5</v>
      </c>
      <c r="AD6" s="28" t="e">
        <f t="shared" si="4"/>
        <v>#REF!</v>
      </c>
      <c r="AE6" s="28" t="e">
        <f t="shared" si="5"/>
        <v>#REF!</v>
      </c>
      <c r="AG6" s="28" t="s">
        <v>1578</v>
      </c>
      <c r="AH6" s="64" cm="1">
        <f t="array" ref="AH6">SUMPRODUCT($AA$2:$AA$66,$AB$2:$AB$66,IF($P$2:$P$66=AG6,1,0))/SUMPRODUCT($AB$2:$AB$66,IF($P$2:$P$66=AG6,1,0))</f>
        <v>0.32936313511201931</v>
      </c>
      <c r="AI6" s="64" t="e" cm="1">
        <f t="array" ref="AI6">SUMPRODUCT($AE$2:$AE$66,$AB$2:$AB$66,IF($P$2:$P$66=AG6,1,0))/SUMPRODUCT($AB$2:$AB$66,IF($P$2:$P$66=AG6,1,0))</f>
        <v>#REF!</v>
      </c>
      <c r="AU6" s="28" t="s">
        <v>1579</v>
      </c>
      <c r="AV6" s="28" t="s">
        <v>1578</v>
      </c>
      <c r="AW6" s="28">
        <f ca="1"/>
        <v>2.1222570532915359</v>
      </c>
      <c r="AX6" s="28">
        <f ca="1"/>
        <v>1.4999157350710635</v>
      </c>
      <c r="AY6" s="28">
        <f ca="1"/>
        <v>1.5391678873608956</v>
      </c>
      <c r="AZ6" s="28">
        <f ca="1"/>
        <v>1.4842371711283271</v>
      </c>
      <c r="BA6" s="28">
        <f ca="1"/>
        <v>1.5214429910223375</v>
      </c>
      <c r="BB6" s="28">
        <f ca="1"/>
        <v>1.3447537473233404</v>
      </c>
      <c r="BC6" s="28">
        <f ca="1"/>
        <v>1.3202348746462544</v>
      </c>
      <c r="BD6" s="28">
        <f ca="1"/>
        <v>1.2781624584231115</v>
      </c>
      <c r="BE6" s="28">
        <f ca="1"/>
        <v>1.1634242223581972</v>
      </c>
      <c r="BF6" s="28">
        <f ca="1"/>
        <v>0.91614202414277657</v>
      </c>
      <c r="BL6" s="28" t="s">
        <v>1580</v>
      </c>
      <c r="BN6" s="28" t="s">
        <v>2696</v>
      </c>
      <c r="BO6" s="28" t="s">
        <v>2697</v>
      </c>
      <c r="BP6" s="28" t="s">
        <v>2698</v>
      </c>
      <c r="BQ6" s="28" t="s">
        <v>2699</v>
      </c>
      <c r="BR6" s="28" t="s">
        <v>2700</v>
      </c>
      <c r="BS6" s="28" t="s">
        <v>2701</v>
      </c>
      <c r="BT6" s="28" t="s">
        <v>2702</v>
      </c>
      <c r="BU6" s="28" t="s">
        <v>2703</v>
      </c>
      <c r="BV6" s="28" t="s">
        <v>2704</v>
      </c>
      <c r="BW6" s="28" t="s">
        <v>2705</v>
      </c>
      <c r="BX6" s="28" t="s">
        <v>1581</v>
      </c>
      <c r="BY6" s="28" t="s">
        <v>1582</v>
      </c>
      <c r="BZ6" s="28" t="s">
        <v>1583</v>
      </c>
      <c r="CA6" s="28" t="s">
        <v>1584</v>
      </c>
      <c r="CB6" s="28" t="s">
        <v>1585</v>
      </c>
      <c r="CC6" s="28" t="s">
        <v>1586</v>
      </c>
      <c r="CD6" s="28" t="s">
        <v>1587</v>
      </c>
      <c r="CE6" s="28" t="s">
        <v>1588</v>
      </c>
      <c r="CF6" s="28" t="s">
        <v>1589</v>
      </c>
      <c r="CG6" s="28" t="s">
        <v>1590</v>
      </c>
      <c r="CH6" s="28" t="s">
        <v>1591</v>
      </c>
      <c r="CI6" s="28" t="s">
        <v>1592</v>
      </c>
      <c r="CJ6" s="28" t="s">
        <v>1593</v>
      </c>
      <c r="CK6" s="28" t="s">
        <v>1594</v>
      </c>
      <c r="CL6" s="28" t="s">
        <v>1595</v>
      </c>
      <c r="CM6" s="28" t="s">
        <v>1596</v>
      </c>
      <c r="CN6" s="28" t="s">
        <v>1597</v>
      </c>
      <c r="CO6" s="28" t="s">
        <v>1598</v>
      </c>
      <c r="CP6" s="28" t="s">
        <v>1599</v>
      </c>
      <c r="CQ6" s="28" t="s">
        <v>1600</v>
      </c>
      <c r="CR6" s="28" t="s">
        <v>1601</v>
      </c>
      <c r="CS6" s="28" t="s">
        <v>1602</v>
      </c>
      <c r="CT6" s="28" t="s">
        <v>1603</v>
      </c>
      <c r="CU6" s="28" t="s">
        <v>1604</v>
      </c>
      <c r="CV6" s="28" t="s">
        <v>1605</v>
      </c>
      <c r="CW6" s="28" t="s">
        <v>1606</v>
      </c>
      <c r="CX6" s="28" t="s">
        <v>1607</v>
      </c>
      <c r="CY6" s="28" t="s">
        <v>1608</v>
      </c>
      <c r="CZ6" s="28" t="s">
        <v>1609</v>
      </c>
      <c r="DA6" s="28" t="s">
        <v>1610</v>
      </c>
      <c r="DB6" s="28" t="s">
        <v>1611</v>
      </c>
      <c r="DC6" s="28" t="s">
        <v>1612</v>
      </c>
      <c r="DD6" s="28" t="s">
        <v>1613</v>
      </c>
      <c r="DE6" s="28" t="s">
        <v>1614</v>
      </c>
      <c r="DF6" s="28" t="s">
        <v>1615</v>
      </c>
      <c r="DG6" s="28" t="s">
        <v>1616</v>
      </c>
      <c r="DH6" s="28" t="s">
        <v>1617</v>
      </c>
      <c r="DI6" s="28" t="s">
        <v>1618</v>
      </c>
      <c r="DJ6" s="28" t="s">
        <v>1619</v>
      </c>
      <c r="DK6" s="28" t="s">
        <v>1620</v>
      </c>
      <c r="DL6" s="28" t="s">
        <v>1621</v>
      </c>
      <c r="DM6" s="28" t="s">
        <v>1622</v>
      </c>
      <c r="DN6" s="28" t="s">
        <v>1623</v>
      </c>
      <c r="DO6" s="28" t="s">
        <v>1624</v>
      </c>
      <c r="DP6" s="28" t="s">
        <v>1625</v>
      </c>
      <c r="DQ6" s="28" t="s">
        <v>1626</v>
      </c>
      <c r="DR6" s="28" t="s">
        <v>1627</v>
      </c>
      <c r="DS6" s="28" t="s">
        <v>1628</v>
      </c>
      <c r="DT6" s="28" t="s">
        <v>1629</v>
      </c>
      <c r="DU6" s="28" t="s">
        <v>1630</v>
      </c>
      <c r="DV6" s="28" t="s">
        <v>1631</v>
      </c>
      <c r="DW6" s="28" t="s">
        <v>1632</v>
      </c>
      <c r="DX6" s="28" t="s">
        <v>1633</v>
      </c>
      <c r="DY6" s="28" t="s">
        <v>1634</v>
      </c>
      <c r="DZ6" s="28" t="s">
        <v>1635</v>
      </c>
      <c r="EA6" s="28" t="s">
        <v>1636</v>
      </c>
      <c r="EB6" s="28" t="s">
        <v>1637</v>
      </c>
      <c r="EC6" s="28" t="s">
        <v>1638</v>
      </c>
      <c r="ED6" s="28" t="s">
        <v>1639</v>
      </c>
      <c r="EE6" s="28" t="s">
        <v>1640</v>
      </c>
      <c r="EF6" s="28" t="s">
        <v>1641</v>
      </c>
      <c r="EG6" s="28" t="s">
        <v>1642</v>
      </c>
      <c r="EH6" s="28" t="s">
        <v>1643</v>
      </c>
      <c r="EI6" s="28" t="s">
        <v>1644</v>
      </c>
      <c r="EJ6" s="28" t="s">
        <v>1645</v>
      </c>
      <c r="EK6" s="28" t="s">
        <v>1646</v>
      </c>
      <c r="EL6" s="28" t="s">
        <v>1647</v>
      </c>
      <c r="EM6" s="28" t="s">
        <v>1648</v>
      </c>
      <c r="EN6" s="28" t="s">
        <v>1649</v>
      </c>
      <c r="EO6" s="28" t="s">
        <v>1650</v>
      </c>
      <c r="EP6" s="28" t="s">
        <v>1651</v>
      </c>
      <c r="EQ6" s="28" t="s">
        <v>1652</v>
      </c>
      <c r="ER6" s="28" t="s">
        <v>1653</v>
      </c>
      <c r="ES6" s="28" t="s">
        <v>1654</v>
      </c>
      <c r="ET6" s="28" t="s">
        <v>1655</v>
      </c>
      <c r="EU6" s="28" t="s">
        <v>1656</v>
      </c>
      <c r="EV6" s="28" t="s">
        <v>1657</v>
      </c>
      <c r="EW6" s="28" t="s">
        <v>1658</v>
      </c>
      <c r="EX6" s="28" t="s">
        <v>1659</v>
      </c>
      <c r="EY6" s="28" t="s">
        <v>1660</v>
      </c>
      <c r="EZ6" s="28" t="s">
        <v>1661</v>
      </c>
      <c r="FA6" s="28" t="s">
        <v>1662</v>
      </c>
      <c r="FB6" s="28" t="s">
        <v>1663</v>
      </c>
      <c r="FC6" s="28" t="s">
        <v>1664</v>
      </c>
      <c r="FD6" s="28" t="s">
        <v>1665</v>
      </c>
      <c r="FE6" s="28" t="s">
        <v>1666</v>
      </c>
      <c r="FF6" s="28" t="s">
        <v>1667</v>
      </c>
      <c r="FG6" s="28" t="s">
        <v>1668</v>
      </c>
      <c r="FH6" s="28" t="s">
        <v>1669</v>
      </c>
      <c r="FI6" s="28" t="s">
        <v>1670</v>
      </c>
      <c r="FJ6" s="28" t="s">
        <v>1671</v>
      </c>
      <c r="FK6" s="28" t="s">
        <v>1672</v>
      </c>
      <c r="FL6" s="28" t="s">
        <v>1673</v>
      </c>
      <c r="FM6" s="28" t="s">
        <v>1674</v>
      </c>
      <c r="FN6" s="28" t="s">
        <v>1675</v>
      </c>
      <c r="FO6" s="28" t="s">
        <v>1676</v>
      </c>
      <c r="FP6" s="28" t="s">
        <v>1677</v>
      </c>
      <c r="FQ6" s="28" t="s">
        <v>1678</v>
      </c>
      <c r="FR6" s="28" t="s">
        <v>1679</v>
      </c>
      <c r="FS6" s="28" t="s">
        <v>1680</v>
      </c>
      <c r="FT6" s="28" t="s">
        <v>1681</v>
      </c>
      <c r="FU6" s="28" t="s">
        <v>1682</v>
      </c>
      <c r="FV6" s="28" t="s">
        <v>1683</v>
      </c>
      <c r="FW6" s="28" t="s">
        <v>1684</v>
      </c>
      <c r="FX6" s="28" t="s">
        <v>1685</v>
      </c>
      <c r="FY6" s="28" t="s">
        <v>1686</v>
      </c>
      <c r="FZ6" s="28" t="s">
        <v>1687</v>
      </c>
      <c r="GA6" s="28" t="s">
        <v>1688</v>
      </c>
      <c r="GB6" s="28" t="s">
        <v>1689</v>
      </c>
      <c r="GC6" s="28" t="s">
        <v>1690</v>
      </c>
      <c r="GD6" s="28" t="s">
        <v>1691</v>
      </c>
      <c r="GE6" s="28" t="s">
        <v>1692</v>
      </c>
      <c r="GF6" s="28" t="s">
        <v>1693</v>
      </c>
      <c r="GG6" s="28" t="s">
        <v>1694</v>
      </c>
      <c r="GH6" s="28" t="s">
        <v>1695</v>
      </c>
      <c r="GI6" s="28" t="s">
        <v>1696</v>
      </c>
      <c r="GJ6" s="28" t="s">
        <v>1697</v>
      </c>
      <c r="GK6" s="28" t="s">
        <v>1698</v>
      </c>
      <c r="GL6" s="28" t="s">
        <v>1699</v>
      </c>
      <c r="GM6" s="28" t="s">
        <v>1700</v>
      </c>
      <c r="GN6" s="28" t="s">
        <v>1701</v>
      </c>
      <c r="GO6" s="28" t="s">
        <v>1702</v>
      </c>
      <c r="GP6" s="28" t="s">
        <v>1703</v>
      </c>
      <c r="GQ6" s="28" t="s">
        <v>1704</v>
      </c>
      <c r="GR6" s="28" t="s">
        <v>1705</v>
      </c>
      <c r="GS6" s="28" t="s">
        <v>1706</v>
      </c>
      <c r="GT6" s="28" t="s">
        <v>1707</v>
      </c>
      <c r="GU6" s="28" t="s">
        <v>1708</v>
      </c>
      <c r="GV6" s="28" t="s">
        <v>1709</v>
      </c>
      <c r="GW6" s="28" t="s">
        <v>1710</v>
      </c>
      <c r="GX6" s="28" t="s">
        <v>1711</v>
      </c>
      <c r="GY6" s="28" t="s">
        <v>1712</v>
      </c>
      <c r="GZ6" s="28" t="s">
        <v>1713</v>
      </c>
      <c r="HA6" s="28" t="s">
        <v>1714</v>
      </c>
      <c r="HB6" s="28" t="s">
        <v>1715</v>
      </c>
      <c r="HC6" s="28" t="s">
        <v>1716</v>
      </c>
      <c r="HD6" s="28" t="s">
        <v>1717</v>
      </c>
      <c r="HE6" s="28" t="s">
        <v>1718</v>
      </c>
      <c r="HF6" s="28" t="s">
        <v>1719</v>
      </c>
      <c r="HG6" s="28" t="s">
        <v>1720</v>
      </c>
      <c r="HH6" s="28" t="s">
        <v>1721</v>
      </c>
      <c r="HI6" s="28" t="s">
        <v>1722</v>
      </c>
      <c r="HJ6" s="28" t="s">
        <v>1723</v>
      </c>
      <c r="HK6" s="28" t="s">
        <v>1724</v>
      </c>
      <c r="HL6" s="28" t="s">
        <v>1725</v>
      </c>
      <c r="HM6" s="28" t="s">
        <v>1726</v>
      </c>
      <c r="HN6" s="28" t="s">
        <v>1727</v>
      </c>
      <c r="HO6" s="28" t="s">
        <v>1728</v>
      </c>
      <c r="HP6" s="28" t="s">
        <v>1729</v>
      </c>
      <c r="HQ6" s="28" t="s">
        <v>1730</v>
      </c>
      <c r="HR6" s="28" t="s">
        <v>1731</v>
      </c>
      <c r="HS6" s="28" t="s">
        <v>1732</v>
      </c>
      <c r="HT6" s="28" t="s">
        <v>1733</v>
      </c>
      <c r="HU6" s="28" t="s">
        <v>1734</v>
      </c>
      <c r="HV6" s="28" t="s">
        <v>1735</v>
      </c>
      <c r="HW6" s="28" t="s">
        <v>1736</v>
      </c>
      <c r="HX6" s="28" t="s">
        <v>1737</v>
      </c>
      <c r="HY6" s="28" t="s">
        <v>1738</v>
      </c>
      <c r="HZ6" s="28" t="s">
        <v>1739</v>
      </c>
      <c r="IA6" s="28" t="s">
        <v>1740</v>
      </c>
      <c r="IB6" s="28" t="s">
        <v>1741</v>
      </c>
      <c r="IC6" s="28" t="s">
        <v>1742</v>
      </c>
      <c r="ID6" s="28" t="s">
        <v>1743</v>
      </c>
      <c r="IE6" s="28" t="s">
        <v>1744</v>
      </c>
      <c r="IF6" s="28" t="s">
        <v>1745</v>
      </c>
      <c r="IG6" s="28" t="s">
        <v>1746</v>
      </c>
      <c r="IH6" s="28" t="s">
        <v>1747</v>
      </c>
      <c r="II6" s="28" t="s">
        <v>1748</v>
      </c>
      <c r="IJ6" s="28" t="s">
        <v>1749</v>
      </c>
      <c r="IK6" s="28" t="s">
        <v>1750</v>
      </c>
      <c r="IL6" s="28" t="s">
        <v>1751</v>
      </c>
      <c r="IM6" s="28" t="s">
        <v>1752</v>
      </c>
      <c r="IN6" s="28" t="s">
        <v>1753</v>
      </c>
      <c r="IO6" s="28" t="s">
        <v>1754</v>
      </c>
      <c r="IP6" s="28" t="s">
        <v>1755</v>
      </c>
      <c r="IQ6" s="28" t="s">
        <v>1756</v>
      </c>
      <c r="IR6" s="28" t="s">
        <v>1757</v>
      </c>
      <c r="IS6" s="28" t="s">
        <v>1758</v>
      </c>
      <c r="IT6" s="28" t="s">
        <v>1759</v>
      </c>
      <c r="IU6" s="28" t="s">
        <v>1760</v>
      </c>
      <c r="IV6" s="28" t="s">
        <v>1761</v>
      </c>
      <c r="IW6" s="28" t="s">
        <v>1762</v>
      </c>
      <c r="IX6" s="28" t="s">
        <v>1763</v>
      </c>
      <c r="IY6" s="28" t="s">
        <v>1764</v>
      </c>
      <c r="IZ6" s="28" t="s">
        <v>1765</v>
      </c>
      <c r="JA6" s="28" t="s">
        <v>1766</v>
      </c>
      <c r="JB6" s="28" t="s">
        <v>1767</v>
      </c>
      <c r="JC6" s="28" t="s">
        <v>1768</v>
      </c>
      <c r="JD6" s="28" t="s">
        <v>1769</v>
      </c>
      <c r="JE6" s="28" t="s">
        <v>1770</v>
      </c>
      <c r="JF6" s="28" t="s">
        <v>1771</v>
      </c>
      <c r="JG6" s="28" t="s">
        <v>1772</v>
      </c>
      <c r="JH6" s="28" t="s">
        <v>1773</v>
      </c>
      <c r="JI6" s="28" t="s">
        <v>1774</v>
      </c>
      <c r="JJ6" s="28" t="s">
        <v>1775</v>
      </c>
      <c r="JK6" s="28" t="s">
        <v>1776</v>
      </c>
      <c r="JL6" s="28" t="s">
        <v>1777</v>
      </c>
      <c r="JM6" s="28" t="s">
        <v>1778</v>
      </c>
      <c r="JN6" s="28" t="s">
        <v>1779</v>
      </c>
      <c r="JO6" s="28" t="s">
        <v>1780</v>
      </c>
      <c r="JP6" s="28" t="s">
        <v>1781</v>
      </c>
      <c r="JQ6" s="28" t="s">
        <v>1782</v>
      </c>
      <c r="JR6" s="28" t="s">
        <v>1782</v>
      </c>
      <c r="JS6" s="28" t="s">
        <v>1782</v>
      </c>
      <c r="JT6" s="28" t="s">
        <v>1782</v>
      </c>
      <c r="JU6" s="28" t="s">
        <v>1782</v>
      </c>
      <c r="JV6" s="28" t="s">
        <v>1782</v>
      </c>
      <c r="JW6" s="28" t="s">
        <v>1782</v>
      </c>
      <c r="JX6" s="28" t="s">
        <v>1782</v>
      </c>
      <c r="JY6" s="28" t="s">
        <v>1782</v>
      </c>
    </row>
    <row r="7" spans="1:302">
      <c r="A7" s="402" t="s">
        <v>2706</v>
      </c>
      <c r="B7" s="51">
        <f ca="1">SUMPRODUCT($AH$3:$AH$21,AW3:AW21)</f>
        <v>15.105530844950593</v>
      </c>
      <c r="C7" s="51">
        <f t="shared" ref="C7:K7" ca="1" si="7">SUMPRODUCT($AH$3:$AH$21,AX3:AX21)</f>
        <v>15.488558353484752</v>
      </c>
      <c r="D7" s="51">
        <f t="shared" ca="1" si="7"/>
        <v>15.173068570199352</v>
      </c>
      <c r="E7" s="51">
        <f t="shared" ca="1" si="7"/>
        <v>14.991406055830062</v>
      </c>
      <c r="F7" s="51">
        <f t="shared" ca="1" si="7"/>
        <v>14.753338266597112</v>
      </c>
      <c r="G7" s="51">
        <f t="shared" ca="1" si="7"/>
        <v>14.85905117086231</v>
      </c>
      <c r="H7" s="51">
        <f t="shared" ca="1" si="7"/>
        <v>14.971399747321195</v>
      </c>
      <c r="I7" s="51">
        <f t="shared" ca="1" si="7"/>
        <v>14.492780864585455</v>
      </c>
      <c r="J7" s="51">
        <f t="shared" ca="1" si="7"/>
        <v>13.907816328175974</v>
      </c>
      <c r="K7" s="51">
        <f t="shared" ca="1" si="7"/>
        <v>12.811052450523515</v>
      </c>
      <c r="P7" s="28" t="s">
        <v>744</v>
      </c>
      <c r="Q7" s="28" t="s">
        <v>348</v>
      </c>
      <c r="R7" s="28" t="s">
        <v>347</v>
      </c>
      <c r="S7" s="28" t="s">
        <v>348</v>
      </c>
      <c r="T7" s="28">
        <f>' LR Products'!J16</f>
        <v>0.05</v>
      </c>
      <c r="U7" s="28">
        <v>2.69</v>
      </c>
      <c r="Y7" s="28">
        <v>388.62799999999999</v>
      </c>
      <c r="Z7" s="28">
        <v>0.123</v>
      </c>
      <c r="AA7" s="28">
        <f t="shared" si="6"/>
        <v>3.1649803925604949E-4</v>
      </c>
      <c r="AB7" s="28">
        <f t="shared" si="3"/>
        <v>2.919117021399001E-5</v>
      </c>
      <c r="AD7" s="28" t="e">
        <f t="shared" si="4"/>
        <v>#REF!</v>
      </c>
      <c r="AE7" s="28" t="e">
        <f t="shared" si="5"/>
        <v>#REF!</v>
      </c>
      <c r="AG7" s="28" t="s">
        <v>744</v>
      </c>
      <c r="AH7" s="64" cm="1">
        <f t="array" ref="AH7">SUMPRODUCT($AA$2:$AA$66,$AB$2:$AB$66,IF($P$2:$P$66=AG7,1,0))/SUMPRODUCT($AB$2:$AB$66,IF($P$2:$P$66=AG7,1,0))</f>
        <v>0.14124293210570793</v>
      </c>
      <c r="AI7" s="64" t="e" cm="1">
        <f t="array" ref="AI7">SUMPRODUCT($AE$2:$AE$66,$AB$2:$AB$66,IF($P$2:$P$66=AG7,1,0))/SUMPRODUCT($AB$2:$AB$66,IF($P$2:$P$66=AG7,1,0))</f>
        <v>#REF!</v>
      </c>
      <c r="AU7" s="28" t="s">
        <v>1784</v>
      </c>
      <c r="AV7" s="28" t="s">
        <v>1785</v>
      </c>
      <c r="AW7" s="28">
        <f ca="1"/>
        <v>4.9184952978056424</v>
      </c>
      <c r="AX7" s="28">
        <f ca="1"/>
        <v>3.8452895904724453</v>
      </c>
      <c r="AY7" s="28">
        <f ca="1"/>
        <v>3.8741555346640721</v>
      </c>
      <c r="AZ7" s="28">
        <f ca="1"/>
        <v>3.7777095957658973</v>
      </c>
      <c r="BA7" s="28">
        <f ca="1"/>
        <v>3.6813340117185578</v>
      </c>
      <c r="BB7" s="28">
        <f ca="1"/>
        <v>3.4732334047109208</v>
      </c>
      <c r="BC7" s="28">
        <f ca="1"/>
        <v>3.2675501477316646</v>
      </c>
      <c r="BD7" s="28">
        <f ca="1"/>
        <v>3.2110955379369495</v>
      </c>
      <c r="BE7" s="28">
        <f ca="1"/>
        <v>2.977293110818672</v>
      </c>
      <c r="BF7" s="28">
        <f ca="1"/>
        <v>2.2571615087575654</v>
      </c>
      <c r="BL7" s="28" t="s">
        <v>550</v>
      </c>
      <c r="BM7" s="53">
        <v>45291</v>
      </c>
      <c r="BN7" s="54">
        <v>3.5213599735070096</v>
      </c>
      <c r="BO7" s="54">
        <v>1.5384814830819757</v>
      </c>
      <c r="BP7" s="54">
        <v>1.3113621376759654</v>
      </c>
      <c r="BQ7" s="54">
        <v>1.1227662231408517</v>
      </c>
      <c r="BR7" s="54">
        <v>1.0384503945596781</v>
      </c>
      <c r="BS7" s="54">
        <v>0.9396000160959318</v>
      </c>
      <c r="BT7" s="54">
        <v>0.85794810362162277</v>
      </c>
      <c r="BU7" s="54">
        <v>0.82715600775193798</v>
      </c>
      <c r="BV7" s="54">
        <v>0.79427840988528853</v>
      </c>
      <c r="BW7" s="54">
        <v>0.66548853716814482</v>
      </c>
      <c r="BX7" s="54">
        <v>4.0571043884719972E-2</v>
      </c>
      <c r="BY7" s="54">
        <v>4.6203737003417789E-2</v>
      </c>
      <c r="BZ7" s="54">
        <v>5.977285256542228E-2</v>
      </c>
      <c r="CA7" s="54">
        <v>6.7175389488945372E-2</v>
      </c>
      <c r="CB7" s="54">
        <v>7.9248516742003769E-2</v>
      </c>
      <c r="CC7" s="54">
        <v>9.0956986160510608E-2</v>
      </c>
      <c r="CD7" s="54">
        <v>0.10356695811366293</v>
      </c>
      <c r="CE7" s="54">
        <v>0.12390133023651377</v>
      </c>
      <c r="CF7" s="54">
        <v>0.15411829569047486</v>
      </c>
      <c r="CG7" s="54">
        <v>0.23451546542583393</v>
      </c>
      <c r="CH7" s="54">
        <v>1.6959247648902822</v>
      </c>
      <c r="CI7" s="54">
        <v>2.5862068965517242</v>
      </c>
      <c r="CJ7" s="54">
        <v>1.2225705329153604</v>
      </c>
      <c r="CK7" s="54">
        <v>2.1222570532915359</v>
      </c>
      <c r="CL7" s="54">
        <v>4.9184952978056424</v>
      </c>
      <c r="CM7" s="54">
        <v>5.0564263322884013</v>
      </c>
      <c r="CN7" s="54">
        <v>1.9717868338557993</v>
      </c>
      <c r="CO7" s="54">
        <v>25.727272727272727</v>
      </c>
      <c r="CP7" s="54">
        <v>8.2068965517241388</v>
      </c>
      <c r="CQ7" s="54">
        <v>3.5141065830721003</v>
      </c>
      <c r="CR7" s="54">
        <v>1.5172413793103448</v>
      </c>
      <c r="CS7" s="54">
        <v>2.8025078369905958</v>
      </c>
      <c r="CT7" s="54">
        <v>3.2163009404388716</v>
      </c>
      <c r="CU7" s="54">
        <v>14.774294670846395</v>
      </c>
      <c r="CV7" s="54">
        <v>8.6551724137931032</v>
      </c>
      <c r="CW7" s="54">
        <v>4.5987460815047019</v>
      </c>
      <c r="CX7" s="54">
        <v>2.6192854151229099</v>
      </c>
      <c r="CY7" s="54">
        <v>1.1849529780564263</v>
      </c>
      <c r="CZ7" s="54">
        <v>1.4231974921630095</v>
      </c>
      <c r="DA7" s="54">
        <v>1.1797090051120724</v>
      </c>
      <c r="DB7" s="54">
        <v>2.0953878995562047</v>
      </c>
      <c r="DC7" s="54">
        <v>0.95500252794786811</v>
      </c>
      <c r="DD7" s="54">
        <v>1.4999157350710635</v>
      </c>
      <c r="DE7" s="54">
        <v>3.8452895904724453</v>
      </c>
      <c r="DF7" s="54">
        <v>4.2975113757654064</v>
      </c>
      <c r="DG7" s="54">
        <v>1.5785630020785348</v>
      </c>
      <c r="DH7" s="54">
        <v>26.09403966069322</v>
      </c>
      <c r="DI7" s="54">
        <v>9.1539801134767718</v>
      </c>
      <c r="DJ7" s="54">
        <v>3.7132745351384755</v>
      </c>
      <c r="DK7" s="54">
        <v>1.3454300320206729</v>
      </c>
      <c r="DL7" s="54">
        <v>2.9942138082130216</v>
      </c>
      <c r="DM7" s="54">
        <v>2.3846974889051178</v>
      </c>
      <c r="DN7" s="54">
        <v>14.372788045615415</v>
      </c>
      <c r="DO7" s="54">
        <v>12.086399640469637</v>
      </c>
      <c r="DP7" s="54">
        <v>3.9941576315937306</v>
      </c>
      <c r="DQ7" s="54">
        <v>1.1496088136675715</v>
      </c>
      <c r="DR7" s="54">
        <v>1.3426212010561205</v>
      </c>
      <c r="DS7" s="54">
        <v>2.7133307117577665</v>
      </c>
      <c r="DT7" s="54">
        <v>1.3008592229825751</v>
      </c>
      <c r="DU7" s="54">
        <v>1.9327051312883972</v>
      </c>
      <c r="DV7" s="54">
        <v>1.0122652441024071</v>
      </c>
      <c r="DW7" s="54">
        <v>1.5391678873608956</v>
      </c>
      <c r="DX7" s="54">
        <v>3.8741555346640721</v>
      </c>
      <c r="DY7" s="54">
        <v>4.9039113229410347</v>
      </c>
      <c r="DZ7" s="54">
        <v>1.4845099368154091</v>
      </c>
      <c r="EA7" s="54">
        <v>23.723736854762894</v>
      </c>
      <c r="EB7" s="54">
        <v>8.323312709066661</v>
      </c>
      <c r="EC7" s="54">
        <v>3.8479197184022387</v>
      </c>
      <c r="ED7" s="54">
        <v>1.469205710662673</v>
      </c>
      <c r="EE7" s="54">
        <v>3.1439253153763747</v>
      </c>
      <c r="EF7" s="54">
        <v>2.6060910820087888</v>
      </c>
      <c r="EG7" s="54">
        <v>16.224666039922166</v>
      </c>
      <c r="EH7" s="54">
        <v>9.7575373313802221</v>
      </c>
      <c r="EI7" s="54">
        <v>4.9935503618356325</v>
      </c>
      <c r="EJ7" s="54">
        <v>1.0157054006890689</v>
      </c>
      <c r="EK7" s="54">
        <v>1.6200616541682153</v>
      </c>
      <c r="EL7" s="54">
        <v>4.3660770895734498</v>
      </c>
      <c r="EM7" s="54">
        <v>1.2943928817979597</v>
      </c>
      <c r="EN7" s="54">
        <v>1.9559714658280278</v>
      </c>
      <c r="EO7" s="54">
        <v>0.96839763749328833</v>
      </c>
      <c r="EP7" s="54">
        <v>1.4842371711283271</v>
      </c>
      <c r="EQ7" s="54">
        <v>3.7777095957658973</v>
      </c>
      <c r="ER7" s="54">
        <v>4.9838919996931805</v>
      </c>
      <c r="ES7" s="54">
        <v>1.3404157398174426</v>
      </c>
      <c r="ET7" s="54">
        <v>22.140829945539618</v>
      </c>
      <c r="EU7" s="54">
        <v>7.9964715808851734</v>
      </c>
      <c r="EV7" s="54">
        <v>3.7968857866073482</v>
      </c>
      <c r="EW7" s="54">
        <v>1.3576743115747487</v>
      </c>
      <c r="EX7" s="54">
        <v>3.1890005369333436</v>
      </c>
      <c r="EY7" s="54">
        <v>2.4986576666410985</v>
      </c>
      <c r="EZ7" s="54">
        <v>15.732146966326608</v>
      </c>
      <c r="FA7" s="54">
        <v>10.029147810079007</v>
      </c>
      <c r="FB7" s="54">
        <v>4.1880800797729538</v>
      </c>
      <c r="FC7" s="54">
        <v>1.2502876428626217</v>
      </c>
      <c r="FD7" s="54">
        <v>1.4650638617580767</v>
      </c>
      <c r="FE7" s="54">
        <v>6.1919920227046097</v>
      </c>
      <c r="FF7" s="54">
        <v>1.2358646949728371</v>
      </c>
      <c r="FG7" s="54">
        <v>1.8365638694217861</v>
      </c>
      <c r="FH7" s="54">
        <v>0.8797124521984605</v>
      </c>
      <c r="FI7" s="54">
        <v>1.5214429910223375</v>
      </c>
      <c r="FJ7" s="54">
        <v>3.6813340117185578</v>
      </c>
      <c r="FK7" s="54">
        <v>4.7990283772916014</v>
      </c>
      <c r="FL7" s="54">
        <v>1.4475865351474668</v>
      </c>
      <c r="FM7" s="54">
        <v>21.641582825912128</v>
      </c>
      <c r="FN7" s="54">
        <v>7.1985425659374025</v>
      </c>
      <c r="FO7" s="54">
        <v>3.5418273728438017</v>
      </c>
      <c r="FP7" s="54">
        <v>1.0996405652480756</v>
      </c>
      <c r="FQ7" s="54">
        <v>2.8689129970949794</v>
      </c>
      <c r="FR7" s="54">
        <v>2.1812273301711826</v>
      </c>
      <c r="FS7" s="54">
        <v>18.7989299020171</v>
      </c>
      <c r="FT7" s="54">
        <v>9.0564427448341505</v>
      </c>
      <c r="FU7" s="54">
        <v>3.9455759982930951</v>
      </c>
      <c r="FV7" s="54">
        <v>1.4607165717474437</v>
      </c>
      <c r="FW7" s="54">
        <v>1.8447701422967717</v>
      </c>
      <c r="FX7" s="54">
        <v>7.835349341036288</v>
      </c>
      <c r="FY7" s="54">
        <v>1.1763026409707351</v>
      </c>
      <c r="FZ7" s="54">
        <v>1.6145610278372591</v>
      </c>
      <c r="GA7" s="54">
        <v>0.86081370449678796</v>
      </c>
      <c r="GB7" s="54">
        <v>1.3447537473233404</v>
      </c>
      <c r="GC7" s="54">
        <v>3.4732334047109208</v>
      </c>
      <c r="GD7" s="54">
        <v>5.0578158458244111</v>
      </c>
      <c r="GE7" s="54">
        <v>1.2833690221270522</v>
      </c>
      <c r="GF7" s="54">
        <v>20.70092790863669</v>
      </c>
      <c r="GG7" s="54">
        <v>6.6466809421841546</v>
      </c>
      <c r="GH7" s="54">
        <v>3.8044254104211279</v>
      </c>
      <c r="GI7" s="54">
        <v>1.1291934332619558</v>
      </c>
      <c r="GJ7" s="54">
        <v>3.336188436830835</v>
      </c>
      <c r="GK7" s="54">
        <v>2.7865810135617415</v>
      </c>
      <c r="GL7" s="54">
        <v>17.651677373304782</v>
      </c>
      <c r="GM7" s="54">
        <v>8.5481798715203432</v>
      </c>
      <c r="GN7" s="54">
        <v>4.3297644539614559</v>
      </c>
      <c r="GO7" s="54">
        <v>1.8087080656673804</v>
      </c>
      <c r="GP7" s="54">
        <v>1.5060670949321913</v>
      </c>
      <c r="GQ7" s="54">
        <v>10.152748037116346</v>
      </c>
      <c r="GR7" s="54">
        <v>1.1033124306533855</v>
      </c>
      <c r="GS7" s="54">
        <v>1.6156982035330931</v>
      </c>
      <c r="GT7" s="54">
        <v>0.8676897759714759</v>
      </c>
      <c r="GU7" s="54">
        <v>1.3202348746462544</v>
      </c>
      <c r="GV7" s="54">
        <v>3.2675501477316646</v>
      </c>
      <c r="GW7" s="54">
        <v>4.9705160011469465</v>
      </c>
      <c r="GX7" s="54">
        <v>1.3264682782092678</v>
      </c>
      <c r="GY7" s="54">
        <v>19.040554523580965</v>
      </c>
      <c r="GZ7" s="54">
        <v>6.3393714235847058</v>
      </c>
      <c r="HA7" s="54">
        <v>3.9731714310647899</v>
      </c>
      <c r="HB7" s="54">
        <v>1.0771321356887287</v>
      </c>
      <c r="HC7" s="54">
        <v>3.641554361512473</v>
      </c>
      <c r="HD7" s="54">
        <v>2.8686123196988018</v>
      </c>
      <c r="HE7" s="54">
        <v>18.419707528704823</v>
      </c>
      <c r="HF7" s="54">
        <v>8.214379215339159</v>
      </c>
      <c r="HG7" s="54">
        <v>4.206300724321494</v>
      </c>
      <c r="HH7" s="54">
        <v>1.1469462555944796</v>
      </c>
      <c r="HI7" s="54">
        <v>1.3838155909889918</v>
      </c>
      <c r="HJ7" s="54">
        <v>12.370812711156546</v>
      </c>
      <c r="HK7" s="54">
        <v>1.0083049181013743</v>
      </c>
      <c r="HL7" s="54">
        <v>1.3722988096981361</v>
      </c>
      <c r="HM7" s="54">
        <v>0.73844737777963732</v>
      </c>
      <c r="HN7" s="54">
        <v>1.2781624584231115</v>
      </c>
      <c r="HO7" s="54">
        <v>3.2110955379369495</v>
      </c>
      <c r="HP7" s="54">
        <v>5.5195280630922747</v>
      </c>
      <c r="HQ7" s="54">
        <v>1.3325523502709036</v>
      </c>
      <c r="HR7" s="54">
        <v>18.413070309394808</v>
      </c>
      <c r="HS7" s="54">
        <v>5.6638704683806456</v>
      </c>
      <c r="HT7" s="54">
        <v>3.8282116185176664</v>
      </c>
      <c r="HU7" s="54">
        <v>1.0679246072422233</v>
      </c>
      <c r="HV7" s="54">
        <v>3.2288768487333432</v>
      </c>
      <c r="HW7" s="54">
        <v>2.7948036734096187</v>
      </c>
      <c r="HX7" s="54">
        <v>17.83256280986549</v>
      </c>
      <c r="HY7" s="54">
        <v>7.7704328180239735</v>
      </c>
      <c r="HZ7" s="54">
        <v>4.5666589962973037</v>
      </c>
      <c r="IA7" s="54">
        <v>1.4978139447315022</v>
      </c>
      <c r="IB7" s="54">
        <v>1.4957220258142794</v>
      </c>
      <c r="IC7" s="54">
        <v>14.461435474760998</v>
      </c>
      <c r="ID7" s="54">
        <v>1.0284737181797607</v>
      </c>
      <c r="IE7" s="54">
        <v>1.3419612247806008</v>
      </c>
      <c r="IF7" s="54">
        <v>0.69151655867832329</v>
      </c>
      <c r="IG7" s="54">
        <v>1.1634242223581972</v>
      </c>
      <c r="IH7" s="54">
        <v>2.977293110818672</v>
      </c>
      <c r="II7" s="54">
        <v>5.5396762864303497</v>
      </c>
      <c r="IJ7" s="54">
        <v>1.3143005624334678</v>
      </c>
      <c r="IK7" s="54">
        <v>17.344911695430962</v>
      </c>
      <c r="IL7" s="54">
        <v>4.9755664149266989</v>
      </c>
      <c r="IM7" s="54">
        <v>3.7291602055271031</v>
      </c>
      <c r="IN7" s="54">
        <v>0.93962431791321255</v>
      </c>
      <c r="IO7" s="54">
        <v>3.4760232349563718</v>
      </c>
      <c r="IP7" s="54">
        <v>2.5221494849249391</v>
      </c>
      <c r="IQ7" s="54">
        <v>18.126954058154446</v>
      </c>
      <c r="IR7" s="54">
        <v>6.875770097985801</v>
      </c>
      <c r="IS7" s="54">
        <v>5.0250203263958158</v>
      </c>
      <c r="IT7" s="54">
        <v>1.7308869014190758</v>
      </c>
      <c r="IU7" s="54">
        <v>1.5196600253136971</v>
      </c>
      <c r="IV7" s="54">
        <v>16.282071699789611</v>
      </c>
      <c r="IW7" s="54">
        <v>0.7822613660252935</v>
      </c>
      <c r="IX7" s="54">
        <v>0.94159041370229812</v>
      </c>
      <c r="IY7" s="54">
        <v>0.52667101871009858</v>
      </c>
      <c r="IZ7" s="54">
        <v>0.91614202414277657</v>
      </c>
      <c r="JA7" s="54">
        <v>2.2571615087575654</v>
      </c>
      <c r="JB7" s="54">
        <v>4.9690746744265812</v>
      </c>
      <c r="JC7" s="54">
        <v>1.0024452583011541</v>
      </c>
      <c r="JD7" s="54">
        <v>18.660861483309176</v>
      </c>
      <c r="JE7" s="54">
        <v>3.8128326270483188</v>
      </c>
      <c r="JF7" s="54">
        <v>3.8853052147069564</v>
      </c>
      <c r="JG7" s="54">
        <v>0.75902587990573034</v>
      </c>
      <c r="JH7" s="54">
        <v>3.1882406311200611</v>
      </c>
      <c r="JI7" s="54">
        <v>2.6366744487104303</v>
      </c>
      <c r="JJ7" s="54">
        <v>15.997078967459254</v>
      </c>
      <c r="JK7" s="54">
        <v>6.1164651080450101</v>
      </c>
      <c r="JL7" s="54">
        <v>5.4182940727381359</v>
      </c>
      <c r="JM7" s="54">
        <v>4.124852012082453</v>
      </c>
      <c r="JN7" s="54">
        <v>1.3266356122550593</v>
      </c>
      <c r="JO7" s="54">
        <v>18.673032452228949</v>
      </c>
      <c r="JP7" s="55">
        <v>16100</v>
      </c>
      <c r="JQ7" s="55">
        <v>23141</v>
      </c>
      <c r="JR7" s="55">
        <v>34879</v>
      </c>
      <c r="JS7" s="55">
        <v>46446</v>
      </c>
      <c r="JT7" s="55">
        <v>58673</v>
      </c>
      <c r="JU7" s="55">
        <v>74553</v>
      </c>
      <c r="JV7" s="55">
        <v>93494</v>
      </c>
      <c r="JW7" s="55">
        <v>115584</v>
      </c>
      <c r="JX7" s="55">
        <v>150203</v>
      </c>
      <c r="JY7" s="55">
        <v>271617</v>
      </c>
      <c r="JZ7" s="54"/>
      <c r="KA7" s="54"/>
      <c r="KB7" s="54"/>
      <c r="KC7" s="54"/>
      <c r="KD7" s="54"/>
      <c r="KE7" s="54"/>
      <c r="KF7" s="54"/>
      <c r="KG7" s="54"/>
      <c r="KH7" s="54"/>
      <c r="KI7" s="54"/>
      <c r="KJ7" s="54"/>
      <c r="KK7" s="54"/>
      <c r="KL7" s="54"/>
      <c r="KM7" s="54"/>
      <c r="KN7" s="54"/>
      <c r="KO7" s="54"/>
      <c r="KP7" s="54"/>
    </row>
    <row r="8" spans="1:302">
      <c r="A8" s="402" t="s">
        <v>2707</v>
      </c>
      <c r="B8" s="51" t="e">
        <f ca="1">(B7*-$B$1/(SUMPRODUCT($B$7:$K$7,$B$27:$K$27)))</f>
        <v>#REF!</v>
      </c>
      <c r="C8" s="51" t="e">
        <f t="shared" ref="C8:K8" ca="1" si="8">(C7*-$B$1/(SUMPRODUCT($B$7:$K$7,$B$27:$K$27)))</f>
        <v>#REF!</v>
      </c>
      <c r="D8" s="51" t="e">
        <f t="shared" ca="1" si="8"/>
        <v>#REF!</v>
      </c>
      <c r="E8" s="51" t="e">
        <f t="shared" ca="1" si="8"/>
        <v>#REF!</v>
      </c>
      <c r="F8" s="51" t="e">
        <f t="shared" ca="1" si="8"/>
        <v>#REF!</v>
      </c>
      <c r="G8" s="51" t="e">
        <f t="shared" ca="1" si="8"/>
        <v>#REF!</v>
      </c>
      <c r="H8" s="51" t="e">
        <f t="shared" ca="1" si="8"/>
        <v>#REF!</v>
      </c>
      <c r="I8" s="51" t="e">
        <f t="shared" ca="1" si="8"/>
        <v>#REF!</v>
      </c>
      <c r="J8" s="51" t="e">
        <f t="shared" ca="1" si="8"/>
        <v>#REF!</v>
      </c>
      <c r="K8" s="51" t="e">
        <f t="shared" ca="1" si="8"/>
        <v>#REF!</v>
      </c>
      <c r="P8" s="28" t="s">
        <v>744</v>
      </c>
      <c r="Q8" s="28" t="s">
        <v>351</v>
      </c>
      <c r="R8" s="28" t="s">
        <v>350</v>
      </c>
      <c r="S8" s="28" t="s">
        <v>351</v>
      </c>
      <c r="T8" s="28">
        <f>' LR Products'!J17</f>
        <v>1.18</v>
      </c>
      <c r="U8" s="49">
        <v>2.58</v>
      </c>
      <c r="Y8" s="28">
        <v>7173.2839999999997</v>
      </c>
      <c r="Z8" s="28">
        <v>17.838999999999999</v>
      </c>
      <c r="AA8" s="28">
        <f t="shared" si="6"/>
        <v>2.4868665453647173E-3</v>
      </c>
      <c r="AB8" s="28">
        <f t="shared" si="3"/>
        <v>5.3880974669167205E-4</v>
      </c>
      <c r="AD8" s="28" t="e">
        <f t="shared" si="4"/>
        <v>#REF!</v>
      </c>
      <c r="AE8" s="28" t="e">
        <f t="shared" si="5"/>
        <v>#REF!</v>
      </c>
      <c r="AG8" s="28" t="s">
        <v>1787</v>
      </c>
      <c r="AH8" s="64" cm="1">
        <f t="array" ref="AH8">SUMPRODUCT($AA$2:$AA$66,$AB$2:$AB$66,IF($P$2:$P$66=AG8,1,0))/SUMPRODUCT($AB$2:$AB$66,IF($P$2:$P$66=AG8,1,0))</f>
        <v>8.3336814635584233E-2</v>
      </c>
      <c r="AI8" s="64" t="e" cm="1">
        <f t="array" ref="AI8">SUMPRODUCT($AE$2:$AE$66,$AB$2:$AB$66,IF($P$2:$P$66=AG8,1,0))/SUMPRODUCT($AB$2:$AB$66,IF($P$2:$P$66=AG8,1,0))</f>
        <v>#REF!</v>
      </c>
      <c r="AU8" s="28" t="s">
        <v>1788</v>
      </c>
      <c r="AV8" s="28" t="s">
        <v>1787</v>
      </c>
      <c r="AW8" s="28">
        <f ca="1"/>
        <v>5.0564263322884013</v>
      </c>
      <c r="AX8" s="28">
        <f ca="1"/>
        <v>4.2975113757654064</v>
      </c>
      <c r="AY8" s="28">
        <f ca="1"/>
        <v>4.9039113229410347</v>
      </c>
      <c r="AZ8" s="28">
        <f ca="1"/>
        <v>4.9838919996931805</v>
      </c>
      <c r="BA8" s="28">
        <f ca="1"/>
        <v>4.7990283772916014</v>
      </c>
      <c r="BB8" s="28">
        <f ca="1"/>
        <v>5.0578158458244111</v>
      </c>
      <c r="BC8" s="28">
        <f ca="1"/>
        <v>4.9705160011469465</v>
      </c>
      <c r="BD8" s="28">
        <f ca="1"/>
        <v>5.5195280630922747</v>
      </c>
      <c r="BE8" s="28">
        <f ca="1"/>
        <v>5.5396762864303497</v>
      </c>
      <c r="BF8" s="28">
        <f ca="1"/>
        <v>4.9690746744265812</v>
      </c>
    </row>
    <row r="9" spans="1:302">
      <c r="A9" s="402"/>
      <c r="B9" s="51"/>
      <c r="C9" s="51"/>
      <c r="D9" s="51"/>
      <c r="E9" s="51"/>
      <c r="F9" s="51"/>
      <c r="G9" s="51"/>
      <c r="H9" s="51"/>
      <c r="I9" s="51"/>
      <c r="J9" s="51"/>
      <c r="K9" s="51"/>
      <c r="P9" s="28" t="s">
        <v>744</v>
      </c>
      <c r="Q9" s="28" t="s">
        <v>354</v>
      </c>
      <c r="R9" s="28" t="s">
        <v>353</v>
      </c>
      <c r="S9" s="28" t="s">
        <v>354</v>
      </c>
      <c r="T9" s="28">
        <f>' LR Products'!J18</f>
        <v>3.6</v>
      </c>
      <c r="U9" s="28">
        <v>20.43</v>
      </c>
      <c r="Y9" s="28">
        <v>6810.9279999999999</v>
      </c>
      <c r="Z9" s="28">
        <v>6573.8040000000001</v>
      </c>
      <c r="AA9" s="28">
        <f t="shared" si="6"/>
        <v>0.96518477364611699</v>
      </c>
      <c r="AB9" s="28">
        <f t="shared" si="3"/>
        <v>5.1159195570887981E-4</v>
      </c>
      <c r="AD9" s="28" t="e">
        <f t="shared" si="4"/>
        <v>#REF!</v>
      </c>
      <c r="AE9" s="28" t="e">
        <f t="shared" si="5"/>
        <v>#REF!</v>
      </c>
      <c r="AG9" s="28" t="s">
        <v>1789</v>
      </c>
      <c r="AH9" s="64" cm="1">
        <f t="array" ref="AH9">SUMPRODUCT($AA$2:$AA$66,$AB$2:$AB$66,IF($P$2:$P$66=AG9,1,0))/SUMPRODUCT($AB$2:$AB$66,IF($P$2:$P$66=AG9,1,0))</f>
        <v>0.10795514502603572</v>
      </c>
      <c r="AI9" s="64" t="e" cm="1">
        <f t="array" ref="AI9">SUMPRODUCT($AE$2:$AE$66,$AB$2:$AB$66,IF($P$2:$P$66=AG9,1,0))/SUMPRODUCT($AB$2:$AB$66,IF($P$2:$P$66=AG9,1,0))</f>
        <v>#REF!</v>
      </c>
      <c r="AU9" s="28" t="s">
        <v>1790</v>
      </c>
      <c r="AV9" s="28" t="s">
        <v>1789</v>
      </c>
      <c r="AW9" s="28">
        <f ca="1"/>
        <v>1.9717868338557993</v>
      </c>
      <c r="AX9" s="28">
        <f ca="1"/>
        <v>1.5785630020785348</v>
      </c>
      <c r="AY9" s="28">
        <f ca="1"/>
        <v>1.4845099368154091</v>
      </c>
      <c r="AZ9" s="28">
        <f ca="1"/>
        <v>1.3404157398174426</v>
      </c>
      <c r="BA9" s="28">
        <f ca="1"/>
        <v>1.4475865351474668</v>
      </c>
      <c r="BB9" s="28">
        <f ca="1"/>
        <v>1.2833690221270522</v>
      </c>
      <c r="BC9" s="28">
        <f ca="1"/>
        <v>1.3264682782092678</v>
      </c>
      <c r="BD9" s="28">
        <f ca="1"/>
        <v>1.3325523502709036</v>
      </c>
      <c r="BE9" s="28">
        <f ca="1"/>
        <v>1.3143005624334678</v>
      </c>
      <c r="BF9" s="28">
        <f ca="1"/>
        <v>1.0024452583011541</v>
      </c>
    </row>
    <row r="10" spans="1:302">
      <c r="A10" s="402" t="s">
        <v>1791</v>
      </c>
      <c r="B10" s="51">
        <f ca="1">B7</f>
        <v>15.105530844950593</v>
      </c>
      <c r="C10" s="51">
        <f t="shared" ref="C10:K10" ca="1" si="9">C7</f>
        <v>15.488558353484752</v>
      </c>
      <c r="D10" s="51">
        <f t="shared" ca="1" si="9"/>
        <v>15.173068570199352</v>
      </c>
      <c r="E10" s="51">
        <f t="shared" ca="1" si="9"/>
        <v>14.991406055830062</v>
      </c>
      <c r="F10" s="51">
        <f t="shared" ca="1" si="9"/>
        <v>14.753338266597112</v>
      </c>
      <c r="G10" s="51">
        <f t="shared" ca="1" si="9"/>
        <v>14.85905117086231</v>
      </c>
      <c r="H10" s="51">
        <f t="shared" ca="1" si="9"/>
        <v>14.971399747321195</v>
      </c>
      <c r="I10" s="51">
        <f t="shared" ca="1" si="9"/>
        <v>14.492780864585455</v>
      </c>
      <c r="J10" s="51">
        <f t="shared" ca="1" si="9"/>
        <v>13.907816328175974</v>
      </c>
      <c r="K10" s="51">
        <f t="shared" ca="1" si="9"/>
        <v>12.811052450523515</v>
      </c>
      <c r="P10" s="50" t="s">
        <v>1164</v>
      </c>
      <c r="Q10" s="28" t="s">
        <v>357</v>
      </c>
      <c r="R10" s="28" t="s">
        <v>356</v>
      </c>
      <c r="S10" s="28" t="s">
        <v>357</v>
      </c>
      <c r="T10" s="28">
        <f>' LR Products'!J19</f>
        <v>0.94</v>
      </c>
      <c r="U10" s="28">
        <v>2.77</v>
      </c>
      <c r="Y10" s="28">
        <v>3510.721</v>
      </c>
      <c r="Z10" s="28">
        <v>22.349</v>
      </c>
      <c r="AA10" s="28">
        <f t="shared" si="6"/>
        <v>6.365928822028296E-3</v>
      </c>
      <c r="AB10" s="28">
        <f t="shared" si="3"/>
        <v>2.6370218894374372E-4</v>
      </c>
      <c r="AD10" s="28" t="e">
        <f t="shared" si="4"/>
        <v>#REF!</v>
      </c>
      <c r="AE10" s="28" t="e">
        <f t="shared" si="5"/>
        <v>#REF!</v>
      </c>
      <c r="AG10" s="28" t="s">
        <v>1792</v>
      </c>
      <c r="AH10" s="64" cm="1">
        <f t="array" ref="AH10">SUMPRODUCT($AA$2:$AA$66,$AB$2:$AB$66,IF($P$2:$P$66=AG10,1,0))/SUMPRODUCT($AB$2:$AB$66,IF($P$2:$P$66=AG10,1,0))</f>
        <v>2.2712018689941156E-4</v>
      </c>
      <c r="AI10" s="64" t="e" cm="1">
        <f t="array" ref="AI10">SUMPRODUCT($AE$2:$AE$66,$AB$2:$AB$66,IF($P$2:$P$66=AG10,1,0))/SUMPRODUCT($AB$2:$AB$66,IF($P$2:$P$66=AG10,1,0))</f>
        <v>#REF!</v>
      </c>
      <c r="AU10" s="28" t="s">
        <v>1793</v>
      </c>
      <c r="AV10" s="28" t="s">
        <v>1792</v>
      </c>
      <c r="AW10" s="28">
        <f ca="1"/>
        <v>25.727272727272727</v>
      </c>
      <c r="AX10" s="28">
        <f ca="1"/>
        <v>26.09403966069322</v>
      </c>
      <c r="AY10" s="28">
        <f ca="1"/>
        <v>23.723736854762894</v>
      </c>
      <c r="AZ10" s="28">
        <f ca="1"/>
        <v>22.140829945539618</v>
      </c>
      <c r="BA10" s="28">
        <f ca="1"/>
        <v>21.641582825912128</v>
      </c>
      <c r="BB10" s="28">
        <f ca="1"/>
        <v>20.70092790863669</v>
      </c>
      <c r="BC10" s="28">
        <f ca="1"/>
        <v>19.040554523580965</v>
      </c>
      <c r="BD10" s="28">
        <f ca="1"/>
        <v>18.413070309394808</v>
      </c>
      <c r="BE10" s="28">
        <f ca="1"/>
        <v>17.344911695430962</v>
      </c>
      <c r="BF10" s="28">
        <f ca="1"/>
        <v>18.660861483309176</v>
      </c>
    </row>
    <row r="11" spans="1:302">
      <c r="A11" s="402" t="s">
        <v>1794</v>
      </c>
      <c r="B11" s="405">
        <f t="shared" ref="B11:K11" ca="1" si="10">B10*B26/100</f>
        <v>5679.8306530098725</v>
      </c>
      <c r="C11" s="405">
        <f t="shared" ca="1" si="10"/>
        <v>9371.04246060888</v>
      </c>
      <c r="D11" s="405">
        <f t="shared" ca="1" si="10"/>
        <v>11207.283638006345</v>
      </c>
      <c r="E11" s="405">
        <f t="shared" ca="1" si="10"/>
        <v>12904.752246919077</v>
      </c>
      <c r="F11" s="405">
        <f t="shared" ca="1" si="10"/>
        <v>14894.085113660449</v>
      </c>
      <c r="G11" s="405">
        <f t="shared" ca="1" si="10"/>
        <v>17294.003886231516</v>
      </c>
      <c r="H11" s="405">
        <f t="shared" ca="1" si="10"/>
        <v>20480.874854335394</v>
      </c>
      <c r="I11" s="405">
        <f t="shared" ca="1" si="10"/>
        <v>23754.39247609879</v>
      </c>
      <c r="J11" s="405">
        <f t="shared" ca="1" si="10"/>
        <v>28885.978200968369</v>
      </c>
      <c r="K11" s="405">
        <f t="shared" ca="1" si="10"/>
        <v>64073.453947097325</v>
      </c>
      <c r="P11" s="50" t="s">
        <v>1164</v>
      </c>
      <c r="Q11" s="28" t="s">
        <v>360</v>
      </c>
      <c r="R11" s="28" t="s">
        <v>359</v>
      </c>
      <c r="S11" s="28" t="s">
        <v>360</v>
      </c>
      <c r="T11" s="28">
        <f>' LR Products'!J20</f>
        <v>1.25</v>
      </c>
      <c r="U11" s="28">
        <v>3.45</v>
      </c>
      <c r="Y11" s="28">
        <v>11422.569</v>
      </c>
      <c r="Z11" s="28">
        <v>609.13900000000001</v>
      </c>
      <c r="AA11" s="28">
        <f t="shared" si="6"/>
        <v>5.3327670859331211E-2</v>
      </c>
      <c r="AB11" s="28">
        <f t="shared" si="3"/>
        <v>8.5798798841062824E-4</v>
      </c>
      <c r="AD11" s="28" t="e">
        <f t="shared" si="4"/>
        <v>#REF!</v>
      </c>
      <c r="AE11" s="28" t="e">
        <f t="shared" si="5"/>
        <v>#REF!</v>
      </c>
      <c r="AG11" s="50" t="s">
        <v>1795</v>
      </c>
      <c r="AH11" s="64" cm="1">
        <f t="array" ref="AH11">SUMPRODUCT($AA$2:$AA$66,$AB$2:$AB$66,IF($P$2:$P$66=AG11,1,0))/SUMPRODUCT($AB$2:$AB$66,IF($P$2:$P$66=AG11,1,0))</f>
        <v>7.5170807542234166E-2</v>
      </c>
      <c r="AI11" s="64" t="e" cm="1">
        <f t="array" ref="AI11">SUMPRODUCT($AE$2:$AE$66,$AB$2:$AB$66,IF($P$2:$P$66=AG11,1,0))/SUMPRODUCT($AB$2:$AB$66,IF($P$2:$P$66=AG11,1,0))</f>
        <v>#REF!</v>
      </c>
      <c r="AJ11" s="50"/>
      <c r="AK11" s="50"/>
      <c r="AL11" s="50"/>
      <c r="AM11" s="50"/>
      <c r="AU11" s="28" t="s">
        <v>1796</v>
      </c>
      <c r="AV11" s="50" t="s">
        <v>1795</v>
      </c>
      <c r="AW11" s="28">
        <f ca="1"/>
        <v>8.2068965517241388</v>
      </c>
      <c r="AX11" s="28">
        <f ca="1"/>
        <v>9.1539801134767718</v>
      </c>
      <c r="AY11" s="28">
        <f ca="1"/>
        <v>8.323312709066661</v>
      </c>
      <c r="AZ11" s="28">
        <f ca="1"/>
        <v>7.9964715808851734</v>
      </c>
      <c r="BA11" s="28">
        <f ca="1"/>
        <v>7.1985425659374025</v>
      </c>
      <c r="BB11" s="28">
        <f ca="1"/>
        <v>6.6466809421841546</v>
      </c>
      <c r="BC11" s="28">
        <f ca="1"/>
        <v>6.3393714235847058</v>
      </c>
      <c r="BD11" s="28">
        <f ca="1"/>
        <v>5.6638704683806456</v>
      </c>
      <c r="BE11" s="28">
        <f ca="1"/>
        <v>4.9755664149266989</v>
      </c>
      <c r="BF11" s="28">
        <f ca="1"/>
        <v>3.8128326270483188</v>
      </c>
    </row>
    <row r="12" spans="1:302">
      <c r="A12" s="402"/>
      <c r="B12" s="51"/>
      <c r="C12" s="51"/>
      <c r="D12" s="51"/>
      <c r="E12" s="51"/>
      <c r="F12" s="51"/>
      <c r="G12" s="51"/>
      <c r="H12" s="51"/>
      <c r="I12" s="51"/>
      <c r="J12" s="51"/>
      <c r="K12" s="51"/>
      <c r="P12" s="28" t="s">
        <v>395</v>
      </c>
      <c r="Q12" s="28" t="s">
        <v>363</v>
      </c>
      <c r="R12" s="28" t="s">
        <v>362</v>
      </c>
      <c r="S12" s="28" t="s">
        <v>363</v>
      </c>
      <c r="T12" s="28">
        <f>' LR Products'!J21</f>
        <v>1.57</v>
      </c>
      <c r="U12" s="28">
        <v>2.82</v>
      </c>
      <c r="Y12" s="28">
        <v>2577.8000000000002</v>
      </c>
      <c r="Z12" s="28">
        <v>3.3</v>
      </c>
      <c r="AA12" s="28">
        <f t="shared" si="6"/>
        <v>1.2801613779191558E-3</v>
      </c>
      <c r="AB12" s="28">
        <f t="shared" si="3"/>
        <v>1.9362732118535837E-4</v>
      </c>
      <c r="AD12" s="28" t="e">
        <f t="shared" si="4"/>
        <v>#REF!</v>
      </c>
      <c r="AE12" s="28" t="e">
        <f t="shared" si="5"/>
        <v>#REF!</v>
      </c>
      <c r="AG12" s="50" t="s">
        <v>1797</v>
      </c>
      <c r="AH12" s="64" cm="1">
        <f t="array" ref="AH12">SUMPRODUCT($AA$2:$AA$66,$AB$2:$AB$66,IF($P$2:$P$66=AG12,1,0))/SUMPRODUCT($AB$2:$AB$66,IF($P$2:$P$66=AG12,1,0))</f>
        <v>5.3056846638862435E-3</v>
      </c>
      <c r="AI12" s="64" t="e" cm="1">
        <f t="array" ref="AI12">SUMPRODUCT($AE$2:$AE$66,$AB$2:$AB$66,IF($P$2:$P$66=AG12,1,0))/SUMPRODUCT($AB$2:$AB$66,IF($P$2:$P$66=AG12,1,0))</f>
        <v>#REF!</v>
      </c>
      <c r="AJ12" s="50"/>
      <c r="AK12" s="50"/>
      <c r="AL12" s="50"/>
      <c r="AM12" s="50"/>
      <c r="AU12" s="28" t="s">
        <v>1798</v>
      </c>
      <c r="AV12" s="50" t="s">
        <v>1797</v>
      </c>
      <c r="AW12" s="28">
        <f ca="1"/>
        <v>3.5141065830721003</v>
      </c>
      <c r="AX12" s="28">
        <f ca="1"/>
        <v>3.7132745351384755</v>
      </c>
      <c r="AY12" s="28">
        <f ca="1"/>
        <v>3.8479197184022387</v>
      </c>
      <c r="AZ12" s="28">
        <f ca="1"/>
        <v>3.7968857866073482</v>
      </c>
      <c r="BA12" s="28">
        <f ca="1"/>
        <v>3.5418273728438017</v>
      </c>
      <c r="BB12" s="28">
        <f ca="1"/>
        <v>3.8044254104211279</v>
      </c>
      <c r="BC12" s="28">
        <f ca="1"/>
        <v>3.9731714310647899</v>
      </c>
      <c r="BD12" s="28">
        <f ca="1"/>
        <v>3.8282116185176664</v>
      </c>
      <c r="BE12" s="28">
        <f ca="1"/>
        <v>3.7291602055271031</v>
      </c>
      <c r="BF12" s="28">
        <f ca="1"/>
        <v>3.8853052147069564</v>
      </c>
      <c r="CD12" s="54"/>
    </row>
    <row r="13" spans="1:302">
      <c r="A13" s="402"/>
      <c r="B13" s="51"/>
      <c r="C13" s="51"/>
      <c r="D13" s="51"/>
      <c r="E13" s="51"/>
      <c r="F13" s="51"/>
      <c r="G13" s="51"/>
      <c r="H13" s="51"/>
      <c r="I13" s="51"/>
      <c r="J13" s="51"/>
      <c r="K13" s="51"/>
      <c r="P13" s="28" t="s">
        <v>1799</v>
      </c>
      <c r="Q13" s="52" t="s">
        <v>366</v>
      </c>
      <c r="R13" s="52" t="s">
        <v>365</v>
      </c>
      <c r="S13" s="28" t="s">
        <v>366</v>
      </c>
      <c r="T13" s="28">
        <f>' LR Products'!J22</f>
        <v>6.6</v>
      </c>
      <c r="U13" s="28">
        <v>15.68</v>
      </c>
      <c r="W13" s="52"/>
      <c r="X13" s="52"/>
      <c r="Y13" s="28">
        <v>499.17599999999999</v>
      </c>
      <c r="Z13" s="28">
        <v>5.4950000000000001</v>
      </c>
      <c r="AA13" s="28">
        <f t="shared" si="6"/>
        <v>1.1008141417055308E-2</v>
      </c>
      <c r="AB13" s="28">
        <f t="shared" si="3"/>
        <v>3.7494806299954399E-5</v>
      </c>
      <c r="AD13" s="28" t="e">
        <f t="shared" si="4"/>
        <v>#REF!</v>
      </c>
      <c r="AE13" s="28" t="e">
        <f t="shared" si="5"/>
        <v>#REF!</v>
      </c>
      <c r="AG13" s="28" t="s">
        <v>1800</v>
      </c>
      <c r="AH13" s="64" cm="1">
        <f t="array" ref="AH13">SUMPRODUCT($AA$2:$AA$66,$AB$2:$AB$66,IF($P$2:$P$66=AG13,1,0))/SUMPRODUCT($AB$2:$AB$66,IF($P$2:$P$66=AG13,1,0))</f>
        <v>0.2686776228975078</v>
      </c>
      <c r="AI13" s="64" t="e" cm="1">
        <f t="array" ref="AI13">SUMPRODUCT($AE$2:$AE$66,$AB$2:$AB$66,IF($P$2:$P$66=AG13,1,0))/SUMPRODUCT($AB$2:$AB$66,IF($P$2:$P$66=AG13,1,0))</f>
        <v>#REF!</v>
      </c>
      <c r="AU13" s="28" t="s">
        <v>1801</v>
      </c>
      <c r="AV13" s="28" t="s">
        <v>1800</v>
      </c>
      <c r="AW13" s="28">
        <f ca="1"/>
        <v>1.5172413793103448</v>
      </c>
      <c r="AX13" s="28">
        <f ca="1"/>
        <v>1.3454300320206729</v>
      </c>
      <c r="AY13" s="28">
        <f ca="1"/>
        <v>1.469205710662673</v>
      </c>
      <c r="AZ13" s="28">
        <f ca="1"/>
        <v>1.3576743115747487</v>
      </c>
      <c r="BA13" s="28">
        <f ca="1"/>
        <v>1.0996405652480756</v>
      </c>
      <c r="BB13" s="28">
        <f ca="1"/>
        <v>1.1291934332619558</v>
      </c>
      <c r="BC13" s="28">
        <f ca="1"/>
        <v>1.0771321356887287</v>
      </c>
      <c r="BD13" s="28">
        <f ca="1"/>
        <v>1.0679246072422233</v>
      </c>
      <c r="BE13" s="28">
        <f ca="1"/>
        <v>0.93962431791321255</v>
      </c>
      <c r="BF13" s="28">
        <f ca="1"/>
        <v>0.75902587990573034</v>
      </c>
    </row>
    <row r="14" spans="1:302">
      <c r="A14" s="402" t="s">
        <v>1802</v>
      </c>
      <c r="B14" s="51">
        <v>1.9589282210000001</v>
      </c>
      <c r="C14" s="61">
        <v>1.2962785429999999</v>
      </c>
      <c r="D14" s="61">
        <v>1.1821674579999999</v>
      </c>
      <c r="E14" s="61">
        <v>1.0798789820000001</v>
      </c>
      <c r="F14" s="61">
        <v>1.0735159329999999</v>
      </c>
      <c r="G14" s="61">
        <v>1.035116932</v>
      </c>
      <c r="H14" s="61">
        <v>0.96715259899999995</v>
      </c>
      <c r="I14" s="61">
        <v>0.95130145499999996</v>
      </c>
      <c r="J14" s="61">
        <v>0.87785875899999999</v>
      </c>
      <c r="K14" s="61">
        <v>0.64605785000000004</v>
      </c>
      <c r="P14" s="28" t="s">
        <v>1803</v>
      </c>
      <c r="Q14" s="28" t="s">
        <v>369</v>
      </c>
      <c r="R14" s="28" t="s">
        <v>368</v>
      </c>
      <c r="S14" s="28" t="s">
        <v>369</v>
      </c>
      <c r="T14" s="28">
        <f>' LR Products'!J23</f>
        <v>1.72</v>
      </c>
      <c r="U14" s="28">
        <v>2.94</v>
      </c>
      <c r="Y14" s="28">
        <v>593.053</v>
      </c>
      <c r="Z14" s="28">
        <v>47.673999999999999</v>
      </c>
      <c r="AA14" s="28">
        <f t="shared" si="6"/>
        <v>8.0387418999650961E-2</v>
      </c>
      <c r="AB14" s="28">
        <f t="shared" si="3"/>
        <v>4.4546226903150101E-5</v>
      </c>
      <c r="AD14" s="28" t="e">
        <f t="shared" si="4"/>
        <v>#REF!</v>
      </c>
      <c r="AE14" s="28" t="e">
        <f t="shared" si="5"/>
        <v>#REF!</v>
      </c>
      <c r="AG14" s="28" t="s">
        <v>1803</v>
      </c>
      <c r="AH14" s="64" cm="1">
        <f t="array" ref="AH14">SUMPRODUCT($AA$2:$AA$66,$AB$2:$AB$66,IF($P$2:$P$66=AG14,1,0))/SUMPRODUCT($AB$2:$AB$66,IF($P$2:$P$66=AG14,1,0))</f>
        <v>0.28720906949162223</v>
      </c>
      <c r="AI14" s="64" t="e" cm="1">
        <f t="array" ref="AI14">SUMPRODUCT($AE$2:$AE$66,$AB$2:$AB$66,IF($P$2:$P$66=AG14,1,0))/SUMPRODUCT($AB$2:$AB$66,IF($P$2:$P$66=AG14,1,0))</f>
        <v>#REF!</v>
      </c>
      <c r="AU14" s="28" t="s">
        <v>1804</v>
      </c>
      <c r="AV14" s="28" t="s">
        <v>1803</v>
      </c>
      <c r="AW14" s="28">
        <f ca="1"/>
        <v>2.8025078369905958</v>
      </c>
      <c r="AX14" s="28">
        <f ca="1"/>
        <v>2.9942138082130216</v>
      </c>
      <c r="AY14" s="28">
        <f ca="1"/>
        <v>3.1439253153763747</v>
      </c>
      <c r="AZ14" s="28">
        <f ca="1"/>
        <v>3.1890005369333436</v>
      </c>
      <c r="BA14" s="28">
        <f ca="1"/>
        <v>2.8689129970949794</v>
      </c>
      <c r="BB14" s="28">
        <f ca="1"/>
        <v>3.336188436830835</v>
      </c>
      <c r="BC14" s="28">
        <f ca="1"/>
        <v>3.641554361512473</v>
      </c>
      <c r="BD14" s="28">
        <f ca="1"/>
        <v>3.2288768487333432</v>
      </c>
      <c r="BE14" s="28">
        <f ca="1"/>
        <v>3.4760232349563718</v>
      </c>
      <c r="BF14" s="28">
        <f ca="1"/>
        <v>3.1882406311200611</v>
      </c>
    </row>
    <row r="15" spans="1:302">
      <c r="P15" s="50" t="s">
        <v>1164</v>
      </c>
      <c r="Q15" s="28" t="s">
        <v>372</v>
      </c>
      <c r="R15" s="28" t="s">
        <v>371</v>
      </c>
      <c r="S15" s="28" t="s">
        <v>372</v>
      </c>
      <c r="T15" s="28">
        <f>' LR Products'!J24</f>
        <v>3.07</v>
      </c>
      <c r="U15" s="28">
        <v>6.8</v>
      </c>
      <c r="Y15" s="28">
        <v>4438.9219999999996</v>
      </c>
      <c r="Z15" s="28">
        <v>1020.746</v>
      </c>
      <c r="AA15" s="28">
        <f t="shared" si="6"/>
        <v>0.22995357881936201</v>
      </c>
      <c r="AB15" s="28">
        <f t="shared" si="3"/>
        <v>3.3342252145657274E-4</v>
      </c>
      <c r="AD15" s="28" t="e">
        <f t="shared" si="4"/>
        <v>#REF!</v>
      </c>
      <c r="AE15" s="28" t="e">
        <f t="shared" si="5"/>
        <v>#REF!</v>
      </c>
      <c r="AG15" s="28" t="s">
        <v>1799</v>
      </c>
      <c r="AH15" s="64" cm="1">
        <f t="array" ref="AH15">SUMPRODUCT($AA$2:$AA$66,$AB$2:$AB$66,IF($P$2:$P$66=AG15,1,0))/SUMPRODUCT($AB$2:$AB$66,IF($P$2:$P$66=AG15,1,0))</f>
        <v>0.8372835216116995</v>
      </c>
      <c r="AI15" s="64" t="e" cm="1">
        <f t="array" ref="AI15">SUMPRODUCT($AE$2:$AE$66,$AB$2:$AB$66,IF($P$2:$P$66=AG15,1,0))/SUMPRODUCT($AB$2:$AB$66,IF($P$2:$P$66=AG15,1,0))</f>
        <v>#REF!</v>
      </c>
      <c r="AU15" s="28" t="s">
        <v>1805</v>
      </c>
      <c r="AV15" s="28" t="s">
        <v>1799</v>
      </c>
      <c r="AW15" s="28">
        <f ca="1"/>
        <v>3.2163009404388716</v>
      </c>
      <c r="AX15" s="28">
        <f ca="1"/>
        <v>2.3846974889051178</v>
      </c>
      <c r="AY15" s="28">
        <f ca="1"/>
        <v>2.6060910820087888</v>
      </c>
      <c r="AZ15" s="28">
        <f ca="1"/>
        <v>2.4986576666410985</v>
      </c>
      <c r="BA15" s="28">
        <f ca="1"/>
        <v>2.1812273301711826</v>
      </c>
      <c r="BB15" s="28">
        <f ca="1"/>
        <v>2.7865810135617415</v>
      </c>
      <c r="BC15" s="28">
        <f ca="1"/>
        <v>2.8686123196988018</v>
      </c>
      <c r="BD15" s="28">
        <f ca="1"/>
        <v>2.7948036734096187</v>
      </c>
      <c r="BE15" s="28">
        <f ca="1"/>
        <v>2.5221494849249391</v>
      </c>
      <c r="BF15" s="28">
        <f ca="1"/>
        <v>2.6366744487104303</v>
      </c>
    </row>
    <row r="16" spans="1:302" ht="15" thickBot="1">
      <c r="A16" s="28" t="s">
        <v>1806</v>
      </c>
      <c r="P16" s="50" t="s">
        <v>1795</v>
      </c>
      <c r="Q16" s="28" t="s">
        <v>375</v>
      </c>
      <c r="R16" s="28" t="s">
        <v>374</v>
      </c>
      <c r="S16" s="28" t="s">
        <v>375</v>
      </c>
      <c r="T16" s="28">
        <f>' LR Products'!J25</f>
        <v>0.47</v>
      </c>
      <c r="U16" s="28">
        <v>1.1000000000000001</v>
      </c>
      <c r="Y16" s="28">
        <v>16.187000000000001</v>
      </c>
      <c r="Z16" s="28">
        <v>0.14199999999999999</v>
      </c>
      <c r="AA16" s="28">
        <f t="shared" si="6"/>
        <v>8.7724717365787342E-3</v>
      </c>
      <c r="AB16" s="28">
        <f t="shared" si="3"/>
        <v>1.2158605974192707E-6</v>
      </c>
      <c r="AD16" s="28" t="e">
        <f t="shared" si="4"/>
        <v>#REF!</v>
      </c>
      <c r="AE16" s="28" t="e">
        <f t="shared" si="5"/>
        <v>#REF!</v>
      </c>
      <c r="AG16" s="28" t="s">
        <v>1807</v>
      </c>
      <c r="AH16" s="64" cm="1">
        <f t="array" ref="AH16">SUMPRODUCT($AA$2:$AA$66,$AB$2:$AB$66,IF($P$2:$P$66=AG16,1,0))/SUMPRODUCT($AB$2:$AB$66,IF($P$2:$P$66=AG16,1,0))</f>
        <v>0.23387613992055209</v>
      </c>
      <c r="AI16" s="64" t="e" cm="1">
        <f t="array" ref="AI16">SUMPRODUCT($AE$2:$AE$66,$AB$2:$AB$66,IF($P$2:$P$66=AG16,1,0))/SUMPRODUCT($AB$2:$AB$66,IF($P$2:$P$66=AG16,1,0))</f>
        <v>#REF!</v>
      </c>
      <c r="AU16" s="28" t="s">
        <v>1808</v>
      </c>
      <c r="AV16" s="28" t="s">
        <v>1807</v>
      </c>
      <c r="AW16" s="28">
        <f ca="1"/>
        <v>14.774294670846395</v>
      </c>
      <c r="AX16" s="28">
        <f ca="1"/>
        <v>14.372788045615415</v>
      </c>
      <c r="AY16" s="28">
        <f ca="1"/>
        <v>16.224666039922166</v>
      </c>
      <c r="AZ16" s="28">
        <f ca="1"/>
        <v>15.732146966326608</v>
      </c>
      <c r="BA16" s="28">
        <f ca="1"/>
        <v>18.7989299020171</v>
      </c>
      <c r="BB16" s="28">
        <f ca="1"/>
        <v>17.651677373304782</v>
      </c>
      <c r="BC16" s="28">
        <f ca="1"/>
        <v>18.419707528704823</v>
      </c>
      <c r="BD16" s="28">
        <f ca="1"/>
        <v>17.83256280986549</v>
      </c>
      <c r="BE16" s="28">
        <f ca="1"/>
        <v>18.126954058154446</v>
      </c>
      <c r="BF16" s="28">
        <f ca="1"/>
        <v>15.997078967459254</v>
      </c>
    </row>
    <row r="17" spans="1:58">
      <c r="A17" s="175" t="s">
        <v>1809</v>
      </c>
      <c r="B17" s="176">
        <v>1</v>
      </c>
      <c r="C17" s="176">
        <v>2</v>
      </c>
      <c r="D17" s="176">
        <v>3</v>
      </c>
      <c r="E17" s="176">
        <v>4</v>
      </c>
      <c r="F17" s="176">
        <v>5</v>
      </c>
      <c r="G17" s="176">
        <v>6</v>
      </c>
      <c r="H17" s="176">
        <v>7</v>
      </c>
      <c r="I17" s="176">
        <v>8</v>
      </c>
      <c r="J17" s="176">
        <v>9</v>
      </c>
      <c r="K17" s="177">
        <v>10</v>
      </c>
      <c r="P17" s="50" t="s">
        <v>1795</v>
      </c>
      <c r="Q17" s="28" t="s">
        <v>378</v>
      </c>
      <c r="R17" s="28" t="s">
        <v>377</v>
      </c>
      <c r="S17" s="28" t="s">
        <v>378</v>
      </c>
      <c r="T17" s="28">
        <f>' LR Products'!J26</f>
        <v>0.38</v>
      </c>
      <c r="U17" s="28">
        <v>0.52</v>
      </c>
      <c r="Y17" s="28">
        <v>0.104</v>
      </c>
      <c r="Z17" s="28">
        <v>0.06</v>
      </c>
      <c r="AA17" s="28">
        <f t="shared" si="6"/>
        <v>0.57692307692307698</v>
      </c>
      <c r="AB17" s="28">
        <f t="shared" si="3"/>
        <v>7.8117935461545766E-9</v>
      </c>
      <c r="AD17" s="28" t="e">
        <f t="shared" si="4"/>
        <v>#REF!</v>
      </c>
      <c r="AE17" s="28" t="e">
        <f t="shared" si="5"/>
        <v>#REF!</v>
      </c>
      <c r="AG17" s="28" t="s">
        <v>1810</v>
      </c>
      <c r="AH17" s="64" cm="1">
        <f t="array" ref="AH17">SUMPRODUCT($AA$2:$AA$66,$AB$2:$AB$66,IF($P$2:$P$66=AG17,1,0))/SUMPRODUCT($AB$2:$AB$66,IF($P$2:$P$66=AG17,1,0))</f>
        <v>0.49153634799855617</v>
      </c>
      <c r="AI17" s="64" t="e" cm="1">
        <f t="array" ref="AI17">SUMPRODUCT($AE$2:$AE$66,$AB$2:$AB$66,IF($P$2:$P$66=AG17,1,0))/SUMPRODUCT($AB$2:$AB$66,IF($P$2:$P$66=AG17,1,0))</f>
        <v>#REF!</v>
      </c>
      <c r="AU17" s="28" t="s">
        <v>1811</v>
      </c>
      <c r="AV17" s="28" t="s">
        <v>1810</v>
      </c>
      <c r="AW17" s="28">
        <f ca="1"/>
        <v>8.6551724137931032</v>
      </c>
      <c r="AX17" s="28">
        <f ca="1"/>
        <v>12.086399640469637</v>
      </c>
      <c r="AY17" s="28">
        <f ca="1"/>
        <v>9.7575373313802221</v>
      </c>
      <c r="AZ17" s="28">
        <f ca="1"/>
        <v>10.029147810079007</v>
      </c>
      <c r="BA17" s="28">
        <f ca="1"/>
        <v>9.0564427448341505</v>
      </c>
      <c r="BB17" s="28">
        <f ca="1"/>
        <v>8.5481798715203432</v>
      </c>
      <c r="BC17" s="28">
        <f ca="1"/>
        <v>8.214379215339159</v>
      </c>
      <c r="BD17" s="28">
        <f ca="1"/>
        <v>7.7704328180239735</v>
      </c>
      <c r="BE17" s="28">
        <f ca="1"/>
        <v>6.875770097985801</v>
      </c>
      <c r="BF17" s="28">
        <f ca="1"/>
        <v>6.1164651080450101</v>
      </c>
    </row>
    <row r="18" spans="1:58" ht="15" thickBot="1">
      <c r="A18" s="406" t="s">
        <v>1812</v>
      </c>
      <c r="B18" s="178">
        <f ca="1">B10</f>
        <v>15.105530844950593</v>
      </c>
      <c r="C18" s="178">
        <f t="shared" ref="C18:K18" ca="1" si="11">C10</f>
        <v>15.488558353484752</v>
      </c>
      <c r="D18" s="178">
        <f t="shared" ca="1" si="11"/>
        <v>15.173068570199352</v>
      </c>
      <c r="E18" s="178">
        <f t="shared" ca="1" si="11"/>
        <v>14.991406055830062</v>
      </c>
      <c r="F18" s="178">
        <f t="shared" ca="1" si="11"/>
        <v>14.753338266597112</v>
      </c>
      <c r="G18" s="178">
        <f t="shared" ca="1" si="11"/>
        <v>14.85905117086231</v>
      </c>
      <c r="H18" s="178">
        <f t="shared" ca="1" si="11"/>
        <v>14.971399747321195</v>
      </c>
      <c r="I18" s="178">
        <f t="shared" ca="1" si="11"/>
        <v>14.492780864585455</v>
      </c>
      <c r="J18" s="178">
        <f t="shared" ca="1" si="11"/>
        <v>13.907816328175974</v>
      </c>
      <c r="K18" s="178">
        <f t="shared" ca="1" si="11"/>
        <v>12.811052450523515</v>
      </c>
      <c r="M18" s="28">
        <f ca="1">B18/K18</f>
        <v>1.1791014753306481</v>
      </c>
      <c r="P18" s="50" t="s">
        <v>1795</v>
      </c>
      <c r="Q18" s="28" t="s">
        <v>381</v>
      </c>
      <c r="R18" s="28" t="s">
        <v>380</v>
      </c>
      <c r="S18" s="28" t="s">
        <v>381</v>
      </c>
      <c r="T18" s="28">
        <f>' LR Products'!J27</f>
        <v>0.8</v>
      </c>
      <c r="U18" s="28">
        <v>0.38</v>
      </c>
      <c r="Y18" s="28">
        <v>61.226999999999997</v>
      </c>
      <c r="Z18" s="28">
        <v>51.305999999999997</v>
      </c>
      <c r="AA18" s="28">
        <f t="shared" si="6"/>
        <v>0.83796364349061692</v>
      </c>
      <c r="AB18" s="28">
        <f t="shared" si="3"/>
        <v>4.5989681101000609E-6</v>
      </c>
      <c r="AD18" s="28" t="e">
        <f t="shared" si="4"/>
        <v>#REF!</v>
      </c>
      <c r="AE18" s="28" t="e">
        <f t="shared" si="5"/>
        <v>#REF!</v>
      </c>
      <c r="AG18" s="28" t="s">
        <v>1813</v>
      </c>
      <c r="AH18" s="64" cm="1">
        <f t="array" ref="AH18">SUMPRODUCT($AA$2:$AA$66,$AB$2:$AB$66,IF($P$2:$P$66=AG18,1,0))/SUMPRODUCT($AB$2:$AB$66,IF($P$2:$P$66=AG18,1,0))</f>
        <v>0.10275848689061713</v>
      </c>
      <c r="AI18" s="64" t="e" cm="1">
        <f t="array" ref="AI18">SUMPRODUCT($AE$2:$AE$66,$AB$2:$AB$66,IF($P$2:$P$66=AG18,1,0))/SUMPRODUCT($AB$2:$AB$66,IF($P$2:$P$66=AG18,1,0))</f>
        <v>#REF!</v>
      </c>
      <c r="AU18" s="28" t="s">
        <v>1814</v>
      </c>
      <c r="AV18" s="28" t="s">
        <v>1813</v>
      </c>
      <c r="AW18" s="28">
        <f ca="1"/>
        <v>4.5987460815047019</v>
      </c>
      <c r="AX18" s="28">
        <f ca="1"/>
        <v>3.9941576315937306</v>
      </c>
      <c r="AY18" s="28">
        <f ca="1"/>
        <v>4.9935503618356325</v>
      </c>
      <c r="AZ18" s="28">
        <f ca="1"/>
        <v>4.1880800797729538</v>
      </c>
      <c r="BA18" s="28">
        <f ca="1"/>
        <v>3.9455759982930951</v>
      </c>
      <c r="BB18" s="28">
        <f ca="1"/>
        <v>4.3297644539614559</v>
      </c>
      <c r="BC18" s="28">
        <f ca="1"/>
        <v>4.206300724321494</v>
      </c>
      <c r="BD18" s="28">
        <f ca="1"/>
        <v>4.5666589962973037</v>
      </c>
      <c r="BE18" s="28">
        <f ca="1"/>
        <v>5.0250203263958158</v>
      </c>
      <c r="BF18" s="28">
        <f ca="1"/>
        <v>5.4182940727381359</v>
      </c>
    </row>
    <row r="19" spans="1:58">
      <c r="A19" s="402"/>
      <c r="B19" s="51">
        <f ca="1">B18*BN7</f>
        <v>53.192011695984533</v>
      </c>
      <c r="C19" s="61">
        <f t="shared" ref="C19:K19" ca="1" si="12">C18*BO7</f>
        <v>23.828860226470944</v>
      </c>
      <c r="D19" s="61">
        <f t="shared" ca="1" si="12"/>
        <v>19.897387635320626</v>
      </c>
      <c r="E19" s="61">
        <f t="shared" ca="1" si="12"/>
        <v>16.831844356875212</v>
      </c>
      <c r="F19" s="61">
        <f t="shared" ca="1" si="12"/>
        <v>15.320609944020168</v>
      </c>
      <c r="G19" s="61">
        <f t="shared" ca="1" si="12"/>
        <v>13.9615647193125</v>
      </c>
      <c r="H19" s="61">
        <f t="shared" ca="1" si="12"/>
        <v>12.844684021775462</v>
      </c>
      <c r="I19" s="61">
        <f t="shared" ca="1" si="12"/>
        <v>11.987790761174185</v>
      </c>
      <c r="J19" s="61">
        <f t="shared" ca="1" si="12"/>
        <v>11.046678238120265</v>
      </c>
      <c r="K19" s="61">
        <f t="shared" ca="1" si="12"/>
        <v>8.5256085548832719</v>
      </c>
      <c r="N19" s="49"/>
      <c r="P19" s="50" t="s">
        <v>1795</v>
      </c>
      <c r="Q19" s="28" t="s">
        <v>384</v>
      </c>
      <c r="R19" s="28" t="s">
        <v>383</v>
      </c>
      <c r="S19" s="28" t="s">
        <v>384</v>
      </c>
      <c r="T19" s="28">
        <f>' LR Products'!J28</f>
        <v>1.01</v>
      </c>
      <c r="U19" s="28">
        <v>1.23</v>
      </c>
      <c r="Y19" s="28">
        <v>260.47500000000002</v>
      </c>
      <c r="Z19" s="28">
        <v>32.073999999999998</v>
      </c>
      <c r="AA19" s="28">
        <f t="shared" si="6"/>
        <v>0.1231365774066609</v>
      </c>
      <c r="AB19" s="28">
        <f t="shared" si="3"/>
        <v>1.9565162730140516E-5</v>
      </c>
      <c r="AD19" s="28" t="e">
        <f t="shared" si="4"/>
        <v>#REF!</v>
      </c>
      <c r="AE19" s="28" t="e">
        <f t="shared" si="5"/>
        <v>#REF!</v>
      </c>
      <c r="AG19" s="28" t="s">
        <v>517</v>
      </c>
      <c r="AH19" s="64" cm="1">
        <f t="array" ref="AH19">SUMPRODUCT($AA$2:$AA$66,$AB$2:$AB$66,IF($P$2:$P$66=AG19,1,0))/SUMPRODUCT($AB$2:$AB$66,IF($P$2:$P$66=AG19,1,0))</f>
        <v>3.7687945471767743E-2</v>
      </c>
      <c r="AI19" s="64" t="e" cm="1">
        <f t="array" ref="AI19">SUMPRODUCT($AE$2:$AE$66,$AB$2:$AB$66,IF($P$2:$P$66=AG19,1,0))/SUMPRODUCT($AB$2:$AB$66,IF($P$2:$P$66=AG19,1,0))</f>
        <v>#REF!</v>
      </c>
      <c r="AT19" s="28" t="s">
        <v>1815</v>
      </c>
      <c r="AU19" s="28" t="s">
        <v>1816</v>
      </c>
      <c r="AV19" s="28" t="s">
        <v>517</v>
      </c>
      <c r="AW19" s="28">
        <f ca="1"/>
        <v>2.6192854151229099</v>
      </c>
      <c r="AX19" s="28">
        <f ca="1"/>
        <v>1.1496088136675715</v>
      </c>
      <c r="AY19" s="28">
        <f ca="1"/>
        <v>1.0157054006890689</v>
      </c>
      <c r="AZ19" s="28">
        <f ca="1"/>
        <v>1.2502876428626217</v>
      </c>
      <c r="BA19" s="28">
        <f ca="1"/>
        <v>1.4607165717474437</v>
      </c>
      <c r="BB19" s="28">
        <f ca="1"/>
        <v>1.8087080656673804</v>
      </c>
      <c r="BC19" s="28">
        <f ca="1"/>
        <v>1.1469462555944796</v>
      </c>
      <c r="BD19" s="28">
        <f ca="1"/>
        <v>1.4978139447315022</v>
      </c>
      <c r="BE19" s="28">
        <f ca="1"/>
        <v>1.7308869014190758</v>
      </c>
      <c r="BF19" s="28">
        <f ca="1"/>
        <v>4.124852012082453</v>
      </c>
    </row>
    <row r="20" spans="1:58">
      <c r="A20" s="402"/>
      <c r="B20" s="51"/>
      <c r="C20" s="61"/>
      <c r="D20" s="61"/>
      <c r="E20" s="61"/>
      <c r="F20" s="61"/>
      <c r="G20" s="61"/>
      <c r="H20" s="61"/>
      <c r="I20" s="61"/>
      <c r="J20" s="61"/>
      <c r="K20" s="61"/>
      <c r="P20" s="50" t="s">
        <v>1164</v>
      </c>
      <c r="Q20" s="28" t="s">
        <v>387</v>
      </c>
      <c r="R20" s="28" t="s">
        <v>386</v>
      </c>
      <c r="S20" s="28" t="s">
        <v>387</v>
      </c>
      <c r="T20" s="28">
        <f>' LR Products'!J29</f>
        <v>1.32</v>
      </c>
      <c r="U20" s="28">
        <v>3.16</v>
      </c>
      <c r="Y20" s="28">
        <v>72995.005999999994</v>
      </c>
      <c r="Z20" s="28">
        <v>3652.029</v>
      </c>
      <c r="AA20" s="28">
        <f t="shared" si="6"/>
        <v>5.0031217204092024E-2</v>
      </c>
      <c r="AB20" s="28">
        <f t="shared" si="3"/>
        <v>5.4829030458876408E-3</v>
      </c>
      <c r="AD20" s="28" t="e">
        <f t="shared" si="4"/>
        <v>#REF!</v>
      </c>
      <c r="AE20" s="28" t="e">
        <f t="shared" si="5"/>
        <v>#REF!</v>
      </c>
      <c r="AG20" s="50" t="s">
        <v>1817</v>
      </c>
      <c r="AH20" s="64" cm="1">
        <f t="array" ref="AH20">SUMPRODUCT($AA$2:$AA$66,$AB$2:$AB$66,IF($P$2:$P$66=AG20,1,0))/SUMPRODUCT($AB$2:$AB$66,IF($P$2:$P$66=AG20,1,0))</f>
        <v>1.8306825269390847E-3</v>
      </c>
      <c r="AI20" s="64" t="e" cm="1">
        <f t="array" ref="AI20">SUMPRODUCT($AE$2:$AE$66,$AB$2:$AB$66,IF($P$2:$P$66=AG20,1,0))/SUMPRODUCT($AB$2:$AB$66,IF($P$2:$P$66=AG20,1,0))</f>
        <v>#REF!</v>
      </c>
      <c r="AJ20" s="50"/>
      <c r="AK20" s="50"/>
      <c r="AL20" s="50"/>
      <c r="AM20" s="50"/>
      <c r="AV20" s="50" t="s">
        <v>1817</v>
      </c>
      <c r="AW20" s="28">
        <f ca="1"/>
        <v>1.1849529780564263</v>
      </c>
      <c r="AX20" s="28">
        <f ca="1"/>
        <v>1.3426212010561205</v>
      </c>
      <c r="AY20" s="28">
        <f ca="1"/>
        <v>1.6200616541682153</v>
      </c>
      <c r="AZ20" s="28">
        <f ca="1"/>
        <v>1.4650638617580767</v>
      </c>
      <c r="BA20" s="28">
        <f ca="1"/>
        <v>1.8447701422967717</v>
      </c>
      <c r="BB20" s="28">
        <f ca="1"/>
        <v>1.5060670949321913</v>
      </c>
      <c r="BC20" s="28">
        <f ca="1"/>
        <v>1.3838155909889918</v>
      </c>
      <c r="BD20" s="28">
        <f ca="1"/>
        <v>1.4957220258142794</v>
      </c>
      <c r="BE20" s="28">
        <f ca="1"/>
        <v>1.5196600253136971</v>
      </c>
      <c r="BF20" s="28">
        <f ca="1"/>
        <v>1.3266356122550593</v>
      </c>
    </row>
    <row r="21" spans="1:58" ht="15" thickBot="1">
      <c r="A21" s="28" t="s">
        <v>1818</v>
      </c>
      <c r="M21" s="49"/>
      <c r="P21" s="50" t="s">
        <v>1164</v>
      </c>
      <c r="Q21" s="28" t="s">
        <v>390</v>
      </c>
      <c r="R21" s="28" t="s">
        <v>389</v>
      </c>
      <c r="S21" s="28" t="s">
        <v>390</v>
      </c>
      <c r="T21" s="28">
        <f>' LR Products'!J30</f>
        <v>1.41</v>
      </c>
      <c r="U21" s="28">
        <v>2.78</v>
      </c>
      <c r="Y21" s="28">
        <v>58288.163999999997</v>
      </c>
      <c r="Z21" s="28">
        <v>1574.43</v>
      </c>
      <c r="AA21" s="28">
        <f t="shared" si="6"/>
        <v>2.7011144149265025E-2</v>
      </c>
      <c r="AB21" s="28">
        <f t="shared" si="3"/>
        <v>4.3782221476192269E-3</v>
      </c>
      <c r="AD21" s="28" t="e">
        <f t="shared" si="4"/>
        <v>#REF!</v>
      </c>
      <c r="AE21" s="28" t="e">
        <f t="shared" si="5"/>
        <v>#REF!</v>
      </c>
      <c r="AG21" s="50" t="s">
        <v>1819</v>
      </c>
      <c r="AH21" s="64" cm="1">
        <f t="array" ref="AH21">SUMPRODUCT($AA$2:$AA$66,$AB$2:$AB$66,IF($P$2:$P$66=AG21,1,0))/SUMPRODUCT($AB$2:$AB$66,IF($P$2:$P$66=AG21,1,0))</f>
        <v>2.5813356861157221E-2</v>
      </c>
      <c r="AI21" s="64" t="e" cm="1">
        <f t="array" ref="AI21">SUMPRODUCT($AE$2:$AE$66,$AB$2:$AB$66,IF($P$2:$P$66=AG21,1,0))/SUMPRODUCT($AB$2:$AB$66,IF($P$2:$P$66=AG21,1,0))</f>
        <v>#REF!</v>
      </c>
      <c r="AV21" s="50" t="s">
        <v>1819</v>
      </c>
      <c r="AW21" s="28">
        <f ca="1"/>
        <v>1.4231974921630095</v>
      </c>
      <c r="AX21" s="28">
        <f ca="1"/>
        <v>2.7133307117577665</v>
      </c>
      <c r="AY21" s="28">
        <f ca="1"/>
        <v>4.3660770895734498</v>
      </c>
      <c r="AZ21" s="28">
        <f ca="1"/>
        <v>6.1919920227046097</v>
      </c>
      <c r="BA21" s="28">
        <f ca="1"/>
        <v>7.835349341036288</v>
      </c>
      <c r="BB21" s="28">
        <f ca="1"/>
        <v>10.152748037116346</v>
      </c>
      <c r="BC21" s="28">
        <f ca="1"/>
        <v>12.370812711156546</v>
      </c>
      <c r="BD21" s="28">
        <f ca="1"/>
        <v>14.461435474760998</v>
      </c>
      <c r="BE21" s="28">
        <f ca="1"/>
        <v>16.282071699789611</v>
      </c>
      <c r="BF21" s="28">
        <f ca="1"/>
        <v>18.673032452228949</v>
      </c>
    </row>
    <row r="22" spans="1:58">
      <c r="A22" s="175" t="s">
        <v>1809</v>
      </c>
      <c r="B22" s="176">
        <v>1</v>
      </c>
      <c r="C22" s="176">
        <v>2</v>
      </c>
      <c r="D22" s="176">
        <v>3</v>
      </c>
      <c r="E22" s="176">
        <v>4</v>
      </c>
      <c r="F22" s="176">
        <v>5</v>
      </c>
      <c r="G22" s="176">
        <v>6</v>
      </c>
      <c r="H22" s="176">
        <v>7</v>
      </c>
      <c r="I22" s="176">
        <v>8</v>
      </c>
      <c r="J22" s="176">
        <v>9</v>
      </c>
      <c r="K22" s="177">
        <v>10</v>
      </c>
      <c r="M22" s="402" t="s">
        <v>1820</v>
      </c>
      <c r="N22" s="402" t="s">
        <v>1821</v>
      </c>
      <c r="P22" s="28" t="s">
        <v>744</v>
      </c>
      <c r="Q22" s="28" t="s">
        <v>393</v>
      </c>
      <c r="R22" s="28" t="s">
        <v>392</v>
      </c>
      <c r="S22" s="28" t="s">
        <v>393</v>
      </c>
      <c r="T22" s="28">
        <f>' LR Products'!J31</f>
        <v>2.17</v>
      </c>
      <c r="U22" s="28">
        <v>5.0599999999999996</v>
      </c>
      <c r="Y22" s="28">
        <v>9794.3819999999996</v>
      </c>
      <c r="Z22" s="28">
        <v>1529.5650000000001</v>
      </c>
      <c r="AA22" s="28">
        <f t="shared" si="6"/>
        <v>0.15616758668387654</v>
      </c>
      <c r="AB22" s="28">
        <f t="shared" si="3"/>
        <v>7.3568932784781312E-4</v>
      </c>
      <c r="AD22" s="28" t="e">
        <f t="shared" si="4"/>
        <v>#REF!</v>
      </c>
      <c r="AE22" s="28" t="e">
        <f t="shared" si="5"/>
        <v>#REF!</v>
      </c>
    </row>
    <row r="23" spans="1:58" ht="15" thickBot="1">
      <c r="A23" s="179" t="s">
        <v>1822</v>
      </c>
      <c r="B23" s="180">
        <f ca="1">B11</f>
        <v>5679.8306530098725</v>
      </c>
      <c r="C23" s="180">
        <f t="shared" ref="C23:K23" ca="1" si="13">C11</f>
        <v>9371.04246060888</v>
      </c>
      <c r="D23" s="180">
        <f t="shared" ca="1" si="13"/>
        <v>11207.283638006345</v>
      </c>
      <c r="E23" s="180">
        <f t="shared" ca="1" si="13"/>
        <v>12904.752246919077</v>
      </c>
      <c r="F23" s="180">
        <f t="shared" ca="1" si="13"/>
        <v>14894.085113660449</v>
      </c>
      <c r="G23" s="180">
        <f t="shared" ca="1" si="13"/>
        <v>17294.003886231516</v>
      </c>
      <c r="H23" s="180">
        <f t="shared" ca="1" si="13"/>
        <v>20480.874854335394</v>
      </c>
      <c r="I23" s="180">
        <f t="shared" ca="1" si="13"/>
        <v>23754.39247609879</v>
      </c>
      <c r="J23" s="180">
        <f t="shared" ca="1" si="13"/>
        <v>28885.978200968369</v>
      </c>
      <c r="K23" s="180">
        <f t="shared" ca="1" si="13"/>
        <v>64073.453947097325</v>
      </c>
      <c r="M23" s="56">
        <f ca="1">AVERAGE(F23:G23)</f>
        <v>16094.044499945983</v>
      </c>
      <c r="N23" s="201">
        <f ca="1">AVERAGE(B23:K23)</f>
        <v>20854.5697476936</v>
      </c>
      <c r="O23" s="49"/>
      <c r="P23" s="28" t="s">
        <v>395</v>
      </c>
      <c r="Q23" s="28" t="s">
        <v>396</v>
      </c>
      <c r="R23" s="28" t="s">
        <v>395</v>
      </c>
      <c r="S23" s="28" t="s">
        <v>396</v>
      </c>
      <c r="T23" s="28">
        <f>' LR Products'!J32</f>
        <v>2.06</v>
      </c>
      <c r="U23" s="28">
        <v>3.01</v>
      </c>
      <c r="Y23" s="28">
        <v>69568.212</v>
      </c>
      <c r="Z23" s="28">
        <v>1531.9469999999999</v>
      </c>
      <c r="AA23" s="28">
        <f t="shared" si="6"/>
        <v>2.2020790185034507E-2</v>
      </c>
      <c r="AB23" s="28">
        <f t="shared" si="3"/>
        <v>5.2255048992222441E-3</v>
      </c>
      <c r="AD23" s="28" t="e">
        <f t="shared" si="4"/>
        <v>#REF!</v>
      </c>
      <c r="AE23" s="28" t="e">
        <f t="shared" si="5"/>
        <v>#REF!</v>
      </c>
      <c r="AG23" s="28" t="s">
        <v>1823</v>
      </c>
    </row>
    <row r="24" spans="1:58">
      <c r="A24" s="402"/>
      <c r="C24" s="56"/>
      <c r="D24" s="56"/>
      <c r="E24" s="56"/>
      <c r="F24" s="56"/>
      <c r="G24" s="56"/>
      <c r="H24" s="56"/>
      <c r="I24" s="56"/>
      <c r="J24" s="56"/>
      <c r="K24" s="56"/>
      <c r="P24" s="28" t="s">
        <v>744</v>
      </c>
      <c r="Q24" s="28" t="s">
        <v>399</v>
      </c>
      <c r="R24" s="28" t="s">
        <v>398</v>
      </c>
      <c r="S24" s="28" t="s">
        <v>399</v>
      </c>
      <c r="T24" s="28">
        <f>' LR Products'!J33</f>
        <v>7.52</v>
      </c>
      <c r="U24" s="28">
        <v>14.96</v>
      </c>
      <c r="Y24" s="28">
        <v>1474.3610000000001</v>
      </c>
      <c r="Z24" s="28">
        <v>219.601</v>
      </c>
      <c r="AA24" s="28">
        <f t="shared" si="6"/>
        <v>0.14894656057776892</v>
      </c>
      <c r="AB24" s="28">
        <f t="shared" si="3"/>
        <v>1.1074426677405778E-4</v>
      </c>
      <c r="AD24" s="28" t="e">
        <f t="shared" si="4"/>
        <v>#REF!</v>
      </c>
      <c r="AE24" s="28" t="e">
        <f t="shared" si="5"/>
        <v>#REF!</v>
      </c>
      <c r="AG24" s="28">
        <v>1</v>
      </c>
      <c r="AH24" s="28">
        <v>2</v>
      </c>
      <c r="AI24" s="28">
        <v>3</v>
      </c>
      <c r="AJ24" s="28">
        <v>4</v>
      </c>
      <c r="AK24" s="28">
        <v>5</v>
      </c>
      <c r="AL24" s="28">
        <v>6</v>
      </c>
      <c r="AM24" s="28">
        <v>7</v>
      </c>
      <c r="AN24" s="28">
        <v>8</v>
      </c>
      <c r="AO24" s="28">
        <v>9</v>
      </c>
      <c r="AP24" s="28">
        <v>10</v>
      </c>
    </row>
    <row r="25" spans="1:58">
      <c r="P25" s="28" t="s">
        <v>744</v>
      </c>
      <c r="Q25" s="28" t="s">
        <v>402</v>
      </c>
      <c r="R25" s="28" t="s">
        <v>401</v>
      </c>
      <c r="S25" s="28" t="s">
        <v>402</v>
      </c>
      <c r="T25" s="28">
        <f>' LR Products'!J34</f>
        <v>2.17</v>
      </c>
      <c r="U25" s="28">
        <v>3.69</v>
      </c>
      <c r="Y25" s="28">
        <v>23787.72</v>
      </c>
      <c r="Z25" s="28">
        <v>1279.903</v>
      </c>
      <c r="AA25" s="28">
        <f t="shared" si="6"/>
        <v>5.3805198648714546E-2</v>
      </c>
      <c r="AB25" s="28">
        <f t="shared" si="3"/>
        <v>1.7867765151320402E-3</v>
      </c>
      <c r="AD25" s="28" t="e">
        <f t="shared" si="4"/>
        <v>#REF!</v>
      </c>
      <c r="AE25" s="28" t="e">
        <f t="shared" si="5"/>
        <v>#REF!</v>
      </c>
    </row>
    <row r="26" spans="1:58">
      <c r="A26" s="402" t="s">
        <v>1824</v>
      </c>
      <c r="B26" s="405">
        <v>37601</v>
      </c>
      <c r="C26" s="405">
        <v>60503</v>
      </c>
      <c r="D26" s="405">
        <v>73863</v>
      </c>
      <c r="E26" s="405">
        <v>86081</v>
      </c>
      <c r="F26" s="405">
        <v>100954</v>
      </c>
      <c r="G26" s="405">
        <v>116387</v>
      </c>
      <c r="H26" s="405">
        <v>136800</v>
      </c>
      <c r="I26" s="405">
        <v>163905</v>
      </c>
      <c r="J26" s="405">
        <v>207696</v>
      </c>
      <c r="K26" s="405">
        <v>500142</v>
      </c>
      <c r="L26" s="28">
        <v>146730</v>
      </c>
      <c r="P26" s="28" t="s">
        <v>744</v>
      </c>
      <c r="Q26" s="28" t="s">
        <v>405</v>
      </c>
      <c r="R26" s="28" t="s">
        <v>404</v>
      </c>
      <c r="S26" s="28" t="s">
        <v>405</v>
      </c>
      <c r="T26" s="28">
        <f>' LR Products'!J35</f>
        <v>2.59</v>
      </c>
      <c r="U26" s="28">
        <v>4.9400000000000004</v>
      </c>
      <c r="Y26" s="28">
        <v>278630.18800000002</v>
      </c>
      <c r="Z26" s="28">
        <v>36746.703000000001</v>
      </c>
      <c r="AA26" s="28">
        <f t="shared" si="6"/>
        <v>0.13188342319892488</v>
      </c>
      <c r="AB26" s="28">
        <f t="shared" si="3"/>
        <v>2.092886061905997E-2</v>
      </c>
      <c r="AD26" s="28" t="e">
        <f t="shared" si="4"/>
        <v>#REF!</v>
      </c>
      <c r="AE26" s="28" t="e">
        <f t="shared" si="5"/>
        <v>#REF!</v>
      </c>
    </row>
    <row r="27" spans="1:58">
      <c r="A27" s="402" t="s">
        <v>1825</v>
      </c>
      <c r="B27" s="54">
        <f>BX7</f>
        <v>4.0571043884719972E-2</v>
      </c>
      <c r="C27" s="54">
        <f t="shared" ref="C27:K27" si="14">BY7</f>
        <v>4.6203737003417789E-2</v>
      </c>
      <c r="D27" s="54">
        <f t="shared" si="14"/>
        <v>5.977285256542228E-2</v>
      </c>
      <c r="E27" s="54">
        <f t="shared" si="14"/>
        <v>6.7175389488945372E-2</v>
      </c>
      <c r="F27" s="54">
        <f t="shared" si="14"/>
        <v>7.9248516742003769E-2</v>
      </c>
      <c r="G27" s="54">
        <f t="shared" si="14"/>
        <v>9.0956986160510608E-2</v>
      </c>
      <c r="H27" s="54">
        <f t="shared" si="14"/>
        <v>0.10356695811366293</v>
      </c>
      <c r="I27" s="54">
        <f t="shared" si="14"/>
        <v>0.12390133023651377</v>
      </c>
      <c r="J27" s="54">
        <f t="shared" si="14"/>
        <v>0.15411829569047486</v>
      </c>
      <c r="K27" s="54">
        <f t="shared" si="14"/>
        <v>0.23451546542583393</v>
      </c>
      <c r="L27" s="54">
        <f>SUM(B27:K27)</f>
        <v>1.0000305753115053</v>
      </c>
      <c r="P27" s="28" t="s">
        <v>1789</v>
      </c>
      <c r="Q27" s="28" t="s">
        <v>408</v>
      </c>
      <c r="R27" s="28" t="s">
        <v>407</v>
      </c>
      <c r="S27" s="28" t="s">
        <v>408</v>
      </c>
      <c r="T27" s="28">
        <f>' LR Products'!J36</f>
        <v>3.4</v>
      </c>
      <c r="U27" s="28">
        <v>4.43</v>
      </c>
      <c r="Y27" s="28">
        <v>188714.32199999999</v>
      </c>
      <c r="Z27" s="28">
        <v>20372.682000000001</v>
      </c>
      <c r="AA27" s="28">
        <f t="shared" si="6"/>
        <v>0.10795514502603572</v>
      </c>
      <c r="AB27" s="28">
        <f t="shared" si="3"/>
        <v>1.4174974256409007E-2</v>
      </c>
      <c r="AD27" s="28" t="e">
        <f t="shared" si="4"/>
        <v>#REF!</v>
      </c>
      <c r="AE27" s="28" t="e">
        <f t="shared" si="5"/>
        <v>#REF!</v>
      </c>
    </row>
    <row r="28" spans="1:58">
      <c r="A28" s="402" t="s">
        <v>2119</v>
      </c>
      <c r="B28" s="405">
        <f>B27*$B$3*1000/($B$4/10)</f>
        <v>63846.166700959075</v>
      </c>
      <c r="C28" s="405">
        <f t="shared" ref="C28:K28" si="15">C27*$B$3*1000/($B$4/10)</f>
        <v>72710.268518343393</v>
      </c>
      <c r="D28" s="405">
        <f t="shared" si="15"/>
        <v>94063.823448257332</v>
      </c>
      <c r="E28" s="405">
        <f t="shared" si="15"/>
        <v>105713.10730134699</v>
      </c>
      <c r="F28" s="405">
        <f t="shared" si="15"/>
        <v>124712.44331525145</v>
      </c>
      <c r="G28" s="405">
        <f t="shared" si="15"/>
        <v>143137.92165470848</v>
      </c>
      <c r="H28" s="405">
        <f t="shared" si="15"/>
        <v>162982.08375472782</v>
      </c>
      <c r="I28" s="405">
        <f t="shared" si="15"/>
        <v>194982.04205020147</v>
      </c>
      <c r="J28" s="405">
        <f t="shared" si="15"/>
        <v>242534.11931625666</v>
      </c>
      <c r="K28" s="405">
        <f t="shared" si="15"/>
        <v>369054.18411405367</v>
      </c>
      <c r="L28" s="99"/>
      <c r="P28" s="28" t="s">
        <v>1799</v>
      </c>
      <c r="Q28" s="28" t="s">
        <v>411</v>
      </c>
      <c r="R28" s="28" t="s">
        <v>410</v>
      </c>
      <c r="S28" s="28" t="s">
        <v>411</v>
      </c>
      <c r="T28" s="28">
        <f>' LR Products'!J37</f>
        <v>10.26</v>
      </c>
      <c r="U28" s="28">
        <v>12.9</v>
      </c>
      <c r="Y28" s="28">
        <v>26806.04</v>
      </c>
      <c r="Z28" s="28">
        <v>13977.877</v>
      </c>
      <c r="AA28" s="28">
        <f t="shared" si="6"/>
        <v>0.52144505492045823</v>
      </c>
      <c r="AB28" s="28">
        <f t="shared" si="3"/>
        <v>2.0134927910573216E-3</v>
      </c>
      <c r="AD28" s="28" t="e">
        <f t="shared" si="4"/>
        <v>#REF!</v>
      </c>
      <c r="AE28" s="28" t="e">
        <f t="shared" si="5"/>
        <v>#REF!</v>
      </c>
    </row>
    <row r="29" spans="1:58">
      <c r="A29" s="402" t="s">
        <v>2654</v>
      </c>
      <c r="B29" s="99">
        <f ca="1">B28*B18/100</f>
        <v>9644.3024043319474</v>
      </c>
      <c r="C29" s="99">
        <f t="shared" ref="C29:K29" ca="1" si="16">C28*C18/100</f>
        <v>11261.772368439071</v>
      </c>
      <c r="D29" s="99">
        <f t="shared" ca="1" si="16"/>
        <v>14272.36843155534</v>
      </c>
      <c r="E29" s="99">
        <f t="shared" ca="1" si="16"/>
        <v>15847.881169780265</v>
      </c>
      <c r="F29" s="99">
        <f t="shared" ca="1" si="16"/>
        <v>18399.248622837225</v>
      </c>
      <c r="G29" s="99">
        <f t="shared" ca="1" si="16"/>
        <v>21268.937023581937</v>
      </c>
      <c r="H29" s="99">
        <f t="shared" ca="1" si="16"/>
        <v>24400.699275434137</v>
      </c>
      <c r="I29" s="99">
        <f t="shared" ca="1" si="16"/>
        <v>28258.320079629564</v>
      </c>
      <c r="J29" s="99">
        <f t="shared" ca="1" si="16"/>
        <v>33731.199847664146</v>
      </c>
      <c r="K29" s="99">
        <f t="shared" ca="1" si="16"/>
        <v>47279.725097703042</v>
      </c>
      <c r="P29" s="28" t="s">
        <v>1799</v>
      </c>
      <c r="Q29" s="28" t="s">
        <v>414</v>
      </c>
      <c r="R29" s="28" t="s">
        <v>413</v>
      </c>
      <c r="S29" s="28" t="s">
        <v>414</v>
      </c>
      <c r="T29" s="28">
        <f>' LR Products'!J38</f>
        <v>15.04</v>
      </c>
      <c r="U29" s="28">
        <v>22.52</v>
      </c>
      <c r="Y29" s="28">
        <v>115801.80100000001</v>
      </c>
      <c r="Z29" s="28">
        <v>103717.227</v>
      </c>
      <c r="AA29" s="28">
        <f t="shared" si="6"/>
        <v>0.89564433458163573</v>
      </c>
      <c r="AB29" s="28">
        <f t="shared" si="3"/>
        <v>8.6982669392776605E-3</v>
      </c>
      <c r="AD29" s="28" t="e">
        <f t="shared" si="4"/>
        <v>#REF!</v>
      </c>
      <c r="AE29" s="28" t="e">
        <f t="shared" si="5"/>
        <v>#REF!</v>
      </c>
    </row>
    <row r="30" spans="1:58">
      <c r="B30" s="51"/>
      <c r="C30" s="51"/>
      <c r="D30" s="51"/>
      <c r="E30" s="51"/>
      <c r="F30" s="51"/>
      <c r="G30" s="51"/>
      <c r="H30" s="51"/>
      <c r="I30" s="51"/>
      <c r="J30" s="51"/>
      <c r="K30" s="51"/>
      <c r="P30" s="28" t="s">
        <v>1799</v>
      </c>
      <c r="Q30" s="28" t="s">
        <v>417</v>
      </c>
      <c r="R30" s="28" t="s">
        <v>416</v>
      </c>
      <c r="S30" s="28" t="s">
        <v>417</v>
      </c>
      <c r="T30" s="28">
        <f>' LR Products'!J39</f>
        <v>15.41</v>
      </c>
      <c r="U30" s="28">
        <v>23.42</v>
      </c>
      <c r="Y30" s="28">
        <v>46353.235000000001</v>
      </c>
      <c r="Z30" s="28">
        <v>40931.347999999998</v>
      </c>
      <c r="AA30" s="28">
        <f t="shared" si="6"/>
        <v>0.88303109804526048</v>
      </c>
      <c r="AB30" s="28">
        <f t="shared" si="3"/>
        <v>3.48174905784987E-3</v>
      </c>
      <c r="AD30" s="28" t="e">
        <f t="shared" si="4"/>
        <v>#REF!</v>
      </c>
      <c r="AE30" s="28" t="e">
        <f t="shared" si="5"/>
        <v>#REF!</v>
      </c>
    </row>
    <row r="31" spans="1:58">
      <c r="A31" s="402" t="s">
        <v>2708</v>
      </c>
      <c r="B31" s="407">
        <f ca="1">B29/B28</f>
        <v>0.15105530844950593</v>
      </c>
      <c r="C31" s="407">
        <f t="shared" ref="C31:K31" ca="1" si="17">C29/C28</f>
        <v>0.15488558353484755</v>
      </c>
      <c r="D31" s="407">
        <f t="shared" ca="1" si="17"/>
        <v>0.1517306857019935</v>
      </c>
      <c r="E31" s="407">
        <f t="shared" ca="1" si="17"/>
        <v>0.14991406055830064</v>
      </c>
      <c r="F31" s="407">
        <f t="shared" ca="1" si="17"/>
        <v>0.14753338266597113</v>
      </c>
      <c r="G31" s="407">
        <f t="shared" ca="1" si="17"/>
        <v>0.14859051170862311</v>
      </c>
      <c r="H31" s="407">
        <f t="shared" ca="1" si="17"/>
        <v>0.14971399747321193</v>
      </c>
      <c r="I31" s="407">
        <f t="shared" ca="1" si="17"/>
        <v>0.14492780864585456</v>
      </c>
      <c r="J31" s="407">
        <f t="shared" ca="1" si="17"/>
        <v>0.13907816328175976</v>
      </c>
      <c r="K31" s="407">
        <f t="shared" ca="1" si="17"/>
        <v>0.12811052450523516</v>
      </c>
      <c r="P31" s="28" t="s">
        <v>1803</v>
      </c>
      <c r="Q31" s="28" t="s">
        <v>420</v>
      </c>
      <c r="R31" s="28" t="s">
        <v>419</v>
      </c>
      <c r="S31" s="28" t="s">
        <v>420</v>
      </c>
      <c r="T31" s="28">
        <f>' LR Products'!J40</f>
        <v>3.74</v>
      </c>
      <c r="U31" s="28">
        <v>5.21</v>
      </c>
      <c r="Y31" s="28">
        <v>5036.3549999999996</v>
      </c>
      <c r="Z31" s="28">
        <v>872.803</v>
      </c>
      <c r="AA31" s="28">
        <f t="shared" si="6"/>
        <v>0.17330053183304198</v>
      </c>
      <c r="AB31" s="28">
        <f t="shared" si="3"/>
        <v>3.7829774504945511E-4</v>
      </c>
      <c r="AD31" s="28" t="e">
        <f t="shared" si="4"/>
        <v>#REF!</v>
      </c>
      <c r="AE31" s="28" t="e">
        <f t="shared" si="5"/>
        <v>#REF!</v>
      </c>
    </row>
    <row r="32" spans="1:58">
      <c r="A32" s="402" t="s">
        <v>2709</v>
      </c>
      <c r="B32" s="407">
        <f ca="1">B29/B26</f>
        <v>0.256490582812477</v>
      </c>
      <c r="C32" s="407">
        <f t="shared" ref="C32:K32" ca="1" si="18">C29/C26</f>
        <v>0.18613576795264816</v>
      </c>
      <c r="D32" s="407">
        <f t="shared" ca="1" si="18"/>
        <v>0.19322757580324845</v>
      </c>
      <c r="E32" s="407">
        <f t="shared" ca="1" si="18"/>
        <v>0.18410428747087354</v>
      </c>
      <c r="F32" s="407">
        <f t="shared" ca="1" si="18"/>
        <v>0.18225378511834325</v>
      </c>
      <c r="G32" s="407">
        <f t="shared" ca="1" si="18"/>
        <v>0.18274323613102783</v>
      </c>
      <c r="H32" s="407">
        <f t="shared" ca="1" si="18"/>
        <v>0.17836768476194545</v>
      </c>
      <c r="I32" s="407">
        <f t="shared" ca="1" si="18"/>
        <v>0.17240669948829848</v>
      </c>
      <c r="J32" s="407">
        <f t="shared" ca="1" si="18"/>
        <v>0.16240659351968331</v>
      </c>
      <c r="K32" s="407">
        <f t="shared" ca="1" si="18"/>
        <v>9.4532602936172216E-2</v>
      </c>
      <c r="P32" s="28" t="s">
        <v>1800</v>
      </c>
      <c r="Q32" s="28" t="s">
        <v>423</v>
      </c>
      <c r="R32" s="28" t="s">
        <v>422</v>
      </c>
      <c r="S32" s="28" t="s">
        <v>423</v>
      </c>
      <c r="T32" s="28">
        <f>' LR Products'!J41</f>
        <v>2.7</v>
      </c>
      <c r="U32" s="28">
        <v>4.3</v>
      </c>
      <c r="Y32" s="28">
        <v>33241.603999999999</v>
      </c>
      <c r="Z32" s="28">
        <v>4086.5859999999998</v>
      </c>
      <c r="AA32" s="28">
        <f t="shared" si="6"/>
        <v>0.12293588480267077</v>
      </c>
      <c r="AB32" s="28">
        <f t="shared" si="3"/>
        <v>2.4968898806829441E-3</v>
      </c>
      <c r="AD32" s="28" t="e">
        <f t="shared" si="4"/>
        <v>#REF!</v>
      </c>
      <c r="AE32" s="28" t="e">
        <f t="shared" si="5"/>
        <v>#REF!</v>
      </c>
    </row>
    <row r="33" spans="16:31">
      <c r="P33" s="50" t="s">
        <v>1795</v>
      </c>
      <c r="Q33" s="28" t="s">
        <v>426</v>
      </c>
      <c r="R33" s="28" t="s">
        <v>425</v>
      </c>
      <c r="S33" s="28" t="s">
        <v>426</v>
      </c>
      <c r="T33" s="28">
        <f>' LR Products'!J42</f>
        <v>0.56000000000000005</v>
      </c>
      <c r="U33" s="28">
        <v>0.68</v>
      </c>
      <c r="Y33" s="28">
        <v>137212.217</v>
      </c>
      <c r="Z33" s="28">
        <v>22693.958999999999</v>
      </c>
      <c r="AA33" s="28">
        <f t="shared" si="6"/>
        <v>0.1653931369682628</v>
      </c>
      <c r="AB33" s="28">
        <f t="shared" si="3"/>
        <v>1.0306476069366938E-2</v>
      </c>
      <c r="AD33" s="28" t="e">
        <f t="shared" si="4"/>
        <v>#REF!</v>
      </c>
      <c r="AE33" s="28" t="e">
        <f t="shared" si="5"/>
        <v>#REF!</v>
      </c>
    </row>
    <row r="34" spans="16:31">
      <c r="P34" s="28" t="s">
        <v>1826</v>
      </c>
      <c r="Q34" s="28" t="s">
        <v>429</v>
      </c>
      <c r="R34" s="28" t="s">
        <v>428</v>
      </c>
      <c r="S34" s="28" t="s">
        <v>429</v>
      </c>
      <c r="T34" s="28">
        <f>' LR Products'!J43</f>
        <v>3.06</v>
      </c>
      <c r="U34" s="28">
        <v>4.93</v>
      </c>
      <c r="Y34" s="28">
        <v>73597.544999999998</v>
      </c>
      <c r="Z34" s="28">
        <v>12718.915999999999</v>
      </c>
      <c r="AA34" s="28">
        <f t="shared" si="6"/>
        <v>0.17281712317985606</v>
      </c>
      <c r="AB34" s="28">
        <f t="shared" ref="AB34:AB66" si="19">Y34/$Y$67</f>
        <v>5.5281617984982798E-3</v>
      </c>
      <c r="AD34" s="28" t="e">
        <f t="shared" ref="AD34:AD65" si="20">T34*$B$1/$T$68</f>
        <v>#REF!</v>
      </c>
      <c r="AE34" s="28" t="e">
        <f t="shared" ref="AE34:AE65" si="21">U34*$C$1/$U$68</f>
        <v>#REF!</v>
      </c>
    </row>
    <row r="35" spans="16:31">
      <c r="P35" s="28" t="s">
        <v>1810</v>
      </c>
      <c r="Q35" s="28" t="s">
        <v>432</v>
      </c>
      <c r="R35" s="28" t="s">
        <v>431</v>
      </c>
      <c r="S35" s="28" t="s">
        <v>432</v>
      </c>
      <c r="T35" s="28">
        <f>' LR Products'!J44</f>
        <v>1.04</v>
      </c>
      <c r="U35" s="28">
        <v>0.86</v>
      </c>
      <c r="Y35" s="28">
        <v>178150.992</v>
      </c>
      <c r="Z35" s="28">
        <v>87567.687999999995</v>
      </c>
      <c r="AA35" s="28">
        <f t="shared" si="6"/>
        <v>0.49153634799855617</v>
      </c>
      <c r="AB35" s="28">
        <f t="shared" si="19"/>
        <v>1.3381526630256112E-2</v>
      </c>
      <c r="AD35" s="28" t="e">
        <f t="shared" si="20"/>
        <v>#REF!</v>
      </c>
      <c r="AE35" s="28" t="e">
        <f t="shared" si="21"/>
        <v>#REF!</v>
      </c>
    </row>
    <row r="36" spans="16:31">
      <c r="P36" s="28" t="s">
        <v>1800</v>
      </c>
      <c r="Q36" s="28" t="s">
        <v>435</v>
      </c>
      <c r="R36" s="28" t="s">
        <v>434</v>
      </c>
      <c r="S36" s="28" t="s">
        <v>435</v>
      </c>
      <c r="T36" s="28">
        <f>' LR Products'!J45</f>
        <v>6.41</v>
      </c>
      <c r="U36" s="28">
        <v>8.69</v>
      </c>
      <c r="Y36" s="28">
        <v>41614.857000000004</v>
      </c>
      <c r="Z36" s="28">
        <v>16025.67</v>
      </c>
      <c r="AA36" s="28">
        <f t="shared" si="6"/>
        <v>0.38509491934575191</v>
      </c>
      <c r="AB36" s="28">
        <f t="shared" si="19"/>
        <v>3.125833378237939E-3</v>
      </c>
      <c r="AD36" s="28" t="e">
        <f t="shared" si="20"/>
        <v>#REF!</v>
      </c>
      <c r="AE36" s="28" t="e">
        <f t="shared" si="21"/>
        <v>#REF!</v>
      </c>
    </row>
    <row r="37" spans="16:31">
      <c r="P37" s="50" t="s">
        <v>1795</v>
      </c>
      <c r="Q37" s="28" t="s">
        <v>438</v>
      </c>
      <c r="R37" s="28" t="s">
        <v>437</v>
      </c>
      <c r="S37" s="28" t="s">
        <v>438</v>
      </c>
      <c r="T37" s="28">
        <f>' LR Products'!J46</f>
        <v>6.01</v>
      </c>
      <c r="U37" s="28">
        <v>8.8699999999999992</v>
      </c>
      <c r="Y37" s="28">
        <v>11419.288</v>
      </c>
      <c r="Z37" s="28">
        <v>4652.3410000000003</v>
      </c>
      <c r="AA37" s="28">
        <f t="shared" si="6"/>
        <v>0.40741077727438002</v>
      </c>
      <c r="AB37" s="28">
        <f t="shared" si="19"/>
        <v>8.5774154134692711E-4</v>
      </c>
      <c r="AD37" s="28" t="e">
        <f t="shared" si="20"/>
        <v>#REF!</v>
      </c>
      <c r="AE37" s="28" t="e">
        <f t="shared" si="21"/>
        <v>#REF!</v>
      </c>
    </row>
    <row r="38" spans="16:31">
      <c r="P38" s="28" t="s">
        <v>1803</v>
      </c>
      <c r="Q38" s="28" t="s">
        <v>441</v>
      </c>
      <c r="R38" s="28" t="s">
        <v>440</v>
      </c>
      <c r="S38" s="28" t="s">
        <v>441</v>
      </c>
      <c r="T38" s="28">
        <f>' LR Products'!J47</f>
        <v>6.81</v>
      </c>
      <c r="U38" s="28">
        <v>1.67</v>
      </c>
      <c r="Y38" s="28">
        <v>686.12199999999996</v>
      </c>
      <c r="Z38" s="28">
        <v>211.11699999999999</v>
      </c>
      <c r="AA38" s="28">
        <f t="shared" si="6"/>
        <v>0.30769600741559083</v>
      </c>
      <c r="AB38" s="28">
        <f t="shared" si="19"/>
        <v>5.1536955879564144E-5</v>
      </c>
      <c r="AD38" s="28" t="e">
        <f t="shared" si="20"/>
        <v>#REF!</v>
      </c>
      <c r="AE38" s="28" t="e">
        <f t="shared" si="21"/>
        <v>#REF!</v>
      </c>
    </row>
    <row r="39" spans="16:31">
      <c r="P39" s="28" t="s">
        <v>1803</v>
      </c>
      <c r="Q39" s="28" t="s">
        <v>444</v>
      </c>
      <c r="R39" s="28" t="s">
        <v>443</v>
      </c>
      <c r="S39" s="28" t="s">
        <v>444</v>
      </c>
      <c r="T39" s="28">
        <f>' LR Products'!J48</f>
        <v>12.06</v>
      </c>
      <c r="U39" s="28">
        <v>1.78</v>
      </c>
      <c r="Y39" s="28">
        <v>113.059</v>
      </c>
      <c r="Z39" s="28">
        <v>73.013000000000005</v>
      </c>
      <c r="AA39" s="28">
        <f t="shared" si="6"/>
        <v>0.6457955580714495</v>
      </c>
      <c r="AB39" s="28">
        <f t="shared" si="19"/>
        <v>8.4922458320643296E-6</v>
      </c>
      <c r="AD39" s="28" t="e">
        <f t="shared" si="20"/>
        <v>#REF!</v>
      </c>
      <c r="AE39" s="28" t="e">
        <f t="shared" si="21"/>
        <v>#REF!</v>
      </c>
    </row>
    <row r="40" spans="16:31">
      <c r="P40" s="28" t="s">
        <v>1803</v>
      </c>
      <c r="Q40" s="28" t="s">
        <v>447</v>
      </c>
      <c r="R40" s="28" t="s">
        <v>446</v>
      </c>
      <c r="S40" s="28" t="s">
        <v>447</v>
      </c>
      <c r="T40" s="28">
        <f>' LR Products'!J49</f>
        <v>11.59</v>
      </c>
      <c r="U40" s="28">
        <v>7.21</v>
      </c>
      <c r="Y40" s="28">
        <v>18103.241999999998</v>
      </c>
      <c r="Z40" s="28">
        <v>6320.5320000000002</v>
      </c>
      <c r="AA40" s="28">
        <f t="shared" si="6"/>
        <v>0.34913812675099859</v>
      </c>
      <c r="AB40" s="28">
        <f t="shared" si="19"/>
        <v>1.3597960482699468E-3</v>
      </c>
      <c r="AD40" s="28" t="e">
        <f t="shared" si="20"/>
        <v>#REF!</v>
      </c>
      <c r="AE40" s="28" t="e">
        <f t="shared" si="21"/>
        <v>#REF!</v>
      </c>
    </row>
    <row r="41" spans="16:31">
      <c r="P41" s="28" t="s">
        <v>1813</v>
      </c>
      <c r="Q41" s="28" t="s">
        <v>450</v>
      </c>
      <c r="R41" s="28" t="s">
        <v>449</v>
      </c>
      <c r="S41" s="28" t="s">
        <v>450</v>
      </c>
      <c r="T41" s="28">
        <f>' LR Products'!J50</f>
        <v>12.22</v>
      </c>
      <c r="U41" s="28">
        <v>0.02</v>
      </c>
      <c r="Y41" s="28">
        <v>95229.497000000003</v>
      </c>
      <c r="Z41" s="28">
        <v>81801.937999999995</v>
      </c>
      <c r="AA41" s="28">
        <f t="shared" si="6"/>
        <v>0.85899790061896464</v>
      </c>
      <c r="AB41" s="28">
        <f t="shared" si="19"/>
        <v>7.1530112506552569E-3</v>
      </c>
      <c r="AD41" s="28" t="e">
        <f t="shared" si="20"/>
        <v>#REF!</v>
      </c>
      <c r="AE41" s="28" t="e">
        <f t="shared" si="21"/>
        <v>#REF!</v>
      </c>
    </row>
    <row r="42" spans="16:31">
      <c r="P42" s="28" t="s">
        <v>1813</v>
      </c>
      <c r="Q42" s="28" t="s">
        <v>453</v>
      </c>
      <c r="R42" s="28" t="s">
        <v>452</v>
      </c>
      <c r="S42" s="28" t="s">
        <v>453</v>
      </c>
      <c r="T42" s="28">
        <f>' LR Products'!J51</f>
        <v>13.07</v>
      </c>
      <c r="U42" s="28">
        <v>11.91</v>
      </c>
      <c r="Y42" s="28">
        <v>62008.213000000003</v>
      </c>
      <c r="Z42" s="28">
        <v>42095.133000000002</v>
      </c>
      <c r="AA42" s="28">
        <f t="shared" si="6"/>
        <v>0.67886383050580734</v>
      </c>
      <c r="AB42" s="28">
        <f t="shared" si="19"/>
        <v>4.6576476742497923E-3</v>
      </c>
      <c r="AD42" s="28" t="e">
        <f t="shared" si="20"/>
        <v>#REF!</v>
      </c>
      <c r="AE42" s="28" t="e">
        <f t="shared" si="21"/>
        <v>#REF!</v>
      </c>
    </row>
    <row r="43" spans="16:31">
      <c r="P43" s="28" t="s">
        <v>1803</v>
      </c>
      <c r="Q43" s="28" t="s">
        <v>456</v>
      </c>
      <c r="R43" s="28" t="s">
        <v>455</v>
      </c>
      <c r="S43" s="28" t="s">
        <v>456</v>
      </c>
      <c r="T43" s="28">
        <f>' LR Products'!J52</f>
        <v>9.57</v>
      </c>
      <c r="U43" s="28">
        <v>8.68</v>
      </c>
      <c r="Y43" s="28">
        <v>10243.248</v>
      </c>
      <c r="Z43" s="28">
        <v>4379.3559999999998</v>
      </c>
      <c r="AA43" s="28">
        <f t="shared" si="6"/>
        <v>0.42753587533954074</v>
      </c>
      <c r="AB43" s="28">
        <f t="shared" si="19"/>
        <v>7.6940517901981516E-4</v>
      </c>
      <c r="AD43" s="28" t="e">
        <f t="shared" si="20"/>
        <v>#REF!</v>
      </c>
      <c r="AE43" s="28" t="e">
        <f t="shared" si="21"/>
        <v>#REF!</v>
      </c>
    </row>
    <row r="44" spans="16:31">
      <c r="P44" s="28" t="s">
        <v>1807</v>
      </c>
      <c r="Q44" s="52" t="s">
        <v>459</v>
      </c>
      <c r="R44" s="52" t="s">
        <v>458</v>
      </c>
      <c r="S44" s="28" t="s">
        <v>459</v>
      </c>
      <c r="T44" s="28">
        <f>' LR Products'!J53</f>
        <v>12.22</v>
      </c>
      <c r="U44" s="28">
        <v>2.69</v>
      </c>
      <c r="W44" s="52"/>
      <c r="X44" s="52"/>
      <c r="Y44" s="28">
        <v>237456.42199999999</v>
      </c>
      <c r="Z44" s="28">
        <v>104129.625</v>
      </c>
      <c r="AA44" s="28">
        <f t="shared" si="6"/>
        <v>0.43852098891644214</v>
      </c>
      <c r="AB44" s="28">
        <f t="shared" si="19"/>
        <v>1.7836159085313056E-2</v>
      </c>
      <c r="AD44" s="28" t="e">
        <f t="shared" si="20"/>
        <v>#REF!</v>
      </c>
      <c r="AE44" s="28" t="e">
        <f t="shared" si="21"/>
        <v>#REF!</v>
      </c>
    </row>
    <row r="45" spans="16:31">
      <c r="P45" s="28" t="s">
        <v>1807</v>
      </c>
      <c r="Q45" s="28" t="s">
        <v>462</v>
      </c>
      <c r="R45" s="28" t="s">
        <v>461</v>
      </c>
      <c r="S45" s="28" t="s">
        <v>462</v>
      </c>
      <c r="T45" s="28">
        <f>' LR Products'!J54</f>
        <v>7.7</v>
      </c>
      <c r="U45" s="28">
        <v>8.6300000000000008</v>
      </c>
      <c r="Y45" s="28">
        <v>21707.631000000001</v>
      </c>
      <c r="Z45" s="28">
        <v>8970.9529999999995</v>
      </c>
      <c r="AA45" s="28">
        <f t="shared" si="6"/>
        <v>0.41326264482752628</v>
      </c>
      <c r="AB45" s="28">
        <f t="shared" si="19"/>
        <v>1.6305339591163948E-3</v>
      </c>
      <c r="AD45" s="28" t="e">
        <f t="shared" si="20"/>
        <v>#REF!</v>
      </c>
      <c r="AE45" s="28" t="e">
        <f t="shared" si="21"/>
        <v>#REF!</v>
      </c>
    </row>
    <row r="46" spans="16:31">
      <c r="P46" s="28" t="s">
        <v>1803</v>
      </c>
      <c r="Q46" s="28" t="s">
        <v>465</v>
      </c>
      <c r="R46" s="28" t="s">
        <v>464</v>
      </c>
      <c r="S46" s="28" t="s">
        <v>465</v>
      </c>
      <c r="T46" s="28">
        <f>' LR Products'!J55</f>
        <v>6.4</v>
      </c>
      <c r="U46" s="28">
        <v>6.53</v>
      </c>
      <c r="Y46" s="28">
        <v>349668.96100000001</v>
      </c>
      <c r="Z46" s="28">
        <v>98511.32</v>
      </c>
      <c r="AA46" s="28">
        <f t="shared" si="6"/>
        <v>0.28172737928546082</v>
      </c>
      <c r="AB46" s="28">
        <f t="shared" si="19"/>
        <v>2.6264824354138239E-2</v>
      </c>
      <c r="AD46" s="28" t="e">
        <f t="shared" si="20"/>
        <v>#REF!</v>
      </c>
      <c r="AE46" s="28" t="e">
        <f t="shared" si="21"/>
        <v>#REF!</v>
      </c>
    </row>
    <row r="47" spans="16:31">
      <c r="P47" s="50" t="s">
        <v>1795</v>
      </c>
      <c r="Q47" s="28" t="s">
        <v>468</v>
      </c>
      <c r="R47" s="28" t="s">
        <v>467</v>
      </c>
      <c r="S47" s="28" t="s">
        <v>468</v>
      </c>
      <c r="T47" s="28">
        <f>' LR Products'!J56</f>
        <v>1.19</v>
      </c>
      <c r="U47" s="28">
        <v>1.6</v>
      </c>
      <c r="Y47" s="28">
        <v>148064.63200000001</v>
      </c>
      <c r="Z47" s="28">
        <v>1439.367</v>
      </c>
      <c r="AA47" s="28">
        <f t="shared" si="6"/>
        <v>9.7212074251466062E-3</v>
      </c>
      <c r="AB47" s="28">
        <f t="shared" si="19"/>
        <v>1.1121637852609161E-2</v>
      </c>
      <c r="AD47" s="28" t="e">
        <f t="shared" si="20"/>
        <v>#REF!</v>
      </c>
      <c r="AE47" s="28" t="e">
        <f t="shared" si="21"/>
        <v>#REF!</v>
      </c>
    </row>
    <row r="48" spans="16:31">
      <c r="P48" s="50" t="s">
        <v>1795</v>
      </c>
      <c r="Q48" s="28" t="s">
        <v>471</v>
      </c>
      <c r="R48" s="28" t="s">
        <v>470</v>
      </c>
      <c r="S48" s="28" t="s">
        <v>471</v>
      </c>
      <c r="T48" s="28">
        <f>' LR Products'!J57</f>
        <v>1.3</v>
      </c>
      <c r="U48" s="28">
        <v>1.62</v>
      </c>
      <c r="Y48" s="28">
        <v>15753.084999999999</v>
      </c>
      <c r="Z48" s="28">
        <v>5.2149999999999999</v>
      </c>
      <c r="AA48" s="28">
        <f t="shared" si="6"/>
        <v>3.3104626808018873E-4</v>
      </c>
      <c r="AB48" s="28">
        <f t="shared" si="19"/>
        <v>1.1832677666829276E-3</v>
      </c>
      <c r="AD48" s="28" t="e">
        <f t="shared" si="20"/>
        <v>#REF!</v>
      </c>
      <c r="AE48" s="28" t="e">
        <f t="shared" si="21"/>
        <v>#REF!</v>
      </c>
    </row>
    <row r="49" spans="16:31">
      <c r="P49" s="50" t="s">
        <v>1795</v>
      </c>
      <c r="Q49" s="28" t="s">
        <v>474</v>
      </c>
      <c r="R49" s="28" t="s">
        <v>473</v>
      </c>
      <c r="S49" s="28" t="s">
        <v>474</v>
      </c>
      <c r="T49" s="28">
        <f>' LR Products'!J58</f>
        <v>1.93</v>
      </c>
      <c r="U49" s="28">
        <v>2.13</v>
      </c>
      <c r="Y49" s="28">
        <v>71486.506999999998</v>
      </c>
      <c r="Z49" s="28">
        <v>11.702</v>
      </c>
      <c r="AA49" s="28">
        <f t="shared" si="6"/>
        <v>1.636952271286664E-4</v>
      </c>
      <c r="AB49" s="28">
        <f t="shared" si="19"/>
        <v>5.3695945578820575E-3</v>
      </c>
      <c r="AD49" s="28" t="e">
        <f t="shared" si="20"/>
        <v>#REF!</v>
      </c>
      <c r="AE49" s="28" t="e">
        <f t="shared" si="21"/>
        <v>#REF!</v>
      </c>
    </row>
    <row r="50" spans="16:31">
      <c r="P50" s="28" t="s">
        <v>1792</v>
      </c>
      <c r="Q50" s="28" t="s">
        <v>476</v>
      </c>
      <c r="R50" s="28" t="s">
        <v>27</v>
      </c>
      <c r="S50" s="28" t="s">
        <v>476</v>
      </c>
      <c r="T50" s="28">
        <f>' LR Products'!J59</f>
        <v>2.16</v>
      </c>
      <c r="U50" s="28">
        <v>2.52</v>
      </c>
      <c r="Y50" s="28">
        <v>2094.3220000000001</v>
      </c>
      <c r="Z50" s="28">
        <v>5.0030000000000001</v>
      </c>
      <c r="AA50" s="28">
        <f t="shared" si="6"/>
        <v>2.3888399205088807E-3</v>
      </c>
      <c r="AB50" s="28">
        <f t="shared" si="19"/>
        <v>1.5731164503047642E-4</v>
      </c>
      <c r="AD50" s="28" t="e">
        <f t="shared" si="20"/>
        <v>#REF!</v>
      </c>
      <c r="AE50" s="28" t="e">
        <f t="shared" si="21"/>
        <v>#REF!</v>
      </c>
    </row>
    <row r="51" spans="16:31">
      <c r="P51" s="50" t="s">
        <v>1817</v>
      </c>
      <c r="Q51" s="28" t="s">
        <v>479</v>
      </c>
      <c r="R51" s="28" t="s">
        <v>478</v>
      </c>
      <c r="S51" s="28" t="s">
        <v>479</v>
      </c>
      <c r="T51" s="28">
        <f>' LR Products'!J60</f>
        <v>1.46</v>
      </c>
      <c r="U51" s="28">
        <v>1.78</v>
      </c>
      <c r="Y51" s="28">
        <v>1938648.733</v>
      </c>
      <c r="Z51" s="28">
        <v>4902.4830000000002</v>
      </c>
      <c r="AA51" s="28">
        <f t="shared" si="6"/>
        <v>2.5288144863734839E-3</v>
      </c>
      <c r="AB51" s="28">
        <f t="shared" si="19"/>
        <v>0.14561849673759758</v>
      </c>
      <c r="AD51" s="28" t="e">
        <f t="shared" si="20"/>
        <v>#REF!</v>
      </c>
      <c r="AE51" s="28" t="e">
        <f t="shared" si="21"/>
        <v>#REF!</v>
      </c>
    </row>
    <row r="52" spans="16:31">
      <c r="P52" s="50" t="s">
        <v>1787</v>
      </c>
      <c r="Q52" s="28" t="s">
        <v>482</v>
      </c>
      <c r="R52" s="28" t="s">
        <v>481</v>
      </c>
      <c r="S52" s="28" t="s">
        <v>482</v>
      </c>
      <c r="T52" s="28">
        <f>' LR Products'!J61</f>
        <v>1.34</v>
      </c>
      <c r="U52" s="28">
        <v>1.91</v>
      </c>
      <c r="Y52" s="28">
        <v>913283.71900000004</v>
      </c>
      <c r="Z52" s="28">
        <v>76110.156000000003</v>
      </c>
      <c r="AA52" s="28">
        <f t="shared" si="6"/>
        <v>8.3336814635584233E-2</v>
      </c>
      <c r="AB52" s="28">
        <f t="shared" si="19"/>
        <v>6.8599844825887032E-2</v>
      </c>
      <c r="AD52" s="28" t="e">
        <f t="shared" si="20"/>
        <v>#REF!</v>
      </c>
      <c r="AE52" s="28" t="e">
        <f t="shared" si="21"/>
        <v>#REF!</v>
      </c>
    </row>
    <row r="53" spans="16:31">
      <c r="P53" s="50" t="s">
        <v>1807</v>
      </c>
      <c r="Q53" s="28" t="s">
        <v>485</v>
      </c>
      <c r="R53" s="28" t="s">
        <v>484</v>
      </c>
      <c r="S53" s="28" t="s">
        <v>485</v>
      </c>
      <c r="T53" s="28">
        <f>' LR Products'!J62</f>
        <v>1.37</v>
      </c>
      <c r="U53" s="28">
        <v>1.63</v>
      </c>
      <c r="Y53" s="28">
        <v>192562.31400000001</v>
      </c>
      <c r="Z53" s="28">
        <v>1265.454</v>
      </c>
      <c r="AA53" s="28">
        <f t="shared" si="6"/>
        <v>6.5716597069974958E-3</v>
      </c>
      <c r="AB53" s="28">
        <f t="shared" si="19"/>
        <v>1.4464010016709532E-2</v>
      </c>
      <c r="AD53" s="28" t="e">
        <f t="shared" si="20"/>
        <v>#REF!</v>
      </c>
      <c r="AE53" s="28" t="e">
        <f t="shared" si="21"/>
        <v>#REF!</v>
      </c>
    </row>
    <row r="54" spans="16:31">
      <c r="P54" s="50" t="s">
        <v>1807</v>
      </c>
      <c r="Q54" s="28" t="s">
        <v>488</v>
      </c>
      <c r="R54" s="28" t="s">
        <v>487</v>
      </c>
      <c r="S54" s="28" t="s">
        <v>488</v>
      </c>
      <c r="T54" s="28">
        <f>' LR Products'!J63</f>
        <v>1.34</v>
      </c>
      <c r="U54" s="28">
        <v>1.59</v>
      </c>
      <c r="Y54" s="28">
        <v>22583.327000000001</v>
      </c>
      <c r="Z54" s="28">
        <v>232.52799999999999</v>
      </c>
      <c r="AA54" s="28">
        <f t="shared" si="6"/>
        <v>1.0296445691992149E-2</v>
      </c>
      <c r="AB54" s="28">
        <f t="shared" si="19"/>
        <v>1.6963104625894079E-3</v>
      </c>
      <c r="AD54" s="28" t="e">
        <f t="shared" si="20"/>
        <v>#REF!</v>
      </c>
      <c r="AE54" s="28" t="e">
        <f t="shared" si="21"/>
        <v>#REF!</v>
      </c>
    </row>
    <row r="55" spans="16:31">
      <c r="P55" s="50" t="s">
        <v>1807</v>
      </c>
      <c r="Q55" s="28" t="s">
        <v>491</v>
      </c>
      <c r="R55" s="28" t="s">
        <v>490</v>
      </c>
      <c r="S55" s="28" t="s">
        <v>491</v>
      </c>
      <c r="T55" s="28">
        <f>' LR Products'!J64</f>
        <v>0.86</v>
      </c>
      <c r="U55" s="28">
        <v>1.29</v>
      </c>
      <c r="Y55" s="28">
        <v>147721.81400000001</v>
      </c>
      <c r="Z55" s="28">
        <v>30879.768</v>
      </c>
      <c r="AA55" s="28">
        <f t="shared" si="6"/>
        <v>0.20904000000974804</v>
      </c>
      <c r="AB55" s="28">
        <f t="shared" si="19"/>
        <v>1.1095887627225453E-2</v>
      </c>
      <c r="AD55" s="28" t="e">
        <f t="shared" si="20"/>
        <v>#REF!</v>
      </c>
      <c r="AE55" s="28" t="e">
        <f t="shared" si="21"/>
        <v>#REF!</v>
      </c>
    </row>
    <row r="56" spans="16:31">
      <c r="P56" s="50" t="s">
        <v>1817</v>
      </c>
      <c r="Q56" s="28" t="s">
        <v>494</v>
      </c>
      <c r="R56" s="28" t="s">
        <v>493</v>
      </c>
      <c r="S56" s="28" t="s">
        <v>494</v>
      </c>
      <c r="T56" s="28">
        <f>' LR Products'!J65</f>
        <v>1.84</v>
      </c>
      <c r="U56" s="28">
        <v>1.93</v>
      </c>
      <c r="Y56" s="28">
        <v>4928.192</v>
      </c>
      <c r="Z56" s="28">
        <v>14.535</v>
      </c>
      <c r="AA56" s="28">
        <f t="shared" si="6"/>
        <v>2.9493574925652248E-3</v>
      </c>
      <c r="AB56" s="28">
        <f t="shared" si="19"/>
        <v>3.7017325442125594E-4</v>
      </c>
      <c r="AD56" s="28" t="e">
        <f t="shared" si="20"/>
        <v>#REF!</v>
      </c>
      <c r="AE56" s="28" t="e">
        <f t="shared" si="21"/>
        <v>#REF!</v>
      </c>
    </row>
    <row r="57" spans="16:31">
      <c r="P57" s="50" t="s">
        <v>1813</v>
      </c>
      <c r="Q57" s="28" t="s">
        <v>497</v>
      </c>
      <c r="R57" s="28" t="s">
        <v>496</v>
      </c>
      <c r="S57" s="28" t="s">
        <v>497</v>
      </c>
      <c r="T57" s="28">
        <f>' LR Products'!J66</f>
        <v>1.57</v>
      </c>
      <c r="U57" s="28">
        <v>1.77</v>
      </c>
      <c r="Y57" s="28">
        <v>535553.48600000003</v>
      </c>
      <c r="Z57" s="28">
        <v>19287.268</v>
      </c>
      <c r="AA57" s="28">
        <f t="shared" si="6"/>
        <v>3.6013710122689779E-2</v>
      </c>
      <c r="AB57" s="28">
        <f t="shared" si="19"/>
        <v>4.0227242938032558E-2</v>
      </c>
      <c r="AD57" s="28" t="e">
        <f t="shared" si="20"/>
        <v>#REF!</v>
      </c>
      <c r="AE57" s="28" t="e">
        <f t="shared" si="21"/>
        <v>#REF!</v>
      </c>
    </row>
    <row r="58" spans="16:31">
      <c r="P58" s="50" t="s">
        <v>1819</v>
      </c>
      <c r="Q58" s="28" t="s">
        <v>500</v>
      </c>
      <c r="R58" s="28" t="s">
        <v>499</v>
      </c>
      <c r="S58" s="28" t="s">
        <v>500</v>
      </c>
      <c r="T58" s="28">
        <f>' LR Products'!J67</f>
        <v>1.24</v>
      </c>
      <c r="U58" s="28">
        <v>1.6</v>
      </c>
      <c r="Y58" s="28">
        <v>483914.82799999998</v>
      </c>
      <c r="Z58" s="28">
        <v>3572.7660000000001</v>
      </c>
      <c r="AA58" s="28">
        <f t="shared" si="6"/>
        <v>7.3830471671349571E-3</v>
      </c>
      <c r="AB58" s="28">
        <f t="shared" si="19"/>
        <v>3.6348487790950984E-2</v>
      </c>
      <c r="AD58" s="28" t="e">
        <f t="shared" si="20"/>
        <v>#REF!</v>
      </c>
      <c r="AE58" s="28" t="e">
        <f t="shared" si="21"/>
        <v>#REF!</v>
      </c>
    </row>
    <row r="59" spans="16:31">
      <c r="P59" s="50" t="s">
        <v>1819</v>
      </c>
      <c r="Q59" s="28" t="s">
        <v>503</v>
      </c>
      <c r="R59" s="28" t="s">
        <v>502</v>
      </c>
      <c r="S59" s="28" t="s">
        <v>503</v>
      </c>
      <c r="T59" s="28">
        <f>' LR Products'!J68</f>
        <v>1.1499999999999999</v>
      </c>
      <c r="U59" s="28">
        <v>1.49</v>
      </c>
      <c r="Y59" s="28">
        <v>499028.03899999999</v>
      </c>
      <c r="Z59" s="28">
        <v>21800.289000000001</v>
      </c>
      <c r="AA59" s="28">
        <f t="shared" si="6"/>
        <v>4.3685499202981662E-2</v>
      </c>
      <c r="AB59" s="28">
        <f t="shared" si="19"/>
        <v>3.7483692446253603E-2</v>
      </c>
      <c r="AD59" s="28" t="e">
        <f t="shared" si="20"/>
        <v>#REF!</v>
      </c>
      <c r="AE59" s="28" t="e">
        <f t="shared" si="21"/>
        <v>#REF!</v>
      </c>
    </row>
    <row r="60" spans="16:31">
      <c r="P60" s="50" t="s">
        <v>1792</v>
      </c>
      <c r="Q60" s="28" t="s">
        <v>506</v>
      </c>
      <c r="R60" s="28" t="s">
        <v>505</v>
      </c>
      <c r="S60" s="28" t="s">
        <v>506</v>
      </c>
      <c r="T60" s="28">
        <f>' LR Products'!J69</f>
        <v>1.32</v>
      </c>
      <c r="U60" s="28">
        <v>1.69</v>
      </c>
      <c r="Y60" s="28">
        <v>534227.6</v>
      </c>
      <c r="Z60" s="28">
        <v>476.16199999999998</v>
      </c>
      <c r="AA60" s="28">
        <f t="shared" si="6"/>
        <v>8.9130924721972436E-4</v>
      </c>
      <c r="AB60" s="28">
        <f t="shared" si="19"/>
        <v>4.0127651133246622E-2</v>
      </c>
      <c r="AD60" s="28" t="e">
        <f t="shared" si="20"/>
        <v>#REF!</v>
      </c>
      <c r="AE60" s="28" t="e">
        <f t="shared" si="21"/>
        <v>#REF!</v>
      </c>
    </row>
    <row r="61" spans="16:31">
      <c r="P61" s="50" t="s">
        <v>1797</v>
      </c>
      <c r="Q61" s="28" t="s">
        <v>509</v>
      </c>
      <c r="R61" s="28" t="s">
        <v>508</v>
      </c>
      <c r="S61" s="28" t="s">
        <v>509</v>
      </c>
      <c r="T61" s="28">
        <f>' LR Products'!J70</f>
        <v>1.47</v>
      </c>
      <c r="U61" s="28">
        <v>1.75</v>
      </c>
      <c r="Y61" s="28">
        <v>319029.891</v>
      </c>
      <c r="Z61" s="28">
        <v>1692.672</v>
      </c>
      <c r="AA61" s="28">
        <f t="shared" si="6"/>
        <v>5.3056846638862435E-3</v>
      </c>
      <c r="AB61" s="28">
        <f t="shared" si="19"/>
        <v>2.3963419649463445E-2</v>
      </c>
      <c r="AD61" s="28" t="e">
        <f t="shared" si="20"/>
        <v>#REF!</v>
      </c>
      <c r="AE61" s="28" t="e">
        <f t="shared" si="21"/>
        <v>#REF!</v>
      </c>
    </row>
    <row r="62" spans="16:31">
      <c r="P62" s="50" t="s">
        <v>1813</v>
      </c>
      <c r="Q62" s="28" t="s">
        <v>512</v>
      </c>
      <c r="R62" s="28" t="s">
        <v>511</v>
      </c>
      <c r="S62" s="28" t="s">
        <v>512</v>
      </c>
      <c r="T62" s="28">
        <f>' LR Products'!J71</f>
        <v>1.45</v>
      </c>
      <c r="U62" s="28">
        <v>1.85</v>
      </c>
      <c r="Y62" s="28">
        <v>717146.26399999997</v>
      </c>
      <c r="Z62" s="28">
        <v>1698.701</v>
      </c>
      <c r="AA62" s="28">
        <f t="shared" si="6"/>
        <v>2.3686953209868496E-3</v>
      </c>
      <c r="AB62" s="28">
        <f t="shared" si="19"/>
        <v>5.3867293815039102E-2</v>
      </c>
      <c r="AD62" s="28" t="e">
        <f t="shared" si="20"/>
        <v>#REF!</v>
      </c>
      <c r="AE62" s="28" t="e">
        <f t="shared" si="21"/>
        <v>#REF!</v>
      </c>
    </row>
    <row r="63" spans="16:31">
      <c r="P63" s="50" t="s">
        <v>1817</v>
      </c>
      <c r="Q63" s="28" t="s">
        <v>515</v>
      </c>
      <c r="R63" s="28" t="s">
        <v>514</v>
      </c>
      <c r="S63" s="28" t="s">
        <v>515</v>
      </c>
      <c r="T63" s="28">
        <f>' LR Products'!J72</f>
        <v>1.55</v>
      </c>
      <c r="U63" s="28">
        <v>1.84</v>
      </c>
      <c r="Y63" s="28">
        <v>70994.801999999996</v>
      </c>
      <c r="Z63" s="28">
        <v>343.48200000000003</v>
      </c>
      <c r="AA63" s="28">
        <f t="shared" si="6"/>
        <v>4.8381288534335241E-3</v>
      </c>
      <c r="AB63" s="28">
        <f t="shared" si="19"/>
        <v>5.3326609237896354E-3</v>
      </c>
      <c r="AD63" s="28" t="e">
        <f t="shared" si="20"/>
        <v>#REF!</v>
      </c>
      <c r="AE63" s="28" t="e">
        <f t="shared" si="21"/>
        <v>#REF!</v>
      </c>
    </row>
    <row r="64" spans="16:31">
      <c r="P64" s="50" t="s">
        <v>517</v>
      </c>
      <c r="Q64" s="28" t="s">
        <v>518</v>
      </c>
      <c r="R64" s="28" t="s">
        <v>517</v>
      </c>
      <c r="S64" s="28" t="s">
        <v>518</v>
      </c>
      <c r="T64" s="28">
        <f>' LR Products'!J73</f>
        <v>1.31</v>
      </c>
      <c r="U64" s="28">
        <v>1.74</v>
      </c>
      <c r="Y64" s="28">
        <v>383237.951</v>
      </c>
      <c r="Z64" s="28">
        <v>14443.450999999999</v>
      </c>
      <c r="AA64" s="28">
        <f t="shared" si="6"/>
        <v>3.7687945471767743E-2</v>
      </c>
      <c r="AB64" s="28">
        <f t="shared" si="19"/>
        <v>2.8786305310224081E-2</v>
      </c>
      <c r="AD64" s="28" t="e">
        <f t="shared" si="20"/>
        <v>#REF!</v>
      </c>
      <c r="AE64" s="28" t="e">
        <f t="shared" si="21"/>
        <v>#REF!</v>
      </c>
    </row>
    <row r="65" spans="16:31">
      <c r="P65" s="50" t="s">
        <v>1817</v>
      </c>
      <c r="Q65" s="28" t="s">
        <v>521</v>
      </c>
      <c r="R65" s="28" t="s">
        <v>520</v>
      </c>
      <c r="S65" s="28" t="s">
        <v>521</v>
      </c>
      <c r="T65" s="28">
        <f>' LR Products'!J74</f>
        <v>1.53</v>
      </c>
      <c r="U65" s="28">
        <v>1.94</v>
      </c>
      <c r="Y65" s="28">
        <v>2470541.8190000001</v>
      </c>
      <c r="Z65" s="28">
        <v>2950.319</v>
      </c>
      <c r="AA65" s="28">
        <f t="shared" si="6"/>
        <v>1.1941991741690893E-3</v>
      </c>
      <c r="AB65" s="28">
        <f t="shared" si="19"/>
        <v>0.18557079458816531</v>
      </c>
      <c r="AD65" s="28" t="e">
        <f t="shared" si="20"/>
        <v>#REF!</v>
      </c>
      <c r="AE65" s="28" t="e">
        <f t="shared" si="21"/>
        <v>#REF!</v>
      </c>
    </row>
    <row r="66" spans="16:31">
      <c r="P66" s="50" t="s">
        <v>1792</v>
      </c>
      <c r="Q66" s="28" t="s">
        <v>524</v>
      </c>
      <c r="R66" s="28" t="s">
        <v>523</v>
      </c>
      <c r="S66" s="28" t="s">
        <v>524</v>
      </c>
      <c r="T66" s="28">
        <f>' LR Products'!J75</f>
        <v>1.21</v>
      </c>
      <c r="U66" s="28">
        <v>1.59</v>
      </c>
      <c r="Y66" s="28">
        <v>1582226</v>
      </c>
      <c r="Z66" s="28">
        <v>0</v>
      </c>
      <c r="AA66" s="28">
        <f t="shared" si="6"/>
        <v>0</v>
      </c>
      <c r="AB66" s="28">
        <f t="shared" si="19"/>
        <v>0.11884637360921127</v>
      </c>
      <c r="AD66" s="28" t="e">
        <f t="shared" ref="AD66" si="22">T66*$B$1/$T$68</f>
        <v>#REF!</v>
      </c>
      <c r="AE66" s="28" t="e">
        <f t="shared" ref="AE66" si="23">U66*$C$1/$U$68</f>
        <v>#REF!</v>
      </c>
    </row>
    <row r="67" spans="16:31">
      <c r="Y67" s="28">
        <v>13313203.861</v>
      </c>
      <c r="Z67" s="28">
        <v>926886.09299999999</v>
      </c>
      <c r="AA67" s="28">
        <f t="shared" ref="AA67" si="24">Z67/Y67</f>
        <v>6.9621565378056069E-2</v>
      </c>
    </row>
    <row r="68" spans="16:31">
      <c r="T68" s="28">
        <f>SUMPRODUCT(T2:T66,AB2:AB66)</f>
        <v>2.1438236988625352</v>
      </c>
      <c r="U68" s="28">
        <f>SUMPRODUCT(U2:U66,AB2:AB66)</f>
        <v>2.4361632296670805</v>
      </c>
    </row>
  </sheetData>
  <hyperlinks>
    <hyperlink ref="CN1" r:id="rId1" display="CD1XA@SURVEYS+CD1XOT@SURVEYS" xr:uid="{AED05578-7CFA-480B-BB5D-81E98AE64B94}"/>
    <hyperlink ref="CQ1" r:id="rId2" display="CD1XHP@SURVEYS+CD1XOP@SURVEYS" xr:uid="{FCF2C9A0-624F-49E7-A437-2267CADB53E5}"/>
    <hyperlink ref="DG1" r:id="rId3" display="CD1XA@SURVEYS+CD1XOT@SURVEYS" xr:uid="{AD6B10E4-46EF-40F5-ADD1-BFEDCE5129DA}"/>
    <hyperlink ref="DJ1" r:id="rId4" display="CD1XHP@SURVEYS+CD1XOP@SURVEYS" xr:uid="{A0EE1B16-9F41-452C-BAC7-3BF2270D0C62}"/>
    <hyperlink ref="DZ1" r:id="rId5" display="CD1XA@SURVEYS+CD1XOT@SURVEYS" xr:uid="{401B5059-B028-4000-B3B9-1772519A69C4}"/>
    <hyperlink ref="EC1" r:id="rId6" display="CD1XHP@SURVEYS+CD1XOP@SURVEYS" xr:uid="{37FC8748-EB7A-4E35-A8C5-02E69EA33045}"/>
    <hyperlink ref="ES1" r:id="rId7" display="CD1XA@SURVEYS+CD1XOT@SURVEYS" xr:uid="{18F33081-606D-4E04-B6DE-94900127A7C4}"/>
    <hyperlink ref="EV1" r:id="rId8" display="CD1XHP@SURVEYS+CD1XOP@SURVEYS" xr:uid="{7F4C88F7-1EF8-4F6C-A6EF-A51D1BA9FD07}"/>
    <hyperlink ref="FL1" r:id="rId9" display="CD1XA@SURVEYS+CD1XOT@SURVEYS" xr:uid="{7DBE9F2F-3CEF-42F6-8513-253E9BAEB261}"/>
    <hyperlink ref="FO1" r:id="rId10" display="CD1XHP@SURVEYS+CD1XOP@SURVEYS" xr:uid="{FA3A5CA8-9256-469E-BD24-565AEAA747AE}"/>
    <hyperlink ref="GE1" r:id="rId11" display="CD1XA@SURVEYS+CD1XOT@SURVEYS" xr:uid="{A8A96A5A-D844-48FB-B58D-5461417EA862}"/>
    <hyperlink ref="GH1" r:id="rId12" display="CD1XHP@SURVEYS+CD1XOP@SURVEYS" xr:uid="{B126D89B-67E4-4750-AF54-0FAB6AA76F0D}"/>
    <hyperlink ref="GX1" r:id="rId13" display="CD1XA@SURVEYS+CD1XOT@SURVEYS" xr:uid="{2900F548-CFE4-4CEC-B668-F6DB75B0FFB5}"/>
    <hyperlink ref="HA1" r:id="rId14" display="CD1XHP@SURVEYS+CD1XOP@SURVEYS" xr:uid="{470555C4-DD38-4D91-B190-6EE84E3764BD}"/>
    <hyperlink ref="HQ1" r:id="rId15" display="CD1XA@SURVEYS+CD1XOT@SURVEYS" xr:uid="{86517632-5446-4186-8333-51ABD5040FE7}"/>
    <hyperlink ref="HT1" r:id="rId16" display="CD1XHP@SURVEYS+CD1XOP@SURVEYS" xr:uid="{D9717627-9E23-4567-9A49-D66337B9A937}"/>
    <hyperlink ref="IJ1" r:id="rId17" display="CD1XA@SURVEYS+CD1XOT@SURVEYS" xr:uid="{D5061671-E4CF-45FC-92D1-0D68C1AAF52F}"/>
    <hyperlink ref="IM1" r:id="rId18" display="CD1XHP@SURVEYS+CD1XOP@SURVEYS" xr:uid="{DF57DDF7-9501-4F6B-93C8-5CADEF8CEC52}"/>
    <hyperlink ref="JC1" r:id="rId19" display="CD1XA@SURVEYS+CD1XOT@SURVEYS" xr:uid="{3B686C3F-B29A-4639-AE12-AEAAF90B38BA}"/>
    <hyperlink ref="JF1" r:id="rId20" display="CD1XHP@SURVEYS+CD1XOP@SURVEYS" xr:uid="{0E494200-73C6-4670-962B-181E0E724F57}"/>
  </hyperlinks>
  <pageMargins left="0.7" right="0.7" top="0.75" bottom="0.75" header="0.3" footer="0.3"/>
  <drawing r:id="rId2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58B9B-6E9E-445A-A40B-071EE9D395B4}">
  <dimension ref="N1:AW78"/>
  <sheetViews>
    <sheetView topLeftCell="D1" workbookViewId="0">
      <selection activeCell="N3" sqref="N3:N51"/>
    </sheetView>
  </sheetViews>
  <sheetFormatPr defaultRowHeight="12.6"/>
  <sheetData>
    <row r="1" spans="14:49">
      <c r="AA1" t="s">
        <v>2710</v>
      </c>
    </row>
    <row r="2" spans="14:49">
      <c r="R2" t="s">
        <v>1847</v>
      </c>
      <c r="S2" t="s">
        <v>1848</v>
      </c>
      <c r="T2" t="s">
        <v>1849</v>
      </c>
      <c r="U2" t="s">
        <v>1850</v>
      </c>
      <c r="V2" t="s">
        <v>1851</v>
      </c>
      <c r="W2" t="s">
        <v>2103</v>
      </c>
      <c r="X2" t="s">
        <v>2104</v>
      </c>
      <c r="Y2" t="s">
        <v>2105</v>
      </c>
      <c r="AA2" t="s">
        <v>2102</v>
      </c>
      <c r="AB2" t="s">
        <v>1846</v>
      </c>
      <c r="AC2" t="s">
        <v>1847</v>
      </c>
      <c r="AD2" t="s">
        <v>1848</v>
      </c>
      <c r="AE2" t="s">
        <v>1849</v>
      </c>
      <c r="AF2" t="s">
        <v>1850</v>
      </c>
      <c r="AG2" t="s">
        <v>1851</v>
      </c>
      <c r="AH2" t="s">
        <v>2103</v>
      </c>
      <c r="AI2" t="s">
        <v>2104</v>
      </c>
      <c r="AJ2" t="s">
        <v>2105</v>
      </c>
      <c r="AK2" t="s">
        <v>52</v>
      </c>
      <c r="AM2" t="s">
        <v>2102</v>
      </c>
      <c r="AN2" t="s">
        <v>1846</v>
      </c>
      <c r="AO2" t="s">
        <v>1847</v>
      </c>
      <c r="AP2" t="s">
        <v>1848</v>
      </c>
      <c r="AQ2" t="s">
        <v>1849</v>
      </c>
      <c r="AR2" t="s">
        <v>1850</v>
      </c>
      <c r="AS2" t="s">
        <v>1851</v>
      </c>
      <c r="AT2" t="s">
        <v>2103</v>
      </c>
      <c r="AU2" t="s">
        <v>2104</v>
      </c>
      <c r="AV2" t="s">
        <v>2105</v>
      </c>
      <c r="AW2" t="s">
        <v>52</v>
      </c>
    </row>
    <row r="3" spans="14:49">
      <c r="N3" s="25" t="s">
        <v>2711</v>
      </c>
      <c r="R3">
        <f>VALUE(LEFT(RIGHT(N3,3),2))</f>
        <v>10</v>
      </c>
      <c r="AA3" t="s">
        <v>331</v>
      </c>
      <c r="AB3">
        <v>0</v>
      </c>
      <c r="AC3">
        <v>4.0000000000000001E-3</v>
      </c>
      <c r="AD3">
        <v>103.42400000000001</v>
      </c>
      <c r="AE3">
        <v>0.20399999999999999</v>
      </c>
      <c r="AF3">
        <v>223.09299999999999</v>
      </c>
      <c r="AG3">
        <v>131.512</v>
      </c>
      <c r="AH3">
        <v>1E-3</v>
      </c>
      <c r="AI3">
        <v>1.296</v>
      </c>
      <c r="AJ3">
        <v>0</v>
      </c>
      <c r="AK3">
        <v>459.53199999999998</v>
      </c>
      <c r="AM3" t="s">
        <v>331</v>
      </c>
      <c r="AN3">
        <v>0</v>
      </c>
      <c r="AO3">
        <v>1E-3</v>
      </c>
      <c r="AP3">
        <v>87.789000000000001</v>
      </c>
      <c r="AQ3">
        <v>0.20599999999999999</v>
      </c>
      <c r="AR3">
        <v>220.88800000000001</v>
      </c>
      <c r="AS3">
        <v>118.63500000000001</v>
      </c>
      <c r="AT3">
        <v>0</v>
      </c>
      <c r="AU3">
        <v>1.131</v>
      </c>
      <c r="AV3">
        <v>0</v>
      </c>
      <c r="AW3">
        <v>428.65199999999999</v>
      </c>
    </row>
    <row r="4" spans="14:49">
      <c r="N4" s="25" t="s">
        <v>2712</v>
      </c>
      <c r="R4">
        <f t="shared" ref="R4:R51" si="0">VALUE(LEFT(RIGHT(N4,3),2))</f>
        <v>25</v>
      </c>
      <c r="AA4" t="s">
        <v>334</v>
      </c>
      <c r="AB4">
        <v>0</v>
      </c>
      <c r="AC4">
        <v>388.697</v>
      </c>
      <c r="AD4">
        <v>3213.1</v>
      </c>
      <c r="AE4">
        <v>20.202000000000002</v>
      </c>
      <c r="AF4">
        <v>913.21500000000003</v>
      </c>
      <c r="AG4">
        <v>1297.83</v>
      </c>
      <c r="AH4">
        <v>857.17499999999995</v>
      </c>
      <c r="AI4">
        <v>142.52799999999999</v>
      </c>
      <c r="AJ4">
        <v>38.497</v>
      </c>
      <c r="AK4">
        <v>6871.2439999999997</v>
      </c>
      <c r="AM4" t="s">
        <v>334</v>
      </c>
      <c r="AN4">
        <v>0</v>
      </c>
      <c r="AO4">
        <v>57.585000000000001</v>
      </c>
      <c r="AP4">
        <v>2884.88</v>
      </c>
      <c r="AQ4">
        <v>21.478000000000002</v>
      </c>
      <c r="AR4">
        <v>948.52599999999995</v>
      </c>
      <c r="AS4">
        <v>1236.4929999999999</v>
      </c>
      <c r="AT4">
        <v>874.18100000000004</v>
      </c>
      <c r="AU4">
        <v>127.93600000000001</v>
      </c>
      <c r="AV4">
        <v>36.332000000000001</v>
      </c>
      <c r="AW4">
        <v>6187.4110000000001</v>
      </c>
    </row>
    <row r="5" spans="14:49">
      <c r="N5" s="25" t="s">
        <v>2713</v>
      </c>
      <c r="R5">
        <f t="shared" si="0"/>
        <v>10</v>
      </c>
      <c r="AA5" t="s">
        <v>337</v>
      </c>
      <c r="AB5">
        <v>0</v>
      </c>
      <c r="AC5">
        <v>1136.4079999999999</v>
      </c>
      <c r="AD5">
        <v>1736.49</v>
      </c>
      <c r="AE5">
        <v>358.96100000000001</v>
      </c>
      <c r="AF5">
        <v>3004.2020000000002</v>
      </c>
      <c r="AG5">
        <v>3304.36</v>
      </c>
      <c r="AH5">
        <v>2963.1860000000001</v>
      </c>
      <c r="AI5">
        <v>204.64099999999999</v>
      </c>
      <c r="AJ5">
        <v>19.248999999999999</v>
      </c>
      <c r="AK5">
        <v>12727.495999999999</v>
      </c>
      <c r="AM5" t="s">
        <v>337</v>
      </c>
      <c r="AN5">
        <v>0</v>
      </c>
      <c r="AO5">
        <v>901.16899999999998</v>
      </c>
      <c r="AP5">
        <v>1686.847</v>
      </c>
      <c r="AQ5">
        <v>375.75799999999998</v>
      </c>
      <c r="AR5">
        <v>3072.3589999999999</v>
      </c>
      <c r="AS5">
        <v>3263.2640000000001</v>
      </c>
      <c r="AT5">
        <v>2971.7750000000001</v>
      </c>
      <c r="AU5">
        <v>199.39500000000001</v>
      </c>
      <c r="AV5">
        <v>18.7</v>
      </c>
      <c r="AW5">
        <v>12489.266</v>
      </c>
    </row>
    <row r="6" spans="14:49">
      <c r="N6" s="25" t="s">
        <v>2714</v>
      </c>
      <c r="R6">
        <f t="shared" si="0"/>
        <v>20</v>
      </c>
      <c r="AA6" t="s">
        <v>340</v>
      </c>
      <c r="AB6">
        <v>0</v>
      </c>
      <c r="AC6">
        <v>1589.204</v>
      </c>
      <c r="AD6">
        <v>4367.1120000000001</v>
      </c>
      <c r="AE6">
        <v>6666.9350000000004</v>
      </c>
      <c r="AF6">
        <v>1389.1590000000001</v>
      </c>
      <c r="AG6">
        <v>2068.3969999999999</v>
      </c>
      <c r="AH6">
        <v>988.36400000000003</v>
      </c>
      <c r="AI6">
        <v>3050.1149999999998</v>
      </c>
      <c r="AJ6">
        <v>403.27300000000002</v>
      </c>
      <c r="AK6">
        <v>20522.558000000001</v>
      </c>
      <c r="AM6" t="s">
        <v>340</v>
      </c>
      <c r="AN6">
        <v>0</v>
      </c>
      <c r="AO6">
        <v>787.52200000000005</v>
      </c>
      <c r="AP6">
        <v>4152.7780000000002</v>
      </c>
      <c r="AQ6">
        <v>6845.317</v>
      </c>
      <c r="AR6">
        <v>1456.6690000000001</v>
      </c>
      <c r="AS6">
        <v>1993.1110000000001</v>
      </c>
      <c r="AT6">
        <v>958.43299999999999</v>
      </c>
      <c r="AU6">
        <v>2936.799</v>
      </c>
      <c r="AV6">
        <v>389.28</v>
      </c>
      <c r="AW6">
        <v>19519.909</v>
      </c>
    </row>
    <row r="7" spans="14:49">
      <c r="N7" s="25" t="s">
        <v>2715</v>
      </c>
      <c r="R7">
        <f t="shared" si="0"/>
        <v>10</v>
      </c>
      <c r="AA7" t="s">
        <v>343</v>
      </c>
      <c r="AB7">
        <v>0</v>
      </c>
      <c r="AC7">
        <v>13807.129000000001</v>
      </c>
      <c r="AD7">
        <v>4849.38</v>
      </c>
      <c r="AE7">
        <v>455.57299999999998</v>
      </c>
      <c r="AF7">
        <v>1905.384</v>
      </c>
      <c r="AG7">
        <v>907.779</v>
      </c>
      <c r="AH7">
        <v>1286.8889999999999</v>
      </c>
      <c r="AI7">
        <v>2203.527</v>
      </c>
      <c r="AJ7">
        <v>17.847000000000001</v>
      </c>
      <c r="AK7">
        <v>25433.508999999998</v>
      </c>
      <c r="AM7" t="s">
        <v>343</v>
      </c>
      <c r="AN7">
        <v>0</v>
      </c>
      <c r="AO7">
        <v>9432.3349999999991</v>
      </c>
      <c r="AP7">
        <v>4730.3130000000001</v>
      </c>
      <c r="AQ7">
        <v>499.666</v>
      </c>
      <c r="AR7">
        <v>1943.0450000000001</v>
      </c>
      <c r="AS7">
        <v>888.32</v>
      </c>
      <c r="AT7">
        <v>1336.91</v>
      </c>
      <c r="AU7">
        <v>2142.538</v>
      </c>
      <c r="AV7">
        <v>17.215</v>
      </c>
      <c r="AW7">
        <v>20990.342000000001</v>
      </c>
    </row>
    <row r="8" spans="14:49">
      <c r="N8" s="25" t="s">
        <v>2716</v>
      </c>
      <c r="R8">
        <f t="shared" si="0"/>
        <v>10</v>
      </c>
      <c r="AA8" t="s">
        <v>346</v>
      </c>
      <c r="AB8">
        <v>0</v>
      </c>
      <c r="AC8">
        <v>4.4999999999999998E-2</v>
      </c>
      <c r="AD8">
        <v>0.24099999999999999</v>
      </c>
      <c r="AE8">
        <v>8.0609999999999999</v>
      </c>
      <c r="AF8">
        <v>8.9999999999999993E-3</v>
      </c>
      <c r="AG8">
        <v>0.11799999999999999</v>
      </c>
      <c r="AH8">
        <v>6.9000000000000006E-2</v>
      </c>
      <c r="AI8">
        <v>0.14299999999999999</v>
      </c>
      <c r="AJ8">
        <v>6.0000000000000001E-3</v>
      </c>
      <c r="AK8">
        <v>8.6920000000000002</v>
      </c>
      <c r="AM8" t="s">
        <v>346</v>
      </c>
      <c r="AN8">
        <v>0</v>
      </c>
      <c r="AO8">
        <v>2.5000000000000001E-2</v>
      </c>
      <c r="AP8">
        <v>0.22900000000000001</v>
      </c>
      <c r="AQ8">
        <v>8.5690000000000008</v>
      </c>
      <c r="AR8">
        <v>0.01</v>
      </c>
      <c r="AS8">
        <v>0.113</v>
      </c>
      <c r="AT8">
        <v>6.7000000000000004E-2</v>
      </c>
      <c r="AU8">
        <v>0.13800000000000001</v>
      </c>
      <c r="AV8">
        <v>6.0000000000000001E-3</v>
      </c>
      <c r="AW8">
        <v>9.157</v>
      </c>
    </row>
    <row r="9" spans="14:49">
      <c r="N9" s="25" t="s">
        <v>2717</v>
      </c>
      <c r="R9">
        <f t="shared" si="0"/>
        <v>10</v>
      </c>
      <c r="AA9" t="s">
        <v>349</v>
      </c>
      <c r="AB9">
        <v>0</v>
      </c>
      <c r="AC9">
        <v>1073.289</v>
      </c>
      <c r="AD9">
        <v>4295.183</v>
      </c>
      <c r="AE9">
        <v>3.3530000000000002</v>
      </c>
      <c r="AF9">
        <v>439.60399999999998</v>
      </c>
      <c r="AG9">
        <v>553.97500000000002</v>
      </c>
      <c r="AH9">
        <v>60.811999999999998</v>
      </c>
      <c r="AI9">
        <v>25.288</v>
      </c>
      <c r="AJ9">
        <v>1.349</v>
      </c>
      <c r="AK9">
        <v>6452.8530000000001</v>
      </c>
      <c r="AM9" t="s">
        <v>349</v>
      </c>
      <c r="AN9">
        <v>0</v>
      </c>
      <c r="AO9">
        <v>711.11699999999996</v>
      </c>
      <c r="AP9">
        <v>3935.9989999999998</v>
      </c>
      <c r="AQ9">
        <v>3.306</v>
      </c>
      <c r="AR9">
        <v>461.18099999999998</v>
      </c>
      <c r="AS9">
        <v>542.25800000000004</v>
      </c>
      <c r="AT9">
        <v>58.23</v>
      </c>
      <c r="AU9">
        <v>23.568999999999999</v>
      </c>
      <c r="AV9">
        <v>1.2470000000000001</v>
      </c>
      <c r="AW9">
        <v>5736.9089999999997</v>
      </c>
    </row>
    <row r="10" spans="14:49">
      <c r="N10" s="25" t="s">
        <v>2718</v>
      </c>
      <c r="R10">
        <f t="shared" si="0"/>
        <v>10</v>
      </c>
      <c r="AA10" t="s">
        <v>352</v>
      </c>
      <c r="AB10">
        <v>0</v>
      </c>
      <c r="AC10">
        <v>666.44200000000001</v>
      </c>
      <c r="AD10">
        <v>546.50800000000004</v>
      </c>
      <c r="AE10">
        <v>582.78</v>
      </c>
      <c r="AF10">
        <v>127.67</v>
      </c>
      <c r="AG10">
        <v>594.822</v>
      </c>
      <c r="AH10">
        <v>655.42200000000003</v>
      </c>
      <c r="AI10">
        <v>297.875</v>
      </c>
      <c r="AJ10">
        <v>60.536999999999999</v>
      </c>
      <c r="AK10">
        <v>3532.056</v>
      </c>
      <c r="AM10" t="s">
        <v>352</v>
      </c>
      <c r="AN10">
        <v>0</v>
      </c>
      <c r="AO10">
        <v>341.108</v>
      </c>
      <c r="AP10">
        <v>460.11799999999999</v>
      </c>
      <c r="AQ10">
        <v>537.64300000000003</v>
      </c>
      <c r="AR10">
        <v>121.33</v>
      </c>
      <c r="AS10">
        <v>518.37400000000002</v>
      </c>
      <c r="AT10">
        <v>572.9</v>
      </c>
      <c r="AU10">
        <v>255.566</v>
      </c>
      <c r="AV10">
        <v>51.683</v>
      </c>
      <c r="AW10">
        <v>2858.721</v>
      </c>
    </row>
    <row r="11" spans="14:49">
      <c r="N11" s="25" t="s">
        <v>2719</v>
      </c>
      <c r="R11">
        <f t="shared" si="0"/>
        <v>10</v>
      </c>
      <c r="AA11" t="s">
        <v>355</v>
      </c>
      <c r="AB11">
        <v>0</v>
      </c>
      <c r="AC11">
        <v>18.125</v>
      </c>
      <c r="AD11">
        <v>217.43100000000001</v>
      </c>
      <c r="AE11">
        <v>217.239</v>
      </c>
      <c r="AF11">
        <v>124.02200000000001</v>
      </c>
      <c r="AG11">
        <v>53.012999999999998</v>
      </c>
      <c r="AH11">
        <v>66.790000000000006</v>
      </c>
      <c r="AI11">
        <v>137.27600000000001</v>
      </c>
      <c r="AJ11">
        <v>143.24100000000001</v>
      </c>
      <c r="AK11">
        <v>977.13800000000003</v>
      </c>
      <c r="AM11" t="s">
        <v>355</v>
      </c>
      <c r="AN11">
        <v>0</v>
      </c>
      <c r="AO11">
        <v>11.493</v>
      </c>
      <c r="AP11">
        <v>208.66900000000001</v>
      </c>
      <c r="AQ11">
        <v>229.697</v>
      </c>
      <c r="AR11">
        <v>136.91800000000001</v>
      </c>
      <c r="AS11">
        <v>50.674999999999997</v>
      </c>
      <c r="AT11">
        <v>65.659000000000006</v>
      </c>
      <c r="AU11">
        <v>132.38499999999999</v>
      </c>
      <c r="AV11">
        <v>139.71100000000001</v>
      </c>
      <c r="AW11">
        <v>975.20799999999997</v>
      </c>
    </row>
    <row r="12" spans="14:49">
      <c r="N12" s="25" t="s">
        <v>2720</v>
      </c>
      <c r="R12">
        <f t="shared" si="0"/>
        <v>10</v>
      </c>
      <c r="AA12" t="s">
        <v>358</v>
      </c>
      <c r="AB12">
        <v>0</v>
      </c>
      <c r="AC12">
        <v>1365.2380000000001</v>
      </c>
      <c r="AD12">
        <v>675.07100000000003</v>
      </c>
      <c r="AE12">
        <v>348.55399999999997</v>
      </c>
      <c r="AF12">
        <v>361.35</v>
      </c>
      <c r="AG12">
        <v>497.56799999999998</v>
      </c>
      <c r="AH12">
        <v>60.014000000000003</v>
      </c>
      <c r="AI12">
        <v>224.23099999999999</v>
      </c>
      <c r="AJ12">
        <v>18.596</v>
      </c>
      <c r="AK12">
        <v>3550.6219999999998</v>
      </c>
      <c r="AM12" t="s">
        <v>358</v>
      </c>
      <c r="AN12">
        <v>0</v>
      </c>
      <c r="AO12">
        <v>1069.886</v>
      </c>
      <c r="AP12">
        <v>657.91899999999998</v>
      </c>
      <c r="AQ12">
        <v>356.11700000000002</v>
      </c>
      <c r="AR12">
        <v>394.50700000000001</v>
      </c>
      <c r="AS12">
        <v>491.09</v>
      </c>
      <c r="AT12">
        <v>58.453000000000003</v>
      </c>
      <c r="AU12">
        <v>220.05500000000001</v>
      </c>
      <c r="AV12">
        <v>18.132999999999999</v>
      </c>
      <c r="AW12">
        <v>3266.16</v>
      </c>
    </row>
    <row r="13" spans="14:49">
      <c r="N13" s="25" t="s">
        <v>2721</v>
      </c>
      <c r="R13">
        <f t="shared" si="0"/>
        <v>20</v>
      </c>
      <c r="AA13" t="s">
        <v>361</v>
      </c>
      <c r="AB13">
        <v>0</v>
      </c>
      <c r="AC13">
        <v>0.29199999999999998</v>
      </c>
      <c r="AD13">
        <v>0.41199999999999998</v>
      </c>
      <c r="AE13">
        <v>7.9000000000000001E-2</v>
      </c>
      <c r="AF13">
        <v>0.06</v>
      </c>
      <c r="AG13">
        <v>0.113</v>
      </c>
      <c r="AH13">
        <v>4.1000000000000002E-2</v>
      </c>
      <c r="AI13">
        <v>0.16200000000000001</v>
      </c>
      <c r="AJ13">
        <v>3.9E-2</v>
      </c>
      <c r="AK13">
        <v>1.1970000000000001</v>
      </c>
      <c r="AM13" t="s">
        <v>361</v>
      </c>
      <c r="AN13">
        <v>0</v>
      </c>
      <c r="AO13">
        <v>6.3E-2</v>
      </c>
      <c r="AP13">
        <v>0.35799999999999998</v>
      </c>
      <c r="AQ13">
        <v>7.8E-2</v>
      </c>
      <c r="AR13">
        <v>6.5000000000000002E-2</v>
      </c>
      <c r="AS13">
        <v>9.9000000000000005E-2</v>
      </c>
      <c r="AT13">
        <v>3.5999999999999997E-2</v>
      </c>
      <c r="AU13">
        <v>0.14299999999999999</v>
      </c>
      <c r="AV13">
        <v>3.5000000000000003E-2</v>
      </c>
      <c r="AW13">
        <v>0.877</v>
      </c>
    </row>
    <row r="14" spans="14:49">
      <c r="N14" s="25" t="s">
        <v>2722</v>
      </c>
      <c r="R14">
        <f t="shared" si="0"/>
        <v>25</v>
      </c>
      <c r="AA14" t="s">
        <v>364</v>
      </c>
      <c r="AB14">
        <v>0</v>
      </c>
      <c r="AC14">
        <v>16.102</v>
      </c>
      <c r="AD14">
        <v>6.883</v>
      </c>
      <c r="AE14">
        <v>0.187</v>
      </c>
      <c r="AF14">
        <v>6.4000000000000001E-2</v>
      </c>
      <c r="AG14">
        <v>0.16700000000000001</v>
      </c>
      <c r="AH14">
        <v>3.6999999999999998E-2</v>
      </c>
      <c r="AI14">
        <v>2.4620000000000002</v>
      </c>
      <c r="AJ14">
        <v>0.55900000000000005</v>
      </c>
      <c r="AK14">
        <v>26.460999999999999</v>
      </c>
      <c r="AM14" t="s">
        <v>364</v>
      </c>
      <c r="AN14">
        <v>0</v>
      </c>
      <c r="AO14">
        <v>2.496</v>
      </c>
      <c r="AP14">
        <v>1.726</v>
      </c>
      <c r="AQ14">
        <v>6.9000000000000006E-2</v>
      </c>
      <c r="AR14">
        <v>2.5999999999999999E-2</v>
      </c>
      <c r="AS14">
        <v>4.2999999999999997E-2</v>
      </c>
      <c r="AT14">
        <v>8.0000000000000002E-3</v>
      </c>
      <c r="AU14">
        <v>0.63300000000000001</v>
      </c>
      <c r="AV14">
        <v>0.152</v>
      </c>
      <c r="AW14">
        <v>5.1520000000000001</v>
      </c>
    </row>
    <row r="15" spans="14:49">
      <c r="N15" s="25" t="s">
        <v>2723</v>
      </c>
      <c r="R15">
        <f t="shared" si="0"/>
        <v>10</v>
      </c>
      <c r="AA15" t="s">
        <v>367</v>
      </c>
      <c r="AB15">
        <v>0</v>
      </c>
      <c r="AC15">
        <v>666.01</v>
      </c>
      <c r="AD15">
        <v>119.491</v>
      </c>
      <c r="AE15">
        <v>168.113</v>
      </c>
      <c r="AF15">
        <v>24.074999999999999</v>
      </c>
      <c r="AG15">
        <v>28.989000000000001</v>
      </c>
      <c r="AH15">
        <v>510.86599999999999</v>
      </c>
      <c r="AI15">
        <v>160.67599999999999</v>
      </c>
      <c r="AJ15">
        <v>14.170999999999999</v>
      </c>
      <c r="AK15">
        <v>1692.39</v>
      </c>
      <c r="AM15" t="s">
        <v>367</v>
      </c>
      <c r="AN15">
        <v>0</v>
      </c>
      <c r="AO15">
        <v>372.91500000000002</v>
      </c>
      <c r="AP15">
        <v>111.268</v>
      </c>
      <c r="AQ15">
        <v>194.239</v>
      </c>
      <c r="AR15">
        <v>26.114999999999998</v>
      </c>
      <c r="AS15">
        <v>27.181000000000001</v>
      </c>
      <c r="AT15">
        <v>503.72300000000001</v>
      </c>
      <c r="AU15">
        <v>152.071</v>
      </c>
      <c r="AV15">
        <v>13.814</v>
      </c>
      <c r="AW15">
        <v>1401.326</v>
      </c>
    </row>
    <row r="16" spans="14:49">
      <c r="N16" s="25" t="s">
        <v>2724</v>
      </c>
      <c r="R16">
        <f t="shared" si="0"/>
        <v>20</v>
      </c>
      <c r="AA16" t="s">
        <v>370</v>
      </c>
      <c r="AB16">
        <v>0</v>
      </c>
      <c r="AC16">
        <v>273.16300000000001</v>
      </c>
      <c r="AD16">
        <v>113.643</v>
      </c>
      <c r="AE16">
        <v>461.11099999999999</v>
      </c>
      <c r="AF16">
        <v>7.6749999999999998</v>
      </c>
      <c r="AG16">
        <v>53.878</v>
      </c>
      <c r="AH16">
        <v>37.566000000000003</v>
      </c>
      <c r="AI16">
        <v>159.172</v>
      </c>
      <c r="AJ16">
        <v>8.6739999999999995</v>
      </c>
      <c r="AK16">
        <v>1114.884</v>
      </c>
      <c r="AM16" t="s">
        <v>370</v>
      </c>
      <c r="AN16">
        <v>0</v>
      </c>
      <c r="AO16">
        <v>164.892</v>
      </c>
      <c r="AP16">
        <v>108.14100000000001</v>
      </c>
      <c r="AQ16">
        <v>476.30500000000001</v>
      </c>
      <c r="AR16">
        <v>8.0289999999999999</v>
      </c>
      <c r="AS16">
        <v>51.180999999999997</v>
      </c>
      <c r="AT16">
        <v>35.74</v>
      </c>
      <c r="AU16">
        <v>152.65799999999999</v>
      </c>
      <c r="AV16">
        <v>8.2439999999999998</v>
      </c>
      <c r="AW16">
        <v>1005.191</v>
      </c>
    </row>
    <row r="17" spans="14:49">
      <c r="N17" s="25" t="s">
        <v>2725</v>
      </c>
      <c r="R17">
        <f t="shared" si="0"/>
        <v>25</v>
      </c>
      <c r="AA17" t="s">
        <v>373</v>
      </c>
      <c r="AB17">
        <v>0</v>
      </c>
      <c r="AC17">
        <v>643.54100000000005</v>
      </c>
      <c r="AD17">
        <v>3498.27</v>
      </c>
      <c r="AE17">
        <v>296.09699999999998</v>
      </c>
      <c r="AF17">
        <v>140.83500000000001</v>
      </c>
      <c r="AG17">
        <v>1485.4090000000001</v>
      </c>
      <c r="AH17">
        <v>1312.3389999999999</v>
      </c>
      <c r="AI17">
        <v>3854.0479999999998</v>
      </c>
      <c r="AJ17">
        <v>402.072</v>
      </c>
      <c r="AK17">
        <v>11632.611999999999</v>
      </c>
      <c r="AM17" t="s">
        <v>373</v>
      </c>
      <c r="AN17">
        <v>0</v>
      </c>
      <c r="AO17">
        <v>156.32599999999999</v>
      </c>
      <c r="AP17">
        <v>3313.3270000000002</v>
      </c>
      <c r="AQ17">
        <v>285.42399999999998</v>
      </c>
      <c r="AR17">
        <v>143.15799999999999</v>
      </c>
      <c r="AS17">
        <v>1409.3119999999999</v>
      </c>
      <c r="AT17">
        <v>1247.873</v>
      </c>
      <c r="AU17">
        <v>3687.8879999999999</v>
      </c>
      <c r="AV17">
        <v>387.702</v>
      </c>
      <c r="AW17">
        <v>10631.009</v>
      </c>
    </row>
    <row r="18" spans="14:49">
      <c r="N18" s="25" t="s">
        <v>2726</v>
      </c>
      <c r="R18">
        <f t="shared" si="0"/>
        <v>20</v>
      </c>
      <c r="AA18" t="s">
        <v>376</v>
      </c>
      <c r="AB18">
        <v>0</v>
      </c>
      <c r="AC18">
        <v>2892.3319999999999</v>
      </c>
      <c r="AD18">
        <v>2433.2190000000001</v>
      </c>
      <c r="AE18">
        <v>2038.7670000000001</v>
      </c>
      <c r="AF18">
        <v>0.48099999999999998</v>
      </c>
      <c r="AG18">
        <v>1843.48</v>
      </c>
      <c r="AH18">
        <v>542.48099999999999</v>
      </c>
      <c r="AI18">
        <v>2020.8</v>
      </c>
      <c r="AJ18">
        <v>894.17</v>
      </c>
      <c r="AK18">
        <v>12665.73</v>
      </c>
      <c r="AM18" t="s">
        <v>376</v>
      </c>
      <c r="AN18">
        <v>0</v>
      </c>
      <c r="AO18">
        <v>436.12900000000002</v>
      </c>
      <c r="AP18">
        <v>2384.0650000000001</v>
      </c>
      <c r="AQ18">
        <v>2073.4270000000001</v>
      </c>
      <c r="AR18">
        <v>0.41599999999999998</v>
      </c>
      <c r="AS18">
        <v>1799.89</v>
      </c>
      <c r="AT18">
        <v>529.79499999999996</v>
      </c>
      <c r="AU18">
        <v>1969.307</v>
      </c>
      <c r="AV18">
        <v>879.21799999999996</v>
      </c>
      <c r="AW18">
        <v>10072.246999999999</v>
      </c>
    </row>
    <row r="19" spans="14:49">
      <c r="N19" s="25" t="s">
        <v>2727</v>
      </c>
      <c r="R19">
        <f t="shared" si="0"/>
        <v>25</v>
      </c>
      <c r="AA19" t="s">
        <v>379</v>
      </c>
      <c r="AB19">
        <v>0</v>
      </c>
      <c r="AC19">
        <v>569.30499999999995</v>
      </c>
      <c r="AD19">
        <v>2508.4169999999999</v>
      </c>
      <c r="AE19">
        <v>5728.9340000000002</v>
      </c>
      <c r="AF19">
        <v>15489.16</v>
      </c>
      <c r="AG19">
        <v>2660.0360000000001</v>
      </c>
      <c r="AH19">
        <v>1000.7329999999999</v>
      </c>
      <c r="AI19">
        <v>1696.5889999999999</v>
      </c>
      <c r="AJ19">
        <v>112.02500000000001</v>
      </c>
      <c r="AK19">
        <v>29765.200000000001</v>
      </c>
      <c r="AM19" t="s">
        <v>379</v>
      </c>
      <c r="AN19">
        <v>0</v>
      </c>
      <c r="AO19">
        <v>2101.7170000000001</v>
      </c>
      <c r="AP19">
        <v>1784.3240000000001</v>
      </c>
      <c r="AQ19">
        <v>5861.6540000000005</v>
      </c>
      <c r="AR19">
        <v>15663.843000000001</v>
      </c>
      <c r="AS19">
        <v>1938.3420000000001</v>
      </c>
      <c r="AT19">
        <v>710.86800000000005</v>
      </c>
      <c r="AU19">
        <v>1201.925</v>
      </c>
      <c r="AV19">
        <v>79.459999999999994</v>
      </c>
      <c r="AW19">
        <v>29342.133999999998</v>
      </c>
    </row>
    <row r="20" spans="14:49">
      <c r="N20" s="25" t="s">
        <v>2728</v>
      </c>
      <c r="R20">
        <f t="shared" si="0"/>
        <v>10</v>
      </c>
      <c r="AA20" t="s">
        <v>382</v>
      </c>
      <c r="AB20">
        <v>0</v>
      </c>
      <c r="AC20">
        <v>1704.088</v>
      </c>
      <c r="AD20">
        <v>1068.634</v>
      </c>
      <c r="AE20">
        <v>2566.212</v>
      </c>
      <c r="AF20">
        <v>1590.3820000000001</v>
      </c>
      <c r="AG20">
        <v>1246.9190000000001</v>
      </c>
      <c r="AH20">
        <v>920.18600000000004</v>
      </c>
      <c r="AI20">
        <v>1632.6010000000001</v>
      </c>
      <c r="AJ20">
        <v>227.75800000000001</v>
      </c>
      <c r="AK20">
        <v>10956.78</v>
      </c>
      <c r="AM20" t="s">
        <v>382</v>
      </c>
      <c r="AN20">
        <v>0</v>
      </c>
      <c r="AO20">
        <v>1427.3330000000001</v>
      </c>
      <c r="AP20">
        <v>1057.056</v>
      </c>
      <c r="AQ20">
        <v>2448.1149999999998</v>
      </c>
      <c r="AR20">
        <v>1789.309</v>
      </c>
      <c r="AS20">
        <v>1204.085</v>
      </c>
      <c r="AT20">
        <v>911.80200000000002</v>
      </c>
      <c r="AU20">
        <v>1606.9349999999999</v>
      </c>
      <c r="AV20">
        <v>230.30600000000001</v>
      </c>
      <c r="AW20">
        <v>10674.941000000001</v>
      </c>
    </row>
    <row r="21" spans="14:49">
      <c r="N21" s="25" t="s">
        <v>2729</v>
      </c>
      <c r="R21">
        <f t="shared" si="0"/>
        <v>20</v>
      </c>
      <c r="AA21" t="s">
        <v>385</v>
      </c>
      <c r="AB21">
        <v>0</v>
      </c>
      <c r="AC21">
        <v>1196.567</v>
      </c>
      <c r="AD21">
        <v>1141.5419999999999</v>
      </c>
      <c r="AE21">
        <v>675.41300000000001</v>
      </c>
      <c r="AF21">
        <v>1138.3510000000001</v>
      </c>
      <c r="AG21">
        <v>1682.4159999999999</v>
      </c>
      <c r="AH21">
        <v>2042.5719999999999</v>
      </c>
      <c r="AI21">
        <v>257.28100000000001</v>
      </c>
      <c r="AJ21">
        <v>3.125</v>
      </c>
      <c r="AK21">
        <v>8137.268</v>
      </c>
      <c r="AM21" t="s">
        <v>385</v>
      </c>
      <c r="AN21">
        <v>0</v>
      </c>
      <c r="AO21">
        <v>261.44200000000001</v>
      </c>
      <c r="AP21">
        <v>1010.704</v>
      </c>
      <c r="AQ21">
        <v>694.50199999999995</v>
      </c>
      <c r="AR21">
        <v>1303.1500000000001</v>
      </c>
      <c r="AS21">
        <v>1543.6769999999999</v>
      </c>
      <c r="AT21">
        <v>1916.9880000000001</v>
      </c>
      <c r="AU21">
        <v>233.23</v>
      </c>
      <c r="AV21">
        <v>2.927</v>
      </c>
      <c r="AW21">
        <v>6966.6189999999997</v>
      </c>
    </row>
    <row r="22" spans="14:49">
      <c r="N22" s="25" t="s">
        <v>2730</v>
      </c>
      <c r="R22">
        <f t="shared" si="0"/>
        <v>25</v>
      </c>
      <c r="AA22" t="s">
        <v>388</v>
      </c>
      <c r="AB22">
        <v>0</v>
      </c>
      <c r="AC22">
        <v>1208.367</v>
      </c>
      <c r="AD22">
        <v>2465.9270000000001</v>
      </c>
      <c r="AE22">
        <v>1788.8130000000001</v>
      </c>
      <c r="AF22">
        <v>2847.9769999999999</v>
      </c>
      <c r="AG22">
        <v>1971.9680000000001</v>
      </c>
      <c r="AH22">
        <v>1939.8910000000001</v>
      </c>
      <c r="AI22">
        <v>32.753999999999998</v>
      </c>
      <c r="AJ22">
        <v>8.9740000000000002</v>
      </c>
      <c r="AK22">
        <v>12264.669</v>
      </c>
      <c r="AM22" t="s">
        <v>388</v>
      </c>
      <c r="AN22">
        <v>0</v>
      </c>
      <c r="AO22">
        <v>149.28800000000001</v>
      </c>
      <c r="AP22">
        <v>2183.2330000000002</v>
      </c>
      <c r="AQ22">
        <v>1887.65</v>
      </c>
      <c r="AR22">
        <v>3413.1610000000001</v>
      </c>
      <c r="AS22">
        <v>1805.9839999999999</v>
      </c>
      <c r="AT22">
        <v>1785.8489999999999</v>
      </c>
      <c r="AU22">
        <v>29.448</v>
      </c>
      <c r="AV22">
        <v>8.2639999999999993</v>
      </c>
      <c r="AW22">
        <v>11262.877</v>
      </c>
    </row>
    <row r="23" spans="14:49">
      <c r="N23" s="25" t="s">
        <v>2731</v>
      </c>
      <c r="R23">
        <f t="shared" si="0"/>
        <v>10</v>
      </c>
      <c r="AA23" t="s">
        <v>391</v>
      </c>
      <c r="AB23">
        <v>0</v>
      </c>
      <c r="AC23">
        <v>86.715999999999994</v>
      </c>
      <c r="AD23">
        <v>2618.3519999999999</v>
      </c>
      <c r="AE23">
        <v>932.11599999999999</v>
      </c>
      <c r="AF23">
        <v>1299.4680000000001</v>
      </c>
      <c r="AG23">
        <v>2196.6109999999999</v>
      </c>
      <c r="AH23">
        <v>196.18199999999999</v>
      </c>
      <c r="AI23">
        <v>527.19000000000005</v>
      </c>
      <c r="AJ23">
        <v>90.828999999999994</v>
      </c>
      <c r="AK23">
        <v>7947.4629999999997</v>
      </c>
      <c r="AM23" t="s">
        <v>391</v>
      </c>
      <c r="AN23">
        <v>0</v>
      </c>
      <c r="AO23">
        <v>40.063000000000002</v>
      </c>
      <c r="AP23">
        <v>2357.8649999999998</v>
      </c>
      <c r="AQ23">
        <v>953.08199999999999</v>
      </c>
      <c r="AR23">
        <v>1364.1320000000001</v>
      </c>
      <c r="AS23">
        <v>2026.18</v>
      </c>
      <c r="AT23">
        <v>177.226</v>
      </c>
      <c r="AU23">
        <v>478.48099999999999</v>
      </c>
      <c r="AV23">
        <v>82.832999999999998</v>
      </c>
      <c r="AW23">
        <v>7479.8630000000003</v>
      </c>
    </row>
    <row r="24" spans="14:49">
      <c r="N24" s="25" t="s">
        <v>2732</v>
      </c>
      <c r="R24">
        <f t="shared" si="0"/>
        <v>20</v>
      </c>
      <c r="AA24" t="s">
        <v>394</v>
      </c>
      <c r="AB24">
        <v>0</v>
      </c>
      <c r="AC24">
        <v>495.01400000000001</v>
      </c>
      <c r="AD24">
        <v>1199.7929999999999</v>
      </c>
      <c r="AE24">
        <v>281.31400000000002</v>
      </c>
      <c r="AF24">
        <v>1293.0540000000001</v>
      </c>
      <c r="AG24">
        <v>942.06500000000005</v>
      </c>
      <c r="AH24">
        <v>224.697</v>
      </c>
      <c r="AI24">
        <v>55.578000000000003</v>
      </c>
      <c r="AJ24">
        <v>7.8419999999999996</v>
      </c>
      <c r="AK24">
        <v>4499.357</v>
      </c>
      <c r="AM24" t="s">
        <v>394</v>
      </c>
      <c r="AN24">
        <v>0</v>
      </c>
      <c r="AO24">
        <v>109.866</v>
      </c>
      <c r="AP24">
        <v>1055.5039999999999</v>
      </c>
      <c r="AQ24">
        <v>287.70600000000002</v>
      </c>
      <c r="AR24">
        <v>1468.982</v>
      </c>
      <c r="AS24">
        <v>848.42399999999998</v>
      </c>
      <c r="AT24">
        <v>200.21</v>
      </c>
      <c r="AU24">
        <v>49.862000000000002</v>
      </c>
      <c r="AV24">
        <v>7.226</v>
      </c>
      <c r="AW24">
        <v>4027.78</v>
      </c>
    </row>
    <row r="25" spans="14:49">
      <c r="N25" s="25" t="s">
        <v>2733</v>
      </c>
      <c r="R25">
        <f t="shared" si="0"/>
        <v>10</v>
      </c>
      <c r="AA25" t="s">
        <v>397</v>
      </c>
      <c r="AB25">
        <v>0</v>
      </c>
      <c r="AC25">
        <v>5.1689999999999996</v>
      </c>
      <c r="AD25">
        <v>600.596</v>
      </c>
      <c r="AE25">
        <v>162.39699999999999</v>
      </c>
      <c r="AF25">
        <v>86.384</v>
      </c>
      <c r="AG25">
        <v>330.09699999999998</v>
      </c>
      <c r="AH25">
        <v>238.94399999999999</v>
      </c>
      <c r="AI25">
        <v>30.268999999999998</v>
      </c>
      <c r="AJ25">
        <v>18.158000000000001</v>
      </c>
      <c r="AK25">
        <v>1472.0129999999999</v>
      </c>
      <c r="AM25" t="s">
        <v>397</v>
      </c>
      <c r="AN25">
        <v>0</v>
      </c>
      <c r="AO25">
        <v>2.0339999999999998</v>
      </c>
      <c r="AP25">
        <v>408.64499999999998</v>
      </c>
      <c r="AQ25">
        <v>132.07300000000001</v>
      </c>
      <c r="AR25">
        <v>73.879000000000005</v>
      </c>
      <c r="AS25">
        <v>234.12799999999999</v>
      </c>
      <c r="AT25">
        <v>187.24299999999999</v>
      </c>
      <c r="AU25">
        <v>20.873000000000001</v>
      </c>
      <c r="AV25">
        <v>12.446</v>
      </c>
      <c r="AW25">
        <v>1071.3219999999999</v>
      </c>
    </row>
    <row r="26" spans="14:49">
      <c r="N26" s="25" t="s">
        <v>2734</v>
      </c>
      <c r="R26">
        <f t="shared" si="0"/>
        <v>10</v>
      </c>
      <c r="AA26" t="s">
        <v>400</v>
      </c>
      <c r="AB26">
        <v>0</v>
      </c>
      <c r="AC26">
        <v>18.917999999999999</v>
      </c>
      <c r="AD26">
        <v>43.207999999999998</v>
      </c>
      <c r="AE26">
        <v>51.89</v>
      </c>
      <c r="AF26">
        <v>60.167000000000002</v>
      </c>
      <c r="AG26">
        <v>18.631</v>
      </c>
      <c r="AH26">
        <v>69.081000000000003</v>
      </c>
      <c r="AI26">
        <v>42.006</v>
      </c>
      <c r="AJ26">
        <v>10.865</v>
      </c>
      <c r="AK26">
        <v>314.76499999999999</v>
      </c>
      <c r="AM26" t="s">
        <v>400</v>
      </c>
      <c r="AN26">
        <v>0</v>
      </c>
      <c r="AO26">
        <v>9.8450000000000006</v>
      </c>
      <c r="AP26">
        <v>38.889000000000003</v>
      </c>
      <c r="AQ26">
        <v>50.597000000000001</v>
      </c>
      <c r="AR26">
        <v>67.352000000000004</v>
      </c>
      <c r="AS26">
        <v>16.952999999999999</v>
      </c>
      <c r="AT26">
        <v>63.343000000000004</v>
      </c>
      <c r="AU26">
        <v>38.598999999999997</v>
      </c>
      <c r="AV26">
        <v>10.068</v>
      </c>
      <c r="AW26">
        <v>295.64699999999999</v>
      </c>
    </row>
    <row r="27" spans="14:49">
      <c r="N27" s="25" t="s">
        <v>2735</v>
      </c>
      <c r="R27">
        <f t="shared" si="0"/>
        <v>10</v>
      </c>
      <c r="AA27" t="s">
        <v>403</v>
      </c>
      <c r="AB27">
        <v>0</v>
      </c>
      <c r="AC27">
        <v>2964.8110000000001</v>
      </c>
      <c r="AD27">
        <v>7248.0950000000003</v>
      </c>
      <c r="AE27">
        <v>11518.976000000001</v>
      </c>
      <c r="AF27">
        <v>3784.5830000000001</v>
      </c>
      <c r="AG27">
        <v>5359.518</v>
      </c>
      <c r="AH27">
        <v>3623.8229999999999</v>
      </c>
      <c r="AI27">
        <v>2688.7139999999999</v>
      </c>
      <c r="AJ27">
        <v>703.005</v>
      </c>
      <c r="AK27">
        <v>37891.523999999998</v>
      </c>
      <c r="AM27" t="s">
        <v>403</v>
      </c>
      <c r="AN27">
        <v>0</v>
      </c>
      <c r="AO27">
        <v>1856.9949999999999</v>
      </c>
      <c r="AP27">
        <v>6757.3789999999999</v>
      </c>
      <c r="AQ27">
        <v>11799.902</v>
      </c>
      <c r="AR27">
        <v>4012.8539999999998</v>
      </c>
      <c r="AS27">
        <v>5042.0379999999996</v>
      </c>
      <c r="AT27">
        <v>3382.0149999999999</v>
      </c>
      <c r="AU27">
        <v>2541.5659999999998</v>
      </c>
      <c r="AV27">
        <v>675.78899999999999</v>
      </c>
      <c r="AW27">
        <v>36068.538999999997</v>
      </c>
    </row>
    <row r="28" spans="14:49">
      <c r="N28" s="25" t="s">
        <v>2736</v>
      </c>
      <c r="R28">
        <f t="shared" si="0"/>
        <v>10</v>
      </c>
      <c r="AA28" t="s">
        <v>406</v>
      </c>
      <c r="AB28">
        <v>0</v>
      </c>
      <c r="AC28">
        <v>511.51600000000002</v>
      </c>
      <c r="AD28">
        <v>3261.5709999999999</v>
      </c>
      <c r="AE28">
        <v>2965.9290000000001</v>
      </c>
      <c r="AF28">
        <v>1194.5409999999999</v>
      </c>
      <c r="AG28">
        <v>1509.6590000000001</v>
      </c>
      <c r="AH28">
        <v>806.32</v>
      </c>
      <c r="AI28">
        <v>1490.432</v>
      </c>
      <c r="AJ28">
        <v>569.93899999999996</v>
      </c>
      <c r="AK28">
        <v>12309.906000000001</v>
      </c>
      <c r="AM28" t="s">
        <v>406</v>
      </c>
      <c r="AN28">
        <v>0</v>
      </c>
      <c r="AO28">
        <v>389.375</v>
      </c>
      <c r="AP28">
        <v>3156.163</v>
      </c>
      <c r="AQ28">
        <v>3011.5630000000001</v>
      </c>
      <c r="AR28">
        <v>1261.9190000000001</v>
      </c>
      <c r="AS28">
        <v>1473.952</v>
      </c>
      <c r="AT28">
        <v>782.04300000000001</v>
      </c>
      <c r="AU28">
        <v>1448.663</v>
      </c>
      <c r="AV28">
        <v>558.84100000000001</v>
      </c>
      <c r="AW28">
        <v>12082.52</v>
      </c>
    </row>
    <row r="29" spans="14:49">
      <c r="N29" s="25" t="s">
        <v>2737</v>
      </c>
      <c r="R29">
        <f t="shared" si="0"/>
        <v>10</v>
      </c>
      <c r="AA29" t="s">
        <v>409</v>
      </c>
      <c r="AB29">
        <v>0</v>
      </c>
      <c r="AC29">
        <v>1038.867</v>
      </c>
      <c r="AD29">
        <v>1824.5070000000001</v>
      </c>
      <c r="AE29">
        <v>2883.422</v>
      </c>
      <c r="AF29">
        <v>4429.8940000000002</v>
      </c>
      <c r="AG29">
        <v>3785.5770000000002</v>
      </c>
      <c r="AH29">
        <v>257.93</v>
      </c>
      <c r="AI29">
        <v>1302.7670000000001</v>
      </c>
      <c r="AJ29">
        <v>308.33699999999999</v>
      </c>
      <c r="AK29">
        <v>15831.302</v>
      </c>
      <c r="AM29" t="s">
        <v>409</v>
      </c>
      <c r="AN29">
        <v>0</v>
      </c>
      <c r="AO29">
        <v>383.06200000000001</v>
      </c>
      <c r="AP29">
        <v>1331.546</v>
      </c>
      <c r="AQ29">
        <v>2465.06</v>
      </c>
      <c r="AR29">
        <v>4237.0630000000001</v>
      </c>
      <c r="AS29">
        <v>3024.6779999999999</v>
      </c>
      <c r="AT29">
        <v>189.02600000000001</v>
      </c>
      <c r="AU29">
        <v>1026.364</v>
      </c>
      <c r="AV29">
        <v>242.53800000000001</v>
      </c>
      <c r="AW29">
        <v>12899.338</v>
      </c>
    </row>
    <row r="30" spans="14:49">
      <c r="N30" s="25" t="s">
        <v>2738</v>
      </c>
      <c r="R30">
        <f t="shared" si="0"/>
        <v>10</v>
      </c>
      <c r="AA30" t="s">
        <v>412</v>
      </c>
      <c r="AB30">
        <v>0</v>
      </c>
      <c r="AC30">
        <v>142.83099999999999</v>
      </c>
      <c r="AD30">
        <v>931.66800000000001</v>
      </c>
      <c r="AE30">
        <v>2369.174</v>
      </c>
      <c r="AF30">
        <v>981.12099999999998</v>
      </c>
      <c r="AG30">
        <v>1272.8140000000001</v>
      </c>
      <c r="AH30">
        <v>162.041</v>
      </c>
      <c r="AI30">
        <v>566.57000000000005</v>
      </c>
      <c r="AJ30">
        <v>371.07400000000001</v>
      </c>
      <c r="AK30">
        <v>6797.2929999999997</v>
      </c>
      <c r="AM30" t="s">
        <v>412</v>
      </c>
      <c r="AN30">
        <v>0</v>
      </c>
      <c r="AO30">
        <v>50.295000000000002</v>
      </c>
      <c r="AP30">
        <v>675.31299999999999</v>
      </c>
      <c r="AQ30">
        <v>1866.9110000000001</v>
      </c>
      <c r="AR30">
        <v>888.29899999999998</v>
      </c>
      <c r="AS30">
        <v>938.70399999999995</v>
      </c>
      <c r="AT30">
        <v>115.095</v>
      </c>
      <c r="AU30">
        <v>431.21</v>
      </c>
      <c r="AV30">
        <v>280.2</v>
      </c>
      <c r="AW30">
        <v>5246.027</v>
      </c>
    </row>
    <row r="31" spans="14:49">
      <c r="N31" s="25" t="s">
        <v>2739</v>
      </c>
      <c r="R31">
        <f t="shared" si="0"/>
        <v>10</v>
      </c>
      <c r="AA31" t="s">
        <v>415</v>
      </c>
      <c r="AB31">
        <v>0</v>
      </c>
      <c r="AC31">
        <v>631.15</v>
      </c>
      <c r="AD31">
        <v>821.91600000000005</v>
      </c>
      <c r="AE31">
        <v>1254.377</v>
      </c>
      <c r="AF31">
        <v>582.22299999999996</v>
      </c>
      <c r="AG31">
        <v>381.41699999999997</v>
      </c>
      <c r="AH31">
        <v>89.209000000000003</v>
      </c>
      <c r="AI31">
        <v>533.173</v>
      </c>
      <c r="AJ31">
        <v>80.442999999999998</v>
      </c>
      <c r="AK31">
        <v>4373.9059999999999</v>
      </c>
      <c r="AM31" t="s">
        <v>415</v>
      </c>
      <c r="AN31">
        <v>0</v>
      </c>
      <c r="AO31">
        <v>213.393</v>
      </c>
      <c r="AP31">
        <v>590.88400000000001</v>
      </c>
      <c r="AQ31">
        <v>1013.419</v>
      </c>
      <c r="AR31">
        <v>506.54199999999997</v>
      </c>
      <c r="AS31">
        <v>282.45100000000002</v>
      </c>
      <c r="AT31">
        <v>64.787000000000006</v>
      </c>
      <c r="AU31">
        <v>406.53500000000003</v>
      </c>
      <c r="AV31">
        <v>60.045999999999999</v>
      </c>
      <c r="AW31">
        <v>3138.058</v>
      </c>
    </row>
    <row r="32" spans="14:49">
      <c r="N32" s="25" t="s">
        <v>2740</v>
      </c>
      <c r="R32">
        <f t="shared" si="0"/>
        <v>10</v>
      </c>
      <c r="AA32" t="s">
        <v>418</v>
      </c>
      <c r="AB32">
        <v>0</v>
      </c>
      <c r="AC32">
        <v>1820.424</v>
      </c>
      <c r="AD32">
        <v>853.91200000000003</v>
      </c>
      <c r="AE32">
        <v>1602.373</v>
      </c>
      <c r="AF32">
        <v>587.64099999999996</v>
      </c>
      <c r="AG32">
        <v>312.69499999999999</v>
      </c>
      <c r="AH32">
        <v>418.95299999999997</v>
      </c>
      <c r="AI32">
        <v>690.07799999999997</v>
      </c>
      <c r="AJ32">
        <v>884.31799999999998</v>
      </c>
      <c r="AK32">
        <v>7170.393</v>
      </c>
      <c r="AM32" t="s">
        <v>418</v>
      </c>
      <c r="AN32">
        <v>0</v>
      </c>
      <c r="AO32">
        <v>798.60199999999998</v>
      </c>
      <c r="AP32">
        <v>731.25599999999997</v>
      </c>
      <c r="AQ32">
        <v>1573.8430000000001</v>
      </c>
      <c r="AR32">
        <v>553.16399999999999</v>
      </c>
      <c r="AS32">
        <v>271.108</v>
      </c>
      <c r="AT32">
        <v>369.81599999999997</v>
      </c>
      <c r="AU32">
        <v>611.46100000000001</v>
      </c>
      <c r="AV32">
        <v>816.18399999999997</v>
      </c>
      <c r="AW32">
        <v>5725.4340000000002</v>
      </c>
    </row>
    <row r="33" spans="14:49">
      <c r="N33" s="25" t="s">
        <v>2741</v>
      </c>
      <c r="R33">
        <f t="shared" si="0"/>
        <v>10</v>
      </c>
      <c r="AA33" t="s">
        <v>421</v>
      </c>
      <c r="AB33">
        <v>0</v>
      </c>
      <c r="AC33">
        <v>5240.2569999999996</v>
      </c>
      <c r="AD33">
        <v>5129.4650000000001</v>
      </c>
      <c r="AE33">
        <v>8410.6839999999993</v>
      </c>
      <c r="AF33">
        <v>5702.2420000000002</v>
      </c>
      <c r="AG33">
        <v>3430.8510000000001</v>
      </c>
      <c r="AH33">
        <v>1383.0809999999999</v>
      </c>
      <c r="AI33">
        <v>3121.9580000000001</v>
      </c>
      <c r="AJ33">
        <v>1102.8969999999999</v>
      </c>
      <c r="AK33">
        <v>33521.434999999998</v>
      </c>
      <c r="AM33" t="s">
        <v>421</v>
      </c>
      <c r="AN33">
        <v>0</v>
      </c>
      <c r="AO33">
        <v>2663.7820000000002</v>
      </c>
      <c r="AP33">
        <v>4563.3429999999998</v>
      </c>
      <c r="AQ33">
        <v>8718.7199999999993</v>
      </c>
      <c r="AR33">
        <v>5762.183</v>
      </c>
      <c r="AS33">
        <v>3114.7890000000002</v>
      </c>
      <c r="AT33">
        <v>1235.6510000000001</v>
      </c>
      <c r="AU33">
        <v>2837.2890000000002</v>
      </c>
      <c r="AV33">
        <v>1004.71</v>
      </c>
      <c r="AW33">
        <v>29900.468000000001</v>
      </c>
    </row>
    <row r="34" spans="14:49">
      <c r="N34" s="25" t="s">
        <v>2742</v>
      </c>
      <c r="R34">
        <f t="shared" si="0"/>
        <v>10</v>
      </c>
      <c r="AA34" t="s">
        <v>424</v>
      </c>
      <c r="AB34">
        <v>0</v>
      </c>
      <c r="AC34">
        <v>5636.5550000000003</v>
      </c>
      <c r="AD34">
        <v>29318.162</v>
      </c>
      <c r="AE34">
        <v>6304.1310000000003</v>
      </c>
      <c r="AF34">
        <v>20092.096000000001</v>
      </c>
      <c r="AG34">
        <v>24161.991999999998</v>
      </c>
      <c r="AH34">
        <v>4326.826</v>
      </c>
      <c r="AI34">
        <v>8918.4689999999991</v>
      </c>
      <c r="AJ34">
        <v>1366.537</v>
      </c>
      <c r="AK34">
        <v>100124.768</v>
      </c>
      <c r="AM34" t="s">
        <v>424</v>
      </c>
      <c r="AN34">
        <v>0</v>
      </c>
      <c r="AO34">
        <v>3763.7280000000001</v>
      </c>
      <c r="AP34">
        <v>28702.381000000001</v>
      </c>
      <c r="AQ34">
        <v>6535.77</v>
      </c>
      <c r="AR34">
        <v>20377.548999999999</v>
      </c>
      <c r="AS34">
        <v>23667.386999999999</v>
      </c>
      <c r="AT34">
        <v>4233.8509999999997</v>
      </c>
      <c r="AU34">
        <v>8724.0840000000007</v>
      </c>
      <c r="AV34">
        <v>1344.894</v>
      </c>
      <c r="AW34">
        <v>97349.642999999996</v>
      </c>
    </row>
    <row r="35" spans="14:49">
      <c r="N35" s="25" t="s">
        <v>2743</v>
      </c>
      <c r="R35">
        <f t="shared" si="0"/>
        <v>10</v>
      </c>
      <c r="AA35" t="s">
        <v>427</v>
      </c>
      <c r="AB35">
        <v>0</v>
      </c>
      <c r="AC35">
        <v>15217.573</v>
      </c>
      <c r="AD35">
        <v>32218.576000000001</v>
      </c>
      <c r="AE35">
        <v>26096.305</v>
      </c>
      <c r="AF35">
        <v>23575.868999999999</v>
      </c>
      <c r="AG35">
        <v>22901.171999999999</v>
      </c>
      <c r="AH35">
        <v>8940.7630000000008</v>
      </c>
      <c r="AI35">
        <v>25766.080000000002</v>
      </c>
      <c r="AJ35">
        <v>3536.2139999999999</v>
      </c>
      <c r="AK35">
        <v>158252.552</v>
      </c>
      <c r="AM35" t="s">
        <v>427</v>
      </c>
      <c r="AN35">
        <v>0</v>
      </c>
      <c r="AO35">
        <v>7061.5349999999999</v>
      </c>
      <c r="AP35">
        <v>28147.173999999999</v>
      </c>
      <c r="AQ35">
        <v>27672.971000000001</v>
      </c>
      <c r="AR35">
        <v>23763.436000000002</v>
      </c>
      <c r="AS35">
        <v>20448.182000000001</v>
      </c>
      <c r="AT35">
        <v>7841.4960000000001</v>
      </c>
      <c r="AU35">
        <v>22987.223000000002</v>
      </c>
      <c r="AV35">
        <v>3342.6149999999998</v>
      </c>
      <c r="AW35">
        <v>141264.63</v>
      </c>
    </row>
    <row r="36" spans="14:49">
      <c r="N36" s="25" t="s">
        <v>2744</v>
      </c>
      <c r="R36">
        <f t="shared" si="0"/>
        <v>10</v>
      </c>
      <c r="AA36" t="s">
        <v>430</v>
      </c>
      <c r="AB36">
        <v>0</v>
      </c>
      <c r="AC36">
        <v>2997.0659999999998</v>
      </c>
      <c r="AD36">
        <v>9660.3850000000002</v>
      </c>
      <c r="AE36">
        <v>4382.5619999999999</v>
      </c>
      <c r="AF36">
        <v>1480.3340000000001</v>
      </c>
      <c r="AG36">
        <v>3503.7910000000002</v>
      </c>
      <c r="AH36">
        <v>5172.8450000000003</v>
      </c>
      <c r="AI36">
        <v>25675.886999999999</v>
      </c>
      <c r="AJ36">
        <v>3592.58</v>
      </c>
      <c r="AK36">
        <v>56465.45</v>
      </c>
      <c r="AM36" t="s">
        <v>430</v>
      </c>
      <c r="AN36">
        <v>0</v>
      </c>
      <c r="AO36">
        <v>1434.751</v>
      </c>
      <c r="AP36">
        <v>9022.0820000000003</v>
      </c>
      <c r="AQ36">
        <v>4257.433</v>
      </c>
      <c r="AR36">
        <v>1413.713</v>
      </c>
      <c r="AS36">
        <v>3294.1709999999998</v>
      </c>
      <c r="AT36">
        <v>4852.3429999999998</v>
      </c>
      <c r="AU36">
        <v>24384.768</v>
      </c>
      <c r="AV36">
        <v>3408.346</v>
      </c>
      <c r="AW36">
        <v>52067.607000000004</v>
      </c>
    </row>
    <row r="37" spans="14:49">
      <c r="N37" s="25" t="s">
        <v>2745</v>
      </c>
      <c r="R37">
        <f t="shared" si="0"/>
        <v>10</v>
      </c>
      <c r="AA37" t="s">
        <v>433</v>
      </c>
      <c r="AB37">
        <v>0</v>
      </c>
      <c r="AC37">
        <v>3147.3359999999998</v>
      </c>
      <c r="AD37">
        <v>4997.1289999999999</v>
      </c>
      <c r="AE37">
        <v>11720.838</v>
      </c>
      <c r="AF37">
        <v>13049.482</v>
      </c>
      <c r="AG37">
        <v>4392.0959999999995</v>
      </c>
      <c r="AH37">
        <v>1057.703</v>
      </c>
      <c r="AI37">
        <v>4603.3909999999996</v>
      </c>
      <c r="AJ37">
        <v>1133.951</v>
      </c>
      <c r="AK37">
        <v>44101.927000000003</v>
      </c>
      <c r="AM37" t="s">
        <v>433</v>
      </c>
      <c r="AN37">
        <v>0</v>
      </c>
      <c r="AO37">
        <v>1396.069</v>
      </c>
      <c r="AP37">
        <v>4189.7619999999997</v>
      </c>
      <c r="AQ37">
        <v>11562.633</v>
      </c>
      <c r="AR37">
        <v>12300.216</v>
      </c>
      <c r="AS37">
        <v>3774.9389999999999</v>
      </c>
      <c r="AT37">
        <v>878.52</v>
      </c>
      <c r="AU37">
        <v>3991.91</v>
      </c>
      <c r="AV37">
        <v>985.02599999999995</v>
      </c>
      <c r="AW37">
        <v>39079.074000000001</v>
      </c>
    </row>
    <row r="38" spans="14:49">
      <c r="N38" s="25" t="s">
        <v>2746</v>
      </c>
      <c r="R38">
        <f t="shared" si="0"/>
        <v>10</v>
      </c>
      <c r="AA38" t="s">
        <v>436</v>
      </c>
      <c r="AB38">
        <v>0</v>
      </c>
      <c r="AC38">
        <v>1492.8489999999999</v>
      </c>
      <c r="AD38">
        <v>1915.2180000000001</v>
      </c>
      <c r="AE38">
        <v>4059.145</v>
      </c>
      <c r="AF38">
        <v>1880.4390000000001</v>
      </c>
      <c r="AG38">
        <v>1127.3620000000001</v>
      </c>
      <c r="AH38">
        <v>795.31700000000001</v>
      </c>
      <c r="AI38">
        <v>2843.5320000000002</v>
      </c>
      <c r="AJ38">
        <v>425.483</v>
      </c>
      <c r="AK38">
        <v>14539.344999999999</v>
      </c>
      <c r="AM38" t="s">
        <v>436</v>
      </c>
      <c r="AN38">
        <v>0</v>
      </c>
      <c r="AO38">
        <v>735.12900000000002</v>
      </c>
      <c r="AP38">
        <v>1706.4829999999999</v>
      </c>
      <c r="AQ38">
        <v>4050.3539999999998</v>
      </c>
      <c r="AR38">
        <v>1984.646</v>
      </c>
      <c r="AS38">
        <v>1007.696</v>
      </c>
      <c r="AT38">
        <v>707.98500000000001</v>
      </c>
      <c r="AU38">
        <v>2619.924</v>
      </c>
      <c r="AV38">
        <v>395.24599999999998</v>
      </c>
      <c r="AW38">
        <v>13207.462</v>
      </c>
    </row>
    <row r="39" spans="14:49">
      <c r="N39" s="25" t="s">
        <v>2747</v>
      </c>
      <c r="R39">
        <f t="shared" si="0"/>
        <v>10</v>
      </c>
      <c r="T39">
        <v>25</v>
      </c>
      <c r="AA39" t="s">
        <v>439</v>
      </c>
      <c r="AB39">
        <v>0</v>
      </c>
      <c r="AC39">
        <v>1502.8610000000001</v>
      </c>
      <c r="AD39">
        <v>4910.8249999999998</v>
      </c>
      <c r="AE39">
        <v>7383.8370000000004</v>
      </c>
      <c r="AF39">
        <v>5801.2020000000002</v>
      </c>
      <c r="AG39">
        <v>1119.356</v>
      </c>
      <c r="AH39">
        <v>211.85499999999999</v>
      </c>
      <c r="AI39">
        <v>1599.29</v>
      </c>
      <c r="AJ39">
        <v>234.56299999999999</v>
      </c>
      <c r="AK39">
        <v>22763.789000000001</v>
      </c>
      <c r="AM39" t="s">
        <v>439</v>
      </c>
      <c r="AN39">
        <v>0</v>
      </c>
      <c r="AO39">
        <v>668.4</v>
      </c>
      <c r="AP39">
        <v>3936.1149999999998</v>
      </c>
      <c r="AQ39">
        <v>2968.9810000000002</v>
      </c>
      <c r="AR39">
        <v>5585.2079999999996</v>
      </c>
      <c r="AS39">
        <v>885.43</v>
      </c>
      <c r="AT39">
        <v>169.255</v>
      </c>
      <c r="AU39">
        <v>1310.462</v>
      </c>
      <c r="AV39">
        <v>197.232</v>
      </c>
      <c r="AW39">
        <v>15721.084000000001</v>
      </c>
    </row>
    <row r="40" spans="14:49">
      <c r="N40" s="25" t="s">
        <v>2748</v>
      </c>
      <c r="R40">
        <f t="shared" si="0"/>
        <v>10</v>
      </c>
      <c r="T40">
        <v>25</v>
      </c>
      <c r="AA40" t="s">
        <v>442</v>
      </c>
      <c r="AB40">
        <v>0</v>
      </c>
      <c r="AC40">
        <v>8445.375</v>
      </c>
      <c r="AD40">
        <v>13952.058999999999</v>
      </c>
      <c r="AE40">
        <v>6026.4669999999996</v>
      </c>
      <c r="AF40">
        <v>6356.7179999999998</v>
      </c>
      <c r="AG40">
        <v>2414.5100000000002</v>
      </c>
      <c r="AH40">
        <v>1399.7339999999999</v>
      </c>
      <c r="AI40">
        <v>5595.4089999999997</v>
      </c>
      <c r="AJ40">
        <v>6602.3969999999999</v>
      </c>
      <c r="AK40">
        <v>50792.667999999998</v>
      </c>
      <c r="AM40" t="s">
        <v>442</v>
      </c>
      <c r="AN40">
        <v>0</v>
      </c>
      <c r="AO40">
        <v>2271.0619999999999</v>
      </c>
      <c r="AP40">
        <v>8603.9009999999998</v>
      </c>
      <c r="AQ40">
        <v>821.572</v>
      </c>
      <c r="AR40">
        <v>6198.7709999999997</v>
      </c>
      <c r="AS40">
        <v>1463.1959999999999</v>
      </c>
      <c r="AT40">
        <v>862.14099999999996</v>
      </c>
      <c r="AU40">
        <v>3486.1190000000001</v>
      </c>
      <c r="AV40">
        <v>4467.6660000000002</v>
      </c>
      <c r="AW40">
        <v>28174.428</v>
      </c>
    </row>
    <row r="41" spans="14:49">
      <c r="N41" s="25" t="s">
        <v>2749</v>
      </c>
      <c r="R41">
        <f t="shared" si="0"/>
        <v>10</v>
      </c>
      <c r="AA41" t="s">
        <v>445</v>
      </c>
      <c r="AB41">
        <v>0</v>
      </c>
      <c r="AC41">
        <v>1354.7929999999999</v>
      </c>
      <c r="AD41">
        <v>7693.63</v>
      </c>
      <c r="AE41">
        <v>8939.0159999999996</v>
      </c>
      <c r="AF41">
        <v>9043.0249999999996</v>
      </c>
      <c r="AG41">
        <v>3402.9639999999999</v>
      </c>
      <c r="AH41">
        <v>825.75400000000002</v>
      </c>
      <c r="AI41">
        <v>3555.692</v>
      </c>
      <c r="AJ41">
        <v>1113.8620000000001</v>
      </c>
      <c r="AK41">
        <v>35928.737000000001</v>
      </c>
      <c r="AM41" t="s">
        <v>445</v>
      </c>
      <c r="AN41">
        <v>0</v>
      </c>
      <c r="AO41">
        <v>493.37700000000001</v>
      </c>
      <c r="AP41">
        <v>5938.8559999999998</v>
      </c>
      <c r="AQ41">
        <v>8560.7900000000009</v>
      </c>
      <c r="AR41">
        <v>8505.5849999999991</v>
      </c>
      <c r="AS41">
        <v>2668.1570000000002</v>
      </c>
      <c r="AT41">
        <v>628.54700000000003</v>
      </c>
      <c r="AU41">
        <v>2842.107</v>
      </c>
      <c r="AV41">
        <v>913.96</v>
      </c>
      <c r="AW41">
        <v>30551.38</v>
      </c>
    </row>
    <row r="42" spans="14:49">
      <c r="N42" s="25" t="s">
        <v>2750</v>
      </c>
      <c r="R42">
        <f t="shared" si="0"/>
        <v>10</v>
      </c>
      <c r="AA42" t="s">
        <v>448</v>
      </c>
      <c r="AB42">
        <v>0</v>
      </c>
      <c r="AC42">
        <v>29826.958999999999</v>
      </c>
      <c r="AD42">
        <v>53752.141000000003</v>
      </c>
      <c r="AE42">
        <v>26159.596000000001</v>
      </c>
      <c r="AF42">
        <v>43450.148000000001</v>
      </c>
      <c r="AG42">
        <v>34371.031000000003</v>
      </c>
      <c r="AH42">
        <v>13074.225</v>
      </c>
      <c r="AI42">
        <v>31450.592000000001</v>
      </c>
      <c r="AJ42">
        <v>5596.3050000000003</v>
      </c>
      <c r="AK42">
        <v>237680.99600000001</v>
      </c>
      <c r="AM42" t="s">
        <v>448</v>
      </c>
      <c r="AN42">
        <v>0</v>
      </c>
      <c r="AO42">
        <v>10715.759</v>
      </c>
      <c r="AP42">
        <v>44543.156000000003</v>
      </c>
      <c r="AQ42">
        <v>23908.918000000001</v>
      </c>
      <c r="AR42">
        <v>38600.305</v>
      </c>
      <c r="AS42">
        <v>28763.282999999999</v>
      </c>
      <c r="AT42">
        <v>10586.618</v>
      </c>
      <c r="AU42">
        <v>26457.322</v>
      </c>
      <c r="AV42">
        <v>4809.6499999999996</v>
      </c>
      <c r="AW42">
        <v>188385.01199999999</v>
      </c>
    </row>
    <row r="43" spans="14:49">
      <c r="N43" s="25" t="s">
        <v>2751</v>
      </c>
      <c r="R43">
        <f t="shared" si="0"/>
        <v>10</v>
      </c>
      <c r="AA43" t="s">
        <v>451</v>
      </c>
      <c r="AB43">
        <v>0</v>
      </c>
      <c r="AC43">
        <v>4691.0320000000002</v>
      </c>
      <c r="AD43">
        <v>10099.790000000001</v>
      </c>
      <c r="AE43">
        <v>16189.383</v>
      </c>
      <c r="AF43">
        <v>22756.803</v>
      </c>
      <c r="AG43">
        <v>7490.3620000000001</v>
      </c>
      <c r="AH43">
        <v>1949.8779999999999</v>
      </c>
      <c r="AI43">
        <v>9239.9159999999993</v>
      </c>
      <c r="AJ43">
        <v>2277.0630000000001</v>
      </c>
      <c r="AK43">
        <v>74694.228000000003</v>
      </c>
      <c r="AM43" t="s">
        <v>451</v>
      </c>
      <c r="AN43">
        <v>0</v>
      </c>
      <c r="AO43">
        <v>1366.1420000000001</v>
      </c>
      <c r="AP43">
        <v>7009.6170000000002</v>
      </c>
      <c r="AQ43">
        <v>14608.205</v>
      </c>
      <c r="AR43">
        <v>21449.449000000001</v>
      </c>
      <c r="AS43">
        <v>5339.2790000000005</v>
      </c>
      <c r="AT43">
        <v>1324.806</v>
      </c>
      <c r="AU43">
        <v>6709.277</v>
      </c>
      <c r="AV43">
        <v>1673.3579999999999</v>
      </c>
      <c r="AW43">
        <v>59480.133000000002</v>
      </c>
    </row>
    <row r="44" spans="14:49">
      <c r="N44" s="25" t="s">
        <v>2752</v>
      </c>
      <c r="R44">
        <f t="shared" si="0"/>
        <v>20</v>
      </c>
      <c r="AA44" t="s">
        <v>454</v>
      </c>
      <c r="AB44">
        <v>0</v>
      </c>
      <c r="AC44">
        <v>10153.236000000001</v>
      </c>
      <c r="AD44">
        <v>28818.359</v>
      </c>
      <c r="AE44">
        <v>32354.240000000002</v>
      </c>
      <c r="AF44">
        <v>21304.692999999999</v>
      </c>
      <c r="AG44">
        <v>21163.82</v>
      </c>
      <c r="AH44">
        <v>4971.9790000000003</v>
      </c>
      <c r="AI44">
        <v>21701.776999999998</v>
      </c>
      <c r="AJ44">
        <v>4648.4960000000001</v>
      </c>
      <c r="AK44">
        <v>145116.601</v>
      </c>
      <c r="AM44" t="s">
        <v>454</v>
      </c>
      <c r="AN44">
        <v>0</v>
      </c>
      <c r="AO44">
        <v>1672.819</v>
      </c>
      <c r="AP44">
        <v>21550.050999999999</v>
      </c>
      <c r="AQ44">
        <v>31620.388999999999</v>
      </c>
      <c r="AR44">
        <v>19338.562999999998</v>
      </c>
      <c r="AS44">
        <v>16454.447</v>
      </c>
      <c r="AT44">
        <v>3689.0079999999998</v>
      </c>
      <c r="AU44">
        <v>16796.440999999999</v>
      </c>
      <c r="AV44">
        <v>3751.7260000000001</v>
      </c>
      <c r="AW44">
        <v>114873.444</v>
      </c>
    </row>
    <row r="45" spans="14:49">
      <c r="N45" s="25" t="s">
        <v>2753</v>
      </c>
      <c r="R45">
        <f t="shared" si="0"/>
        <v>20</v>
      </c>
      <c r="AA45" t="s">
        <v>457</v>
      </c>
      <c r="AB45">
        <v>0</v>
      </c>
      <c r="AC45">
        <v>14697.876</v>
      </c>
      <c r="AD45">
        <v>17616.153999999999</v>
      </c>
      <c r="AE45">
        <v>57788.711000000003</v>
      </c>
      <c r="AF45">
        <v>29189.85</v>
      </c>
      <c r="AG45">
        <v>10145.539000000001</v>
      </c>
      <c r="AH45">
        <v>1918.8920000000001</v>
      </c>
      <c r="AI45">
        <v>13479.870999999999</v>
      </c>
      <c r="AJ45">
        <v>3036.8029999999999</v>
      </c>
      <c r="AK45">
        <v>147873.696</v>
      </c>
      <c r="AM45" t="s">
        <v>457</v>
      </c>
      <c r="AN45">
        <v>0</v>
      </c>
      <c r="AO45">
        <v>4298.2520000000004</v>
      </c>
      <c r="AP45">
        <v>14087.998</v>
      </c>
      <c r="AQ45">
        <v>53906.120999999999</v>
      </c>
      <c r="AR45">
        <v>24933.004000000001</v>
      </c>
      <c r="AS45">
        <v>8226.7180000000008</v>
      </c>
      <c r="AT45">
        <v>1474.761</v>
      </c>
      <c r="AU45">
        <v>10924.38</v>
      </c>
      <c r="AV45">
        <v>2490.614</v>
      </c>
      <c r="AW45">
        <v>120341.84699999999</v>
      </c>
    </row>
    <row r="46" spans="14:49">
      <c r="N46" s="25" t="s">
        <v>2754</v>
      </c>
      <c r="R46">
        <f t="shared" si="0"/>
        <v>10</v>
      </c>
      <c r="AA46" t="s">
        <v>460</v>
      </c>
      <c r="AB46">
        <v>0</v>
      </c>
      <c r="AC46">
        <v>340.11700000000002</v>
      </c>
      <c r="AD46">
        <v>13434.876</v>
      </c>
      <c r="AE46">
        <v>2802.28</v>
      </c>
      <c r="AF46">
        <v>1981.1890000000001</v>
      </c>
      <c r="AG46">
        <v>13482.365</v>
      </c>
      <c r="AH46">
        <v>8112.3850000000002</v>
      </c>
      <c r="AI46">
        <v>8843.5969999999998</v>
      </c>
      <c r="AJ46">
        <v>794.96299999999997</v>
      </c>
      <c r="AK46">
        <v>49791.771999999997</v>
      </c>
      <c r="AM46" t="s">
        <v>460</v>
      </c>
      <c r="AN46">
        <v>0</v>
      </c>
      <c r="AO46">
        <v>101.527</v>
      </c>
      <c r="AP46">
        <v>9976.5130000000008</v>
      </c>
      <c r="AQ46">
        <v>2491.4969999999998</v>
      </c>
      <c r="AR46">
        <v>1672.8430000000001</v>
      </c>
      <c r="AS46">
        <v>10814.825000000001</v>
      </c>
      <c r="AT46">
        <v>6626.7290000000003</v>
      </c>
      <c r="AU46">
        <v>6710.652</v>
      </c>
      <c r="AV46">
        <v>612.56500000000005</v>
      </c>
      <c r="AW46">
        <v>39007.15</v>
      </c>
    </row>
    <row r="47" spans="14:49">
      <c r="N47" s="25" t="s">
        <v>2755</v>
      </c>
      <c r="R47">
        <f t="shared" si="0"/>
        <v>10</v>
      </c>
      <c r="AA47" t="s">
        <v>463</v>
      </c>
      <c r="AB47">
        <v>0</v>
      </c>
      <c r="AC47">
        <v>6138.39</v>
      </c>
      <c r="AD47">
        <v>19987.813999999998</v>
      </c>
      <c r="AE47">
        <v>12071.378000000001</v>
      </c>
      <c r="AF47">
        <v>6428.7219999999998</v>
      </c>
      <c r="AG47">
        <v>14085.334000000001</v>
      </c>
      <c r="AH47">
        <v>5301.9430000000002</v>
      </c>
      <c r="AI47">
        <v>23717.127</v>
      </c>
      <c r="AJ47">
        <v>6742.7939999999999</v>
      </c>
      <c r="AK47">
        <v>94473.501999999993</v>
      </c>
      <c r="AM47" t="s">
        <v>463</v>
      </c>
      <c r="AN47">
        <v>0</v>
      </c>
      <c r="AO47">
        <v>2498.4479999999999</v>
      </c>
      <c r="AP47">
        <v>16830.282999999999</v>
      </c>
      <c r="AQ47">
        <v>11307.509</v>
      </c>
      <c r="AR47">
        <v>6044.0879999999997</v>
      </c>
      <c r="AS47">
        <v>12132.061</v>
      </c>
      <c r="AT47">
        <v>4441.3419999999996</v>
      </c>
      <c r="AU47">
        <v>20706.396000000001</v>
      </c>
      <c r="AV47">
        <v>5952.95</v>
      </c>
      <c r="AW47">
        <v>79913.077000000005</v>
      </c>
    </row>
    <row r="48" spans="14:49">
      <c r="N48" s="25" t="s">
        <v>2756</v>
      </c>
      <c r="R48">
        <f t="shared" si="0"/>
        <v>10</v>
      </c>
      <c r="AA48" t="s">
        <v>466</v>
      </c>
      <c r="AB48">
        <v>0</v>
      </c>
      <c r="AC48">
        <v>30.603999999999999</v>
      </c>
      <c r="AD48">
        <v>76.308999999999997</v>
      </c>
      <c r="AE48">
        <v>434.89699999999999</v>
      </c>
      <c r="AF48">
        <v>46.319000000000003</v>
      </c>
      <c r="AG48">
        <v>12.294</v>
      </c>
      <c r="AH48">
        <v>0.10199999999999999</v>
      </c>
      <c r="AI48">
        <v>31.911000000000001</v>
      </c>
      <c r="AJ48">
        <v>4.9400000000000004</v>
      </c>
      <c r="AK48">
        <v>637.375</v>
      </c>
      <c r="AM48" t="s">
        <v>466</v>
      </c>
      <c r="AN48">
        <v>0</v>
      </c>
      <c r="AO48">
        <v>15.724</v>
      </c>
      <c r="AP48">
        <v>71.786000000000001</v>
      </c>
      <c r="AQ48">
        <v>460.94499999999999</v>
      </c>
      <c r="AR48">
        <v>50.284999999999997</v>
      </c>
      <c r="AS48">
        <v>11.798</v>
      </c>
      <c r="AT48">
        <v>9.7000000000000003E-2</v>
      </c>
      <c r="AU48">
        <v>30.494</v>
      </c>
      <c r="AV48">
        <v>4.87</v>
      </c>
      <c r="AW48">
        <v>645.99900000000002</v>
      </c>
    </row>
    <row r="49" spans="14:49">
      <c r="N49" s="25" t="s">
        <v>2757</v>
      </c>
      <c r="R49">
        <f t="shared" si="0"/>
        <v>10</v>
      </c>
      <c r="AA49" t="s">
        <v>469</v>
      </c>
      <c r="AB49">
        <v>0</v>
      </c>
      <c r="AC49">
        <v>130.42500000000001</v>
      </c>
      <c r="AD49">
        <v>426.39100000000002</v>
      </c>
      <c r="AE49">
        <v>5.5979999999999999</v>
      </c>
      <c r="AF49">
        <v>6.335</v>
      </c>
      <c r="AG49">
        <v>124.73099999999999</v>
      </c>
      <c r="AH49">
        <v>8.6829999999999998</v>
      </c>
      <c r="AI49">
        <v>88.995999999999995</v>
      </c>
      <c r="AJ49">
        <v>6.0060000000000002</v>
      </c>
      <c r="AK49">
        <v>797.16499999999996</v>
      </c>
      <c r="AM49" t="s">
        <v>469</v>
      </c>
      <c r="AN49">
        <v>0</v>
      </c>
      <c r="AO49">
        <v>74.037000000000006</v>
      </c>
      <c r="AP49">
        <v>401.92899999999997</v>
      </c>
      <c r="AQ49">
        <v>5.8449999999999998</v>
      </c>
      <c r="AR49">
        <v>6.2009999999999996</v>
      </c>
      <c r="AS49">
        <v>119.8</v>
      </c>
      <c r="AT49">
        <v>8.2330000000000005</v>
      </c>
      <c r="AU49">
        <v>85.247</v>
      </c>
      <c r="AV49">
        <v>5.97</v>
      </c>
      <c r="AW49">
        <v>707.26199999999994</v>
      </c>
    </row>
    <row r="50" spans="14:49">
      <c r="N50" s="25" t="s">
        <v>2758</v>
      </c>
      <c r="R50">
        <f t="shared" si="0"/>
        <v>10</v>
      </c>
      <c r="AA50" t="s">
        <v>472</v>
      </c>
      <c r="AB50">
        <v>0</v>
      </c>
      <c r="AC50">
        <v>40.43</v>
      </c>
      <c r="AD50">
        <v>56.985999999999997</v>
      </c>
      <c r="AE50">
        <v>10.939</v>
      </c>
      <c r="AF50">
        <v>8.3010000000000002</v>
      </c>
      <c r="AG50">
        <v>15.701000000000001</v>
      </c>
      <c r="AH50">
        <v>5.63</v>
      </c>
      <c r="AI50">
        <v>22.390999999999998</v>
      </c>
      <c r="AJ50">
        <v>5.3319999999999999</v>
      </c>
      <c r="AK50">
        <v>165.71100000000001</v>
      </c>
      <c r="AM50" t="s">
        <v>472</v>
      </c>
      <c r="AN50">
        <v>0</v>
      </c>
      <c r="AO50">
        <v>21.068000000000001</v>
      </c>
      <c r="AP50">
        <v>52.725999999999999</v>
      </c>
      <c r="AQ50">
        <v>11.457000000000001</v>
      </c>
      <c r="AR50">
        <v>9.43</v>
      </c>
      <c r="AS50">
        <v>14.66</v>
      </c>
      <c r="AT50">
        <v>5.2220000000000004</v>
      </c>
      <c r="AU50">
        <v>20.978000000000002</v>
      </c>
      <c r="AV50">
        <v>5.1779999999999999</v>
      </c>
      <c r="AW50">
        <v>140.71899999999999</v>
      </c>
    </row>
    <row r="51" spans="14:49">
      <c r="N51" s="25" t="s">
        <v>2759</v>
      </c>
      <c r="R51">
        <f t="shared" si="0"/>
        <v>10</v>
      </c>
      <c r="AA51" t="s">
        <v>475</v>
      </c>
      <c r="AB51">
        <v>0</v>
      </c>
      <c r="AC51">
        <v>95.073999999999998</v>
      </c>
      <c r="AD51">
        <v>1850.0809999999999</v>
      </c>
      <c r="AE51">
        <v>188.40199999999999</v>
      </c>
      <c r="AF51">
        <v>22.18</v>
      </c>
      <c r="AG51">
        <v>215.05</v>
      </c>
      <c r="AH51">
        <v>374.09800000000001</v>
      </c>
      <c r="AI51">
        <v>537.26</v>
      </c>
      <c r="AJ51">
        <v>68.801000000000002</v>
      </c>
      <c r="AK51">
        <v>3350.9459999999999</v>
      </c>
      <c r="AM51" t="s">
        <v>475</v>
      </c>
      <c r="AN51">
        <v>0</v>
      </c>
      <c r="AO51">
        <v>57.447000000000003</v>
      </c>
      <c r="AP51">
        <v>1748.61</v>
      </c>
      <c r="AQ51">
        <v>195.10499999999999</v>
      </c>
      <c r="AR51">
        <v>24.12</v>
      </c>
      <c r="AS51">
        <v>202.68700000000001</v>
      </c>
      <c r="AT51">
        <v>355.49299999999999</v>
      </c>
      <c r="AU51">
        <v>518.721</v>
      </c>
      <c r="AV51">
        <v>68.313999999999993</v>
      </c>
      <c r="AW51">
        <v>3170.4960000000001</v>
      </c>
    </row>
    <row r="52" spans="14:49">
      <c r="AA52" t="s">
        <v>477</v>
      </c>
      <c r="AB52">
        <v>0</v>
      </c>
      <c r="AC52">
        <v>2273.8020000000001</v>
      </c>
      <c r="AD52">
        <v>11010.134</v>
      </c>
      <c r="AE52">
        <v>978.88400000000001</v>
      </c>
      <c r="AF52">
        <v>734.13699999999994</v>
      </c>
      <c r="AG52">
        <v>3644.27</v>
      </c>
      <c r="AH52">
        <v>1861.037</v>
      </c>
      <c r="AI52">
        <v>7729.9520000000002</v>
      </c>
      <c r="AJ52">
        <v>1237.413</v>
      </c>
      <c r="AK52">
        <v>29469.628000000001</v>
      </c>
      <c r="AM52" t="s">
        <v>477</v>
      </c>
      <c r="AN52">
        <v>0</v>
      </c>
      <c r="AO52">
        <v>2014.5119999999999</v>
      </c>
      <c r="AP52">
        <v>10563.947</v>
      </c>
      <c r="AQ52">
        <v>1000.266</v>
      </c>
      <c r="AR52">
        <v>796.92</v>
      </c>
      <c r="AS52">
        <v>3484.22</v>
      </c>
      <c r="AT52">
        <v>1770.0830000000001</v>
      </c>
      <c r="AU52">
        <v>7485.0749999999998</v>
      </c>
      <c r="AV52">
        <v>1216.1869999999999</v>
      </c>
      <c r="AW52">
        <v>28331.21</v>
      </c>
    </row>
    <row r="53" spans="14:49">
      <c r="AA53" t="s">
        <v>480</v>
      </c>
      <c r="AB53">
        <v>0</v>
      </c>
      <c r="AC53">
        <v>12993.036</v>
      </c>
      <c r="AD53">
        <v>34707.5</v>
      </c>
      <c r="AE53">
        <v>14008.79</v>
      </c>
      <c r="AF53">
        <v>9254.9639999999999</v>
      </c>
      <c r="AG53">
        <v>18786.188999999998</v>
      </c>
      <c r="AH53">
        <v>4555.201</v>
      </c>
      <c r="AI53">
        <v>14730.621999999999</v>
      </c>
      <c r="AJ53">
        <v>6551.2219999999998</v>
      </c>
      <c r="AK53">
        <v>115587.524</v>
      </c>
      <c r="AM53" t="s">
        <v>480</v>
      </c>
      <c r="AN53">
        <v>0</v>
      </c>
      <c r="AO53">
        <v>11779.662</v>
      </c>
      <c r="AP53">
        <v>33438.116999999998</v>
      </c>
      <c r="AQ53">
        <v>14496.29</v>
      </c>
      <c r="AR53">
        <v>9769.9410000000007</v>
      </c>
      <c r="AS53">
        <v>18223.02</v>
      </c>
      <c r="AT53">
        <v>4385.817</v>
      </c>
      <c r="AU53">
        <v>14331.016</v>
      </c>
      <c r="AV53">
        <v>6381.87</v>
      </c>
      <c r="AW53">
        <v>112805.73299999999</v>
      </c>
    </row>
    <row r="54" spans="14:49">
      <c r="AA54" t="s">
        <v>483</v>
      </c>
      <c r="AB54">
        <v>0</v>
      </c>
      <c r="AC54">
        <v>1059.836</v>
      </c>
      <c r="AD54">
        <v>2232.5390000000002</v>
      </c>
      <c r="AE54">
        <v>294.875</v>
      </c>
      <c r="AF54">
        <v>214.82900000000001</v>
      </c>
      <c r="AG54">
        <v>613.88099999999997</v>
      </c>
      <c r="AH54">
        <v>145.54300000000001</v>
      </c>
      <c r="AI54">
        <v>1089.2090000000001</v>
      </c>
      <c r="AJ54">
        <v>142.434</v>
      </c>
      <c r="AK54">
        <v>5793.1459999999997</v>
      </c>
      <c r="AM54" t="s">
        <v>483</v>
      </c>
      <c r="AN54">
        <v>0</v>
      </c>
      <c r="AO54">
        <v>961.77499999999998</v>
      </c>
      <c r="AP54">
        <v>2149.1579999999999</v>
      </c>
      <c r="AQ54">
        <v>303.23899999999998</v>
      </c>
      <c r="AR54">
        <v>231.81399999999999</v>
      </c>
      <c r="AS54">
        <v>594.58199999999999</v>
      </c>
      <c r="AT54">
        <v>140.167</v>
      </c>
      <c r="AU54">
        <v>1058.8879999999999</v>
      </c>
      <c r="AV54">
        <v>138.88499999999999</v>
      </c>
      <c r="AW54">
        <v>5578.5079999999998</v>
      </c>
    </row>
    <row r="55" spans="14:49">
      <c r="AA55" t="s">
        <v>486</v>
      </c>
      <c r="AB55">
        <v>0</v>
      </c>
      <c r="AC55">
        <v>914.63099999999997</v>
      </c>
      <c r="AD55">
        <v>2851.4850000000001</v>
      </c>
      <c r="AE55">
        <v>262.87900000000002</v>
      </c>
      <c r="AF55">
        <v>24.824000000000002</v>
      </c>
      <c r="AG55">
        <v>2863.2040000000002</v>
      </c>
      <c r="AH55">
        <v>2125.3969999999999</v>
      </c>
      <c r="AI55">
        <v>4056.2269999999999</v>
      </c>
      <c r="AJ55">
        <v>172.67400000000001</v>
      </c>
      <c r="AK55">
        <v>13271.321</v>
      </c>
      <c r="AM55" t="s">
        <v>486</v>
      </c>
      <c r="AN55">
        <v>0</v>
      </c>
      <c r="AO55">
        <v>844.55200000000002</v>
      </c>
      <c r="AP55">
        <v>2726.0010000000002</v>
      </c>
      <c r="AQ55">
        <v>259.83800000000002</v>
      </c>
      <c r="AR55">
        <v>25.312000000000001</v>
      </c>
      <c r="AS55">
        <v>2676.7130000000002</v>
      </c>
      <c r="AT55">
        <v>2004.14</v>
      </c>
      <c r="AU55">
        <v>3823.8290000000002</v>
      </c>
      <c r="AV55">
        <v>167.101</v>
      </c>
      <c r="AW55">
        <v>12527.486000000001</v>
      </c>
    </row>
    <row r="56" spans="14:49">
      <c r="AA56" t="s">
        <v>489</v>
      </c>
      <c r="AB56">
        <v>0</v>
      </c>
      <c r="AC56">
        <v>8223.393</v>
      </c>
      <c r="AD56">
        <v>13031.013000000001</v>
      </c>
      <c r="AE56">
        <v>6216.3609999999999</v>
      </c>
      <c r="AF56">
        <v>2072.547</v>
      </c>
      <c r="AG56">
        <v>6829.3670000000002</v>
      </c>
      <c r="AH56">
        <v>3177.37</v>
      </c>
      <c r="AI56">
        <v>7292.3639999999996</v>
      </c>
      <c r="AJ56">
        <v>3285.9259999999999</v>
      </c>
      <c r="AK56">
        <v>50128.341</v>
      </c>
      <c r="AM56" t="s">
        <v>489</v>
      </c>
      <c r="AN56">
        <v>0</v>
      </c>
      <c r="AO56">
        <v>7706.5630000000001</v>
      </c>
      <c r="AP56">
        <v>12683.234</v>
      </c>
      <c r="AQ56">
        <v>6365.5680000000002</v>
      </c>
      <c r="AR56">
        <v>2240.6529999999998</v>
      </c>
      <c r="AS56">
        <v>6688.6149999999998</v>
      </c>
      <c r="AT56">
        <v>3103.2829999999999</v>
      </c>
      <c r="AU56">
        <v>7139.5649999999996</v>
      </c>
      <c r="AV56">
        <v>3212.0169999999998</v>
      </c>
      <c r="AW56">
        <v>49139.5</v>
      </c>
    </row>
    <row r="57" spans="14:49">
      <c r="AA57" t="s">
        <v>492</v>
      </c>
      <c r="AB57">
        <v>0</v>
      </c>
      <c r="AC57">
        <v>583.12099999999998</v>
      </c>
      <c r="AD57">
        <v>1456.2760000000001</v>
      </c>
      <c r="AE57">
        <v>308.358</v>
      </c>
      <c r="AF57">
        <v>56.945</v>
      </c>
      <c r="AG57">
        <v>1163.3140000000001</v>
      </c>
      <c r="AH57">
        <v>569.43499999999995</v>
      </c>
      <c r="AI57">
        <v>1552.2719999999999</v>
      </c>
      <c r="AJ57">
        <v>193.78899999999999</v>
      </c>
      <c r="AK57">
        <v>5883.509</v>
      </c>
      <c r="AM57" t="s">
        <v>492</v>
      </c>
      <c r="AN57">
        <v>0</v>
      </c>
      <c r="AO57">
        <v>529.91999999999996</v>
      </c>
      <c r="AP57">
        <v>1381.3040000000001</v>
      </c>
      <c r="AQ57">
        <v>305.52699999999999</v>
      </c>
      <c r="AR57">
        <v>59.185000000000002</v>
      </c>
      <c r="AS57">
        <v>1095.1569999999999</v>
      </c>
      <c r="AT57">
        <v>535.38800000000003</v>
      </c>
      <c r="AU57">
        <v>1474.9190000000001</v>
      </c>
      <c r="AV57">
        <v>186.40100000000001</v>
      </c>
      <c r="AW57">
        <v>5567.8019999999997</v>
      </c>
    </row>
    <row r="58" spans="14:49">
      <c r="AA58" t="s">
        <v>495</v>
      </c>
      <c r="AB58">
        <v>0</v>
      </c>
      <c r="AC58">
        <v>3240.2860000000001</v>
      </c>
      <c r="AD58">
        <v>20868.067999999999</v>
      </c>
      <c r="AE58">
        <v>5988.8770000000004</v>
      </c>
      <c r="AF58">
        <v>1332.673</v>
      </c>
      <c r="AG58">
        <v>8242.6710000000003</v>
      </c>
      <c r="AH58">
        <v>3824.09</v>
      </c>
      <c r="AI58">
        <v>17188.460999999999</v>
      </c>
      <c r="AJ58">
        <v>3976.8980000000001</v>
      </c>
      <c r="AK58">
        <v>64662.023999999998</v>
      </c>
      <c r="AM58" t="s">
        <v>495</v>
      </c>
      <c r="AN58">
        <v>0</v>
      </c>
      <c r="AO58">
        <v>2945.866</v>
      </c>
      <c r="AP58">
        <v>20207.101999999999</v>
      </c>
      <c r="AQ58">
        <v>6143.2960000000003</v>
      </c>
      <c r="AR58">
        <v>1459.921</v>
      </c>
      <c r="AS58">
        <v>8001.8879999999999</v>
      </c>
      <c r="AT58">
        <v>3702.2</v>
      </c>
      <c r="AU58">
        <v>16839.386999999999</v>
      </c>
      <c r="AV58">
        <v>3970.3029999999999</v>
      </c>
      <c r="AW58">
        <v>63269.962</v>
      </c>
    </row>
    <row r="59" spans="14:49">
      <c r="AA59" t="s">
        <v>498</v>
      </c>
      <c r="AB59">
        <v>0</v>
      </c>
      <c r="AC59">
        <v>6787.9830000000002</v>
      </c>
      <c r="AD59">
        <v>23558.41</v>
      </c>
      <c r="AE59">
        <v>8443.607</v>
      </c>
      <c r="AF59">
        <v>2885.4070000000002</v>
      </c>
      <c r="AG59">
        <v>10524.69</v>
      </c>
      <c r="AH59">
        <v>4535.942</v>
      </c>
      <c r="AI59">
        <v>24144.120999999999</v>
      </c>
      <c r="AJ59">
        <v>14407.981</v>
      </c>
      <c r="AK59">
        <v>95288.142999999996</v>
      </c>
      <c r="AM59" t="s">
        <v>498</v>
      </c>
      <c r="AN59">
        <v>0</v>
      </c>
      <c r="AO59">
        <v>6215.5469999999996</v>
      </c>
      <c r="AP59">
        <v>22988.705000000002</v>
      </c>
      <c r="AQ59">
        <v>8785.7150000000001</v>
      </c>
      <c r="AR59">
        <v>3146.8760000000002</v>
      </c>
      <c r="AS59">
        <v>10289.076999999999</v>
      </c>
      <c r="AT59">
        <v>4447.3810000000003</v>
      </c>
      <c r="AU59">
        <v>23796.668000000001</v>
      </c>
      <c r="AV59">
        <v>14250.550999999999</v>
      </c>
      <c r="AW59">
        <v>93920.52</v>
      </c>
    </row>
    <row r="60" spans="14:49">
      <c r="AA60" t="s">
        <v>501</v>
      </c>
      <c r="AB60">
        <v>0</v>
      </c>
      <c r="AC60">
        <v>1265.0730000000001</v>
      </c>
      <c r="AD60">
        <v>7372.2849999999999</v>
      </c>
      <c r="AE60">
        <v>1986.3710000000001</v>
      </c>
      <c r="AF60">
        <v>1519.05</v>
      </c>
      <c r="AG60">
        <v>2706.6860000000001</v>
      </c>
      <c r="AH60">
        <v>2703.165</v>
      </c>
      <c r="AI60">
        <v>3028.8339999999998</v>
      </c>
      <c r="AJ60">
        <v>1416.752</v>
      </c>
      <c r="AK60">
        <v>21998.216</v>
      </c>
      <c r="AM60" t="s">
        <v>501</v>
      </c>
      <c r="AN60">
        <v>0</v>
      </c>
      <c r="AO60">
        <v>1147.5550000000001</v>
      </c>
      <c r="AP60">
        <v>7200.0940000000001</v>
      </c>
      <c r="AQ60">
        <v>2074.5610000000001</v>
      </c>
      <c r="AR60">
        <v>1551.49</v>
      </c>
      <c r="AS60">
        <v>2660.3249999999998</v>
      </c>
      <c r="AT60">
        <v>2650.3719999999998</v>
      </c>
      <c r="AU60">
        <v>2988.8040000000001</v>
      </c>
      <c r="AV60">
        <v>1405.89</v>
      </c>
      <c r="AW60">
        <v>21679.09</v>
      </c>
    </row>
    <row r="61" spans="14:49">
      <c r="AA61" t="s">
        <v>504</v>
      </c>
      <c r="AB61">
        <v>0</v>
      </c>
      <c r="AC61">
        <v>773.93899999999996</v>
      </c>
      <c r="AD61">
        <v>4261.5379999999996</v>
      </c>
      <c r="AE61">
        <v>442.358</v>
      </c>
      <c r="AF61">
        <v>444.70699999999999</v>
      </c>
      <c r="AG61">
        <v>1710.0440000000001</v>
      </c>
      <c r="AH61">
        <v>572.61099999999999</v>
      </c>
      <c r="AI61">
        <v>2289.7170000000001</v>
      </c>
      <c r="AJ61">
        <v>465.45600000000002</v>
      </c>
      <c r="AK61">
        <v>10960.369000000001</v>
      </c>
      <c r="AM61" t="s">
        <v>504</v>
      </c>
      <c r="AN61">
        <v>0</v>
      </c>
      <c r="AO61">
        <v>723.60400000000004</v>
      </c>
      <c r="AP61">
        <v>4144.6629999999996</v>
      </c>
      <c r="AQ61">
        <v>460.11399999999998</v>
      </c>
      <c r="AR61">
        <v>480.83</v>
      </c>
      <c r="AS61">
        <v>1647.5239999999999</v>
      </c>
      <c r="AT61">
        <v>552.40599999999995</v>
      </c>
      <c r="AU61">
        <v>2226.9690000000001</v>
      </c>
      <c r="AV61">
        <v>467.51</v>
      </c>
      <c r="AW61">
        <v>10703.618</v>
      </c>
    </row>
    <row r="62" spans="14:49">
      <c r="AA62" t="s">
        <v>507</v>
      </c>
      <c r="AB62">
        <v>0</v>
      </c>
      <c r="AC62">
        <v>6298.1629999999996</v>
      </c>
      <c r="AD62">
        <v>50222.027000000002</v>
      </c>
      <c r="AE62">
        <v>11332.853999999999</v>
      </c>
      <c r="AF62">
        <v>2487.9810000000002</v>
      </c>
      <c r="AG62">
        <v>26928.530999999999</v>
      </c>
      <c r="AH62">
        <v>15150.03</v>
      </c>
      <c r="AI62">
        <v>74626.062999999995</v>
      </c>
      <c r="AJ62">
        <v>19311.063999999998</v>
      </c>
      <c r="AK62">
        <v>206356.71400000001</v>
      </c>
      <c r="AM62" t="s">
        <v>507</v>
      </c>
      <c r="AN62">
        <v>0</v>
      </c>
      <c r="AO62">
        <v>5721.14</v>
      </c>
      <c r="AP62">
        <v>48959.34</v>
      </c>
      <c r="AQ62">
        <v>11735.06</v>
      </c>
      <c r="AR62">
        <v>2719.1590000000001</v>
      </c>
      <c r="AS62">
        <v>26288.982</v>
      </c>
      <c r="AT62">
        <v>14712.423000000001</v>
      </c>
      <c r="AU62">
        <v>73145.664000000004</v>
      </c>
      <c r="AV62">
        <v>19268.351999999999</v>
      </c>
      <c r="AW62">
        <v>202550.12</v>
      </c>
    </row>
    <row r="63" spans="14:49">
      <c r="AA63" t="s">
        <v>510</v>
      </c>
      <c r="AB63">
        <v>0</v>
      </c>
      <c r="AC63">
        <v>1305.876</v>
      </c>
      <c r="AD63">
        <v>3064.8290000000002</v>
      </c>
      <c r="AE63">
        <v>366.81200000000001</v>
      </c>
      <c r="AF63">
        <v>668.98599999999999</v>
      </c>
      <c r="AG63">
        <v>752.95100000000002</v>
      </c>
      <c r="AH63">
        <v>432.31099999999998</v>
      </c>
      <c r="AI63">
        <v>1516.261</v>
      </c>
      <c r="AJ63">
        <v>548.78599999999994</v>
      </c>
      <c r="AK63">
        <v>8656.8119999999999</v>
      </c>
      <c r="AM63" t="s">
        <v>510</v>
      </c>
      <c r="AN63">
        <v>0</v>
      </c>
      <c r="AO63">
        <v>1186.828</v>
      </c>
      <c r="AP63">
        <v>2971.607</v>
      </c>
      <c r="AQ63">
        <v>382.26299999999998</v>
      </c>
      <c r="AR63">
        <v>754.60199999999998</v>
      </c>
      <c r="AS63">
        <v>731.17899999999997</v>
      </c>
      <c r="AT63">
        <v>419.90499999999997</v>
      </c>
      <c r="AU63">
        <v>1476.7719999999999</v>
      </c>
      <c r="AV63">
        <v>552.649</v>
      </c>
      <c r="AW63">
        <v>8475.8060000000005</v>
      </c>
    </row>
    <row r="64" spans="14:49">
      <c r="AA64" t="s">
        <v>513</v>
      </c>
      <c r="AB64">
        <v>0</v>
      </c>
      <c r="AC64">
        <v>1059.7149999999999</v>
      </c>
      <c r="AD64">
        <v>9168.4650000000001</v>
      </c>
      <c r="AE64">
        <v>494.476</v>
      </c>
      <c r="AF64">
        <v>510.053</v>
      </c>
      <c r="AG64">
        <v>2700.5</v>
      </c>
      <c r="AH64">
        <v>880.65</v>
      </c>
      <c r="AI64">
        <v>1567.261</v>
      </c>
      <c r="AJ64">
        <v>771.947</v>
      </c>
      <c r="AK64">
        <v>17153.066999999999</v>
      </c>
      <c r="AM64" t="s">
        <v>513</v>
      </c>
      <c r="AN64">
        <v>0</v>
      </c>
      <c r="AO64">
        <v>965.73900000000003</v>
      </c>
      <c r="AP64">
        <v>8871.1839999999993</v>
      </c>
      <c r="AQ64">
        <v>510.65600000000001</v>
      </c>
      <c r="AR64">
        <v>561.23500000000001</v>
      </c>
      <c r="AS64">
        <v>2631.9589999999998</v>
      </c>
      <c r="AT64">
        <v>852.50199999999995</v>
      </c>
      <c r="AU64">
        <v>1512.2829999999999</v>
      </c>
      <c r="AV64">
        <v>768.68899999999996</v>
      </c>
      <c r="AW64">
        <v>16674.246999999999</v>
      </c>
    </row>
    <row r="65" spans="16:49">
      <c r="AA65" t="s">
        <v>516</v>
      </c>
      <c r="AB65">
        <v>0</v>
      </c>
      <c r="AC65">
        <v>15292.148999999999</v>
      </c>
      <c r="AD65">
        <v>11205.796</v>
      </c>
      <c r="AE65">
        <v>1638.3810000000001</v>
      </c>
      <c r="AF65">
        <v>350.53300000000002</v>
      </c>
      <c r="AG65">
        <v>3111.0940000000001</v>
      </c>
      <c r="AH65">
        <v>1483.6030000000001</v>
      </c>
      <c r="AI65">
        <v>4053.511</v>
      </c>
      <c r="AJ65">
        <v>2856.422</v>
      </c>
      <c r="AK65">
        <v>39991.487999999998</v>
      </c>
      <c r="AM65" t="s">
        <v>516</v>
      </c>
      <c r="AN65">
        <v>0</v>
      </c>
      <c r="AO65">
        <v>14043.163</v>
      </c>
      <c r="AP65">
        <v>10886.271000000001</v>
      </c>
      <c r="AQ65">
        <v>1711.4580000000001</v>
      </c>
      <c r="AR65">
        <v>396.19900000000001</v>
      </c>
      <c r="AS65">
        <v>3043.819</v>
      </c>
      <c r="AT65">
        <v>1435.9349999999999</v>
      </c>
      <c r="AU65">
        <v>3956.3490000000002</v>
      </c>
      <c r="AV65">
        <v>2880.2869999999998</v>
      </c>
      <c r="AW65">
        <v>38353.481</v>
      </c>
    </row>
    <row r="66" spans="16:49">
      <c r="AA66" t="s">
        <v>519</v>
      </c>
      <c r="AB66">
        <v>0</v>
      </c>
      <c r="AC66">
        <v>3220.0619999999999</v>
      </c>
      <c r="AD66">
        <v>5572.4849999999997</v>
      </c>
      <c r="AE66">
        <v>1183.623</v>
      </c>
      <c r="AF66">
        <v>680.25800000000004</v>
      </c>
      <c r="AG66">
        <v>1325.346</v>
      </c>
      <c r="AH66">
        <v>392.81700000000001</v>
      </c>
      <c r="AI66">
        <v>1942.6379999999999</v>
      </c>
      <c r="AJ66">
        <v>423.86</v>
      </c>
      <c r="AK66">
        <v>14741.088</v>
      </c>
      <c r="AM66" t="s">
        <v>519</v>
      </c>
      <c r="AN66">
        <v>0</v>
      </c>
      <c r="AO66">
        <v>2933.3939999999998</v>
      </c>
      <c r="AP66">
        <v>5391.4139999999998</v>
      </c>
      <c r="AQ66">
        <v>1236.192</v>
      </c>
      <c r="AR66">
        <v>758.68799999999999</v>
      </c>
      <c r="AS66">
        <v>1291.1289999999999</v>
      </c>
      <c r="AT66">
        <v>383.17700000000002</v>
      </c>
      <c r="AU66">
        <v>1877.3430000000001</v>
      </c>
      <c r="AV66">
        <v>422.834</v>
      </c>
      <c r="AW66">
        <v>14294.172</v>
      </c>
    </row>
    <row r="67" spans="16:49">
      <c r="AA67" t="s">
        <v>522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M67" t="s">
        <v>522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</row>
    <row r="68" spans="16:49">
      <c r="AA68" t="s">
        <v>52</v>
      </c>
      <c r="AB68">
        <v>0</v>
      </c>
      <c r="AC68">
        <v>213399.63800000001</v>
      </c>
      <c r="AD68">
        <v>509261.196</v>
      </c>
      <c r="AE68">
        <v>331683.46999999997</v>
      </c>
      <c r="AF68">
        <v>279439.68800000002</v>
      </c>
      <c r="AG68">
        <v>295954.89299999998</v>
      </c>
      <c r="AH68">
        <v>123573.504</v>
      </c>
      <c r="AI68">
        <v>381630.89799999999</v>
      </c>
      <c r="AJ68">
        <v>103471.584</v>
      </c>
      <c r="AK68">
        <v>2238414.87</v>
      </c>
      <c r="AM68" t="s">
        <v>52</v>
      </c>
      <c r="AN68">
        <v>0</v>
      </c>
      <c r="AO68">
        <v>123267.25</v>
      </c>
      <c r="AP68">
        <v>453508.09399999998</v>
      </c>
      <c r="AQ68">
        <v>315388.63299999997</v>
      </c>
      <c r="AR68">
        <v>268509.31400000001</v>
      </c>
      <c r="AS68">
        <v>264792.43699999998</v>
      </c>
      <c r="AT68">
        <v>111087.36900000001</v>
      </c>
      <c r="AU68">
        <v>347404.69099999999</v>
      </c>
      <c r="AV68">
        <v>95753.014999999999</v>
      </c>
      <c r="AW68">
        <v>1979710.8030000001</v>
      </c>
    </row>
    <row r="70" spans="16:49">
      <c r="P70" t="s">
        <v>2760</v>
      </c>
      <c r="R70">
        <f>SUMPRODUCT(R3:R51,AC3:AC51)/SUM(AC3:AC51)</f>
        <v>12.399368349861613</v>
      </c>
      <c r="S70">
        <f t="shared" ref="S70:Y70" si="1">SUMPRODUCT(S3:S51,AD3:AD51)/SUM(AD3:AD51)</f>
        <v>0</v>
      </c>
      <c r="T70">
        <f t="shared" si="1"/>
        <v>1.2071090612985607</v>
      </c>
      <c r="U70">
        <f t="shared" si="1"/>
        <v>0</v>
      </c>
      <c r="V70">
        <f t="shared" si="1"/>
        <v>0</v>
      </c>
      <c r="W70">
        <f t="shared" si="1"/>
        <v>0</v>
      </c>
      <c r="X70">
        <f t="shared" si="1"/>
        <v>0</v>
      </c>
      <c r="Y70">
        <f t="shared" si="1"/>
        <v>0</v>
      </c>
    </row>
    <row r="71" spans="16:49">
      <c r="P71" t="s">
        <v>2761</v>
      </c>
      <c r="R71">
        <f>SUMPRODUCT(R3:R51,AO3:AO51)/SUM(AC3:AC51)</f>
        <v>5.0624707258672377</v>
      </c>
      <c r="S71">
        <f t="shared" ref="S71:Y71" si="2">SUMPRODUCT(S3:S51,AP3:AP51)/SUM(AD3:AD51)</f>
        <v>0</v>
      </c>
      <c r="T71">
        <f t="shared" si="2"/>
        <v>0.34120112964124033</v>
      </c>
      <c r="U71">
        <f t="shared" si="2"/>
        <v>0</v>
      </c>
      <c r="V71">
        <f t="shared" si="2"/>
        <v>0</v>
      </c>
      <c r="W71">
        <f t="shared" si="2"/>
        <v>0</v>
      </c>
      <c r="X71">
        <f t="shared" si="2"/>
        <v>0</v>
      </c>
      <c r="Y71">
        <f t="shared" si="2"/>
        <v>0</v>
      </c>
    </row>
    <row r="76" spans="16:49">
      <c r="Z76" t="s">
        <v>2762</v>
      </c>
    </row>
    <row r="77" spans="16:49" ht="12.95">
      <c r="P77" t="s">
        <v>2760</v>
      </c>
      <c r="R77">
        <f>SUMPRODUCT(R3:R51,AC3:AC51)/SUM($AC$3:$AJ$51)</f>
        <v>1.1936850140651301</v>
      </c>
      <c r="S77">
        <f t="shared" ref="S77:Y77" si="3">SUMPRODUCT(S3:S51,AD3:AD51)/SUM($AC$3:$AJ$51)</f>
        <v>0</v>
      </c>
      <c r="T77">
        <f t="shared" si="3"/>
        <v>0.21791574825467153</v>
      </c>
      <c r="U77">
        <f t="shared" si="3"/>
        <v>0</v>
      </c>
      <c r="V77">
        <f t="shared" si="3"/>
        <v>0</v>
      </c>
      <c r="W77">
        <f t="shared" si="3"/>
        <v>0</v>
      </c>
      <c r="X77">
        <f t="shared" si="3"/>
        <v>0</v>
      </c>
      <c r="Y77">
        <f t="shared" si="3"/>
        <v>0</v>
      </c>
      <c r="Z77" s="119">
        <f>SUM(R77:Y77)</f>
        <v>1.4116007623198015</v>
      </c>
    </row>
    <row r="78" spans="16:49" ht="12.95">
      <c r="P78" t="s">
        <v>2761</v>
      </c>
      <c r="R78">
        <f>SUMPRODUCT(R3:R51,AO3:AO51)/SUM($AO$3:$AV$51)</f>
        <v>0.57861740083058111</v>
      </c>
      <c r="S78">
        <f t="shared" ref="S78:Y78" si="4">SUMPRODUCT(S3:S51,AP3:AP51)/SUM($AO$3:$AV$51)</f>
        <v>0</v>
      </c>
      <c r="T78">
        <f t="shared" si="4"/>
        <v>7.3129289264644834E-2</v>
      </c>
      <c r="U78">
        <f t="shared" si="4"/>
        <v>0</v>
      </c>
      <c r="V78">
        <f t="shared" si="4"/>
        <v>0</v>
      </c>
      <c r="W78">
        <f t="shared" si="4"/>
        <v>0</v>
      </c>
      <c r="X78">
        <f t="shared" si="4"/>
        <v>0</v>
      </c>
      <c r="Y78">
        <f t="shared" si="4"/>
        <v>0</v>
      </c>
      <c r="Z78" s="119">
        <f>SUM(R78:Y78)</f>
        <v>0.6517466900952259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041CE-006E-4F7E-820C-9525B5510A9B}">
  <dimension ref="H1:AQ14"/>
  <sheetViews>
    <sheetView workbookViewId="0">
      <selection activeCell="Q17" sqref="Q17"/>
    </sheetView>
  </sheetViews>
  <sheetFormatPr defaultRowHeight="12.6"/>
  <sheetData>
    <row r="1" spans="8:43">
      <c r="U1" t="s">
        <v>2763</v>
      </c>
    </row>
    <row r="2" spans="8:43">
      <c r="H2" t="s">
        <v>2764</v>
      </c>
      <c r="I2" t="s">
        <v>530</v>
      </c>
      <c r="J2" t="s">
        <v>531</v>
      </c>
      <c r="K2" t="s">
        <v>532</v>
      </c>
      <c r="L2" t="s">
        <v>533</v>
      </c>
      <c r="U2" t="s">
        <v>2765</v>
      </c>
      <c r="V2" t="s">
        <v>1846</v>
      </c>
      <c r="W2" t="s">
        <v>1847</v>
      </c>
      <c r="X2" t="s">
        <v>1848</v>
      </c>
      <c r="Y2" t="s">
        <v>1849</v>
      </c>
      <c r="Z2" t="s">
        <v>1850</v>
      </c>
      <c r="AA2" t="s">
        <v>1851</v>
      </c>
      <c r="AB2" t="s">
        <v>2103</v>
      </c>
      <c r="AC2" t="s">
        <v>2104</v>
      </c>
      <c r="AD2" t="s">
        <v>2105</v>
      </c>
      <c r="AE2" t="s">
        <v>52</v>
      </c>
      <c r="AG2" t="s">
        <v>2765</v>
      </c>
      <c r="AH2" t="s">
        <v>1846</v>
      </c>
      <c r="AI2" t="s">
        <v>1847</v>
      </c>
      <c r="AJ2" t="s">
        <v>1848</v>
      </c>
      <c r="AK2" t="s">
        <v>1849</v>
      </c>
      <c r="AL2" t="s">
        <v>1850</v>
      </c>
      <c r="AM2" t="s">
        <v>1851</v>
      </c>
      <c r="AN2" t="s">
        <v>2103</v>
      </c>
      <c r="AO2" t="s">
        <v>2104</v>
      </c>
      <c r="AP2" t="s">
        <v>2105</v>
      </c>
      <c r="AQ2" t="s">
        <v>52</v>
      </c>
    </row>
    <row r="3" spans="8:43">
      <c r="H3" t="s">
        <v>31</v>
      </c>
      <c r="I3">
        <v>0.98</v>
      </c>
      <c r="J3">
        <v>1</v>
      </c>
      <c r="K3">
        <v>1.01</v>
      </c>
      <c r="L3">
        <v>0.01</v>
      </c>
      <c r="U3" t="s">
        <v>2766</v>
      </c>
      <c r="V3">
        <v>34693.389000000003</v>
      </c>
      <c r="W3">
        <v>227875.93900000001</v>
      </c>
      <c r="X3">
        <v>357284.61499999999</v>
      </c>
      <c r="Y3">
        <v>613.43200000000002</v>
      </c>
      <c r="Z3">
        <v>9368.8140000000003</v>
      </c>
      <c r="AA3">
        <v>38662.095000000001</v>
      </c>
      <c r="AB3">
        <v>6991.4809999999998</v>
      </c>
      <c r="AC3">
        <v>40482.892999999996</v>
      </c>
      <c r="AD3">
        <v>5127.5159999999996</v>
      </c>
      <c r="AE3">
        <v>721100.17500000005</v>
      </c>
      <c r="AG3" t="s">
        <v>2766</v>
      </c>
      <c r="AH3">
        <v>34587.228000000003</v>
      </c>
      <c r="AI3">
        <v>229531.372</v>
      </c>
      <c r="AJ3">
        <v>354843.391</v>
      </c>
      <c r="AK3">
        <v>648.47799999999995</v>
      </c>
      <c r="AL3">
        <v>9701.3790000000008</v>
      </c>
      <c r="AM3">
        <v>38213.555</v>
      </c>
      <c r="AN3">
        <v>7110.4719999999998</v>
      </c>
      <c r="AO3">
        <v>40031.142999999996</v>
      </c>
      <c r="AP3">
        <v>5004.1030000000001</v>
      </c>
      <c r="AQ3">
        <v>719671.12300000002</v>
      </c>
    </row>
    <row r="4" spans="8:43">
      <c r="H4" t="s">
        <v>32</v>
      </c>
      <c r="I4">
        <v>-2.96</v>
      </c>
      <c r="J4">
        <v>1</v>
      </c>
      <c r="K4">
        <v>0.97</v>
      </c>
      <c r="L4">
        <v>-0.03</v>
      </c>
      <c r="U4" t="s">
        <v>2767</v>
      </c>
      <c r="V4">
        <v>1044536.669</v>
      </c>
      <c r="W4">
        <v>764070.98100000003</v>
      </c>
      <c r="X4">
        <v>1295441.4739999999</v>
      </c>
      <c r="Y4">
        <v>171223.739</v>
      </c>
      <c r="Z4">
        <v>68454.274999999994</v>
      </c>
      <c r="AA4">
        <v>476625.13299999997</v>
      </c>
      <c r="AB4">
        <v>552080.78300000005</v>
      </c>
      <c r="AC4">
        <v>1546369.7960000001</v>
      </c>
      <c r="AD4">
        <v>297798.39600000001</v>
      </c>
      <c r="AE4">
        <v>6216601.2460000003</v>
      </c>
      <c r="AG4" t="s">
        <v>2767</v>
      </c>
      <c r="AH4">
        <v>1053596.4040000001</v>
      </c>
      <c r="AI4">
        <v>739030.32</v>
      </c>
      <c r="AJ4">
        <v>1294208.51</v>
      </c>
      <c r="AK4">
        <v>176657.65100000001</v>
      </c>
      <c r="AL4">
        <v>73543.755999999994</v>
      </c>
      <c r="AM4">
        <v>477789.60499999998</v>
      </c>
      <c r="AN4">
        <v>551342.18900000001</v>
      </c>
      <c r="AO4">
        <v>1550632.5449999999</v>
      </c>
      <c r="AP4">
        <v>302733.46600000001</v>
      </c>
      <c r="AQ4">
        <v>6219534.4450000003</v>
      </c>
    </row>
    <row r="5" spans="8:43">
      <c r="H5" t="s">
        <v>33</v>
      </c>
      <c r="I5">
        <v>-0.14000000000000001</v>
      </c>
      <c r="J5">
        <v>1</v>
      </c>
      <c r="K5">
        <v>1</v>
      </c>
      <c r="L5">
        <v>0</v>
      </c>
      <c r="U5" t="s">
        <v>2768</v>
      </c>
      <c r="V5">
        <v>1345044.726</v>
      </c>
      <c r="W5">
        <v>742389.38500000001</v>
      </c>
      <c r="X5">
        <v>1004187.779</v>
      </c>
      <c r="Y5">
        <v>131837.23499999999</v>
      </c>
      <c r="Z5">
        <v>22421.096000000001</v>
      </c>
      <c r="AA5">
        <v>376599.00199999998</v>
      </c>
      <c r="AB5">
        <v>333463.09499999997</v>
      </c>
      <c r="AC5">
        <v>858926.88600000006</v>
      </c>
      <c r="AD5">
        <v>142731.318</v>
      </c>
      <c r="AE5">
        <v>4957600.5209999997</v>
      </c>
      <c r="AG5" t="s">
        <v>2768</v>
      </c>
      <c r="AH5">
        <v>1357653.0190000001</v>
      </c>
      <c r="AI5">
        <v>718752.21600000001</v>
      </c>
      <c r="AJ5">
        <v>1003389.395</v>
      </c>
      <c r="AK5">
        <v>136066.55300000001</v>
      </c>
      <c r="AL5">
        <v>24109.32</v>
      </c>
      <c r="AM5">
        <v>377373.94300000003</v>
      </c>
      <c r="AN5">
        <v>333110.217</v>
      </c>
      <c r="AO5">
        <v>861546.79200000002</v>
      </c>
      <c r="AP5">
        <v>145179.04699999999</v>
      </c>
      <c r="AQ5">
        <v>4957180.5010000002</v>
      </c>
    </row>
    <row r="6" spans="8:43">
      <c r="H6" t="s">
        <v>34</v>
      </c>
      <c r="I6">
        <v>3.26</v>
      </c>
      <c r="J6">
        <v>1</v>
      </c>
      <c r="K6">
        <v>1.03</v>
      </c>
      <c r="L6">
        <v>0.03</v>
      </c>
      <c r="U6" t="s">
        <v>2769</v>
      </c>
      <c r="V6">
        <v>678492.054</v>
      </c>
      <c r="W6">
        <v>1121254.0120000001</v>
      </c>
      <c r="X6">
        <v>1071147.2279999999</v>
      </c>
      <c r="Y6">
        <v>85893.953999999998</v>
      </c>
      <c r="Z6">
        <v>35822.89</v>
      </c>
      <c r="AA6">
        <v>366167.16499999998</v>
      </c>
      <c r="AB6">
        <v>289866.01299999998</v>
      </c>
      <c r="AC6">
        <v>788156.679</v>
      </c>
      <c r="AD6">
        <v>140499.51800000001</v>
      </c>
      <c r="AE6">
        <v>4577299.5149999997</v>
      </c>
      <c r="AG6" t="s">
        <v>2769</v>
      </c>
      <c r="AH6">
        <v>684026.46699999995</v>
      </c>
      <c r="AI6">
        <v>1085429.9620000001</v>
      </c>
      <c r="AJ6">
        <v>1070299</v>
      </c>
      <c r="AK6">
        <v>88633.312999999995</v>
      </c>
      <c r="AL6">
        <v>38293.087</v>
      </c>
      <c r="AM6">
        <v>366953.18800000002</v>
      </c>
      <c r="AN6">
        <v>289320.64299999998</v>
      </c>
      <c r="AO6">
        <v>790857.17700000003</v>
      </c>
      <c r="AP6">
        <v>143133.595</v>
      </c>
      <c r="AQ6">
        <v>4556946.432</v>
      </c>
    </row>
    <row r="7" spans="8:43">
      <c r="H7" t="s">
        <v>35</v>
      </c>
      <c r="I7">
        <v>7.5</v>
      </c>
      <c r="J7">
        <v>1</v>
      </c>
      <c r="K7">
        <v>1.07</v>
      </c>
      <c r="L7">
        <v>7.0000000000000007E-2</v>
      </c>
      <c r="U7" t="s">
        <v>2770</v>
      </c>
      <c r="V7">
        <v>5032017.7410000004</v>
      </c>
      <c r="W7">
        <v>948274.41399999999</v>
      </c>
      <c r="X7">
        <v>2197035.1209999998</v>
      </c>
      <c r="Y7">
        <v>393242.06599999999</v>
      </c>
      <c r="Z7">
        <v>68318.781000000003</v>
      </c>
      <c r="AA7">
        <v>751166.38500000001</v>
      </c>
      <c r="AB7">
        <v>398381.18</v>
      </c>
      <c r="AC7">
        <v>1990534.2</v>
      </c>
      <c r="AD7">
        <v>594429.74899999995</v>
      </c>
      <c r="AE7">
        <v>12373399.638</v>
      </c>
      <c r="AG7" t="s">
        <v>2770</v>
      </c>
      <c r="AH7">
        <v>5084147.9419999998</v>
      </c>
      <c r="AI7">
        <v>917399.96699999995</v>
      </c>
      <c r="AJ7">
        <v>2194892.6129999999</v>
      </c>
      <c r="AK7">
        <v>406283.60499999998</v>
      </c>
      <c r="AL7">
        <v>73468.290999999997</v>
      </c>
      <c r="AM7">
        <v>753004.72900000005</v>
      </c>
      <c r="AN7">
        <v>397590.424</v>
      </c>
      <c r="AO7">
        <v>1997066.95</v>
      </c>
      <c r="AP7">
        <v>604461.09600000002</v>
      </c>
      <c r="AQ7">
        <v>12428315.617000001</v>
      </c>
    </row>
    <row r="8" spans="8:43">
      <c r="H8" t="s">
        <v>36</v>
      </c>
      <c r="I8">
        <v>0.17</v>
      </c>
      <c r="J8">
        <v>1</v>
      </c>
      <c r="K8">
        <v>1</v>
      </c>
      <c r="L8">
        <v>0</v>
      </c>
      <c r="U8" t="s">
        <v>2771</v>
      </c>
      <c r="V8">
        <v>1795666.4639999999</v>
      </c>
      <c r="W8">
        <v>2370692.4980000001</v>
      </c>
      <c r="X8">
        <v>2374295.5639999998</v>
      </c>
      <c r="Y8">
        <v>149553.717</v>
      </c>
      <c r="Z8">
        <v>151009.93</v>
      </c>
      <c r="AA8">
        <v>441136.64199999999</v>
      </c>
      <c r="AB8">
        <v>565243.23800000001</v>
      </c>
      <c r="AC8">
        <v>1143218.28</v>
      </c>
      <c r="AD8">
        <v>321609.41399999999</v>
      </c>
      <c r="AE8">
        <v>9312425.7469999995</v>
      </c>
      <c r="AG8" t="s">
        <v>2771</v>
      </c>
      <c r="AH8">
        <v>1817422.814</v>
      </c>
      <c r="AI8">
        <v>2296796.6359999999</v>
      </c>
      <c r="AJ8">
        <v>2368415.7400000002</v>
      </c>
      <c r="AK8">
        <v>156472.77600000001</v>
      </c>
      <c r="AL8">
        <v>163116.261</v>
      </c>
      <c r="AM8">
        <v>442970.85</v>
      </c>
      <c r="AN8">
        <v>565013.73800000001</v>
      </c>
      <c r="AO8">
        <v>1147622.3959999999</v>
      </c>
      <c r="AP8">
        <v>328486.23300000001</v>
      </c>
      <c r="AQ8">
        <v>9286317.4440000001</v>
      </c>
    </row>
    <row r="9" spans="8:43">
      <c r="H9" t="s">
        <v>37</v>
      </c>
      <c r="I9">
        <v>-0.15</v>
      </c>
      <c r="J9">
        <v>1</v>
      </c>
      <c r="K9">
        <v>1</v>
      </c>
      <c r="L9">
        <v>0</v>
      </c>
      <c r="U9" t="s">
        <v>2772</v>
      </c>
      <c r="V9">
        <v>7619311.1610000003</v>
      </c>
      <c r="W9">
        <v>4809059.4879999999</v>
      </c>
      <c r="X9">
        <v>9058548.9330000002</v>
      </c>
      <c r="Y9">
        <v>505994.13799999998</v>
      </c>
      <c r="Z9">
        <v>737933.72</v>
      </c>
      <c r="AA9">
        <v>2091555.983</v>
      </c>
      <c r="AB9">
        <v>2389300.0380000002</v>
      </c>
      <c r="AC9">
        <v>6459394.5870000003</v>
      </c>
      <c r="AD9">
        <v>842448.80599999998</v>
      </c>
      <c r="AE9">
        <v>34513546.854000002</v>
      </c>
      <c r="AG9" t="s">
        <v>2772</v>
      </c>
      <c r="AH9">
        <v>7696966.9620000003</v>
      </c>
      <c r="AI9">
        <v>4664194.318</v>
      </c>
      <c r="AJ9">
        <v>9044617.9440000001</v>
      </c>
      <c r="AK9">
        <v>523308.32400000002</v>
      </c>
      <c r="AL9">
        <v>795738.12199999997</v>
      </c>
      <c r="AM9">
        <v>2094730.1170000001</v>
      </c>
      <c r="AN9">
        <v>2385311.4920000001</v>
      </c>
      <c r="AO9">
        <v>6481484.04</v>
      </c>
      <c r="AP9">
        <v>857227.40599999996</v>
      </c>
      <c r="AQ9">
        <v>34543578.726000004</v>
      </c>
    </row>
    <row r="10" spans="8:43">
      <c r="H10" t="s">
        <v>38</v>
      </c>
      <c r="I10">
        <v>0.32</v>
      </c>
      <c r="J10">
        <v>1</v>
      </c>
      <c r="K10">
        <v>1</v>
      </c>
      <c r="L10">
        <v>0</v>
      </c>
      <c r="U10" t="s">
        <v>2773</v>
      </c>
      <c r="V10">
        <v>85213.653000000006</v>
      </c>
      <c r="W10">
        <v>117585.89200000001</v>
      </c>
      <c r="X10">
        <v>471250.29499999998</v>
      </c>
      <c r="Y10">
        <v>27937.34</v>
      </c>
      <c r="Z10">
        <v>12092.147000000001</v>
      </c>
      <c r="AA10">
        <v>57706.472000000002</v>
      </c>
      <c r="AB10">
        <v>4323.3389999999999</v>
      </c>
      <c r="AC10">
        <v>23490.535</v>
      </c>
      <c r="AD10">
        <v>6118.1059999999998</v>
      </c>
      <c r="AE10">
        <v>805717.77899999998</v>
      </c>
      <c r="AG10" t="s">
        <v>2773</v>
      </c>
      <c r="AH10">
        <v>80794.53</v>
      </c>
      <c r="AI10">
        <v>120772.777</v>
      </c>
      <c r="AJ10">
        <v>473201.25400000002</v>
      </c>
      <c r="AK10">
        <v>26231.65</v>
      </c>
      <c r="AL10">
        <v>10400.295</v>
      </c>
      <c r="AM10">
        <v>56653.328000000001</v>
      </c>
      <c r="AN10">
        <v>4285.6289999999999</v>
      </c>
      <c r="AO10">
        <v>23088.129000000001</v>
      </c>
      <c r="AP10">
        <v>5923.2259999999997</v>
      </c>
      <c r="AQ10">
        <v>801350.81700000004</v>
      </c>
    </row>
    <row r="11" spans="8:43">
      <c r="H11" t="s">
        <v>39</v>
      </c>
      <c r="I11">
        <v>1.75</v>
      </c>
      <c r="J11">
        <v>1</v>
      </c>
      <c r="K11">
        <v>1.02</v>
      </c>
      <c r="L11">
        <v>0.02</v>
      </c>
      <c r="U11" t="s">
        <v>52</v>
      </c>
      <c r="V11">
        <v>17634975.857000001</v>
      </c>
      <c r="W11">
        <v>11101202.609999999</v>
      </c>
      <c r="X11">
        <v>17829191.009</v>
      </c>
      <c r="Y11">
        <v>1466295.6229999999</v>
      </c>
      <c r="Z11">
        <v>1105421.652</v>
      </c>
      <c r="AA11">
        <v>4599618.8779999996</v>
      </c>
      <c r="AB11">
        <v>4539649.1679999996</v>
      </c>
      <c r="AC11">
        <v>12850573.856000001</v>
      </c>
      <c r="AD11">
        <v>2350762.8220000002</v>
      </c>
      <c r="AE11">
        <v>73477691.474999994</v>
      </c>
      <c r="AG11" t="s">
        <v>52</v>
      </c>
      <c r="AH11">
        <v>17809195.366</v>
      </c>
      <c r="AI11">
        <v>10771907.568</v>
      </c>
      <c r="AJ11">
        <v>17803867.846000001</v>
      </c>
      <c r="AK11">
        <v>1514302.35</v>
      </c>
      <c r="AL11">
        <v>1188370.51</v>
      </c>
      <c r="AM11">
        <v>4607689.3150000004</v>
      </c>
      <c r="AN11">
        <v>4533084.8049999997</v>
      </c>
      <c r="AO11">
        <v>12892329.174000001</v>
      </c>
      <c r="AP11">
        <v>2392148.1719999998</v>
      </c>
      <c r="AQ11">
        <v>73512895.105000004</v>
      </c>
    </row>
    <row r="13" spans="8:43">
      <c r="H13" t="s">
        <v>2774</v>
      </c>
      <c r="I13" cm="1">
        <f t="array" ref="I13">SUMPRODUCT(I3:I11,TRANSPOSE(V11:AD11))/AE11</f>
        <v>4.5243969070409659E-2</v>
      </c>
    </row>
    <row r="14" spans="8:43">
      <c r="AH14">
        <f>100*(AH11/V11-1)</f>
        <v>0.9879203147921789</v>
      </c>
      <c r="AI14">
        <f>100*(AI11/W11-1)</f>
        <v>-2.9663006213702436</v>
      </c>
      <c r="AJ14">
        <f t="shared" ref="AJ14:AQ14" si="0">100*(AJ11/X11-1)</f>
        <v>-0.14203203604254977</v>
      </c>
      <c r="AK14">
        <f t="shared" si="0"/>
        <v>3.2740142060698307</v>
      </c>
      <c r="AL14">
        <f t="shared" si="0"/>
        <v>7.503820632599667</v>
      </c>
      <c r="AM14">
        <f t="shared" si="0"/>
        <v>0.17545881982965472</v>
      </c>
      <c r="AN14">
        <f t="shared" si="0"/>
        <v>-0.14460066752012279</v>
      </c>
      <c r="AO14">
        <f t="shared" si="0"/>
        <v>0.32492959822572054</v>
      </c>
      <c r="AP14">
        <f t="shared" si="0"/>
        <v>1.7605072537598465</v>
      </c>
      <c r="AQ14">
        <f t="shared" si="0"/>
        <v>4.7910636947534613E-2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326E5-06AB-48BB-927F-8DC684B85F4F}">
  <dimension ref="A1:R99"/>
  <sheetViews>
    <sheetView topLeftCell="A53" zoomScale="85" zoomScaleNormal="85" workbookViewId="0">
      <selection activeCell="E17" sqref="E17"/>
    </sheetView>
  </sheetViews>
  <sheetFormatPr defaultColWidth="8.7109375" defaultRowHeight="14.45"/>
  <cols>
    <col min="1" max="1" width="8.7109375" style="356"/>
    <col min="2" max="2" width="30.5703125" style="356" bestFit="1" customWidth="1"/>
    <col min="3" max="3" width="11.85546875" style="356" bestFit="1" customWidth="1"/>
    <col min="4" max="5" width="8.7109375" style="356"/>
    <col min="6" max="6" width="16.5703125" style="356" customWidth="1"/>
    <col min="7" max="7" width="8.7109375" style="359"/>
    <col min="8" max="9" width="8.7109375" style="356"/>
    <col min="10" max="10" width="19.7109375" style="356" bestFit="1" customWidth="1"/>
    <col min="11" max="16384" width="8.7109375" style="356"/>
  </cols>
  <sheetData>
    <row r="1" spans="1:18">
      <c r="G1" s="356"/>
    </row>
    <row r="2" spans="1:18">
      <c r="G2" s="356"/>
    </row>
    <row r="3" spans="1:18">
      <c r="D3" s="357"/>
      <c r="E3" s="356" t="s">
        <v>745</v>
      </c>
      <c r="F3" s="356" t="s">
        <v>2775</v>
      </c>
      <c r="G3" s="356" t="s">
        <v>2776</v>
      </c>
      <c r="K3" s="356" t="s">
        <v>32</v>
      </c>
      <c r="L3" s="356" t="s">
        <v>33</v>
      </c>
      <c r="M3" s="356" t="s">
        <v>34</v>
      </c>
      <c r="N3" s="356" t="s">
        <v>35</v>
      </c>
      <c r="O3" s="356" t="s">
        <v>36</v>
      </c>
      <c r="P3" s="356" t="s">
        <v>37</v>
      </c>
      <c r="Q3" s="356" t="s">
        <v>38</v>
      </c>
      <c r="R3" s="356" t="s">
        <v>39</v>
      </c>
    </row>
    <row r="4" spans="1:18">
      <c r="A4" s="356" t="s">
        <v>2777</v>
      </c>
      <c r="B4" s="356" t="s">
        <v>2778</v>
      </c>
      <c r="C4" s="356" t="s">
        <v>2779</v>
      </c>
      <c r="D4" s="356" t="s">
        <v>2780</v>
      </c>
      <c r="E4" s="356" t="s">
        <v>2781</v>
      </c>
      <c r="F4" s="358">
        <v>7275475.4929999989</v>
      </c>
      <c r="G4" s="356"/>
      <c r="J4" s="356" t="s">
        <v>2778</v>
      </c>
      <c r="K4" s="360">
        <f>G5</f>
        <v>1.9647603525775808E-2</v>
      </c>
      <c r="L4" s="360">
        <f>G11</f>
        <v>0.14022754482693739</v>
      </c>
      <c r="M4" s="360">
        <f>G6</f>
        <v>0.48347798466091574</v>
      </c>
      <c r="N4" s="360">
        <f>G7</f>
        <v>4.9617544405495305E-3</v>
      </c>
      <c r="O4" s="360">
        <f>G11</f>
        <v>0.14022754482693739</v>
      </c>
      <c r="P4" s="360">
        <f>G8</f>
        <v>0.24620474507345047</v>
      </c>
      <c r="Q4" s="360">
        <f>G9</f>
        <v>0.42018927458027039</v>
      </c>
      <c r="R4" s="360">
        <f>G10</f>
        <v>1.2271521768964695E-2</v>
      </c>
    </row>
    <row r="5" spans="1:18">
      <c r="A5" s="356" t="s">
        <v>32</v>
      </c>
      <c r="D5" s="356" t="s">
        <v>2782</v>
      </c>
      <c r="E5" s="356" t="s">
        <v>2783</v>
      </c>
      <c r="F5" s="358">
        <v>38061.337</v>
      </c>
      <c r="G5" s="359">
        <f t="shared" ref="G5:G11" si="0">F5/F13</f>
        <v>1.9647603525775808E-2</v>
      </c>
      <c r="H5" s="360"/>
      <c r="J5" s="356" t="s">
        <v>2784</v>
      </c>
      <c r="K5" s="360">
        <f>G21</f>
        <v>0.39648214300620127</v>
      </c>
      <c r="L5" s="360">
        <f>G27</f>
        <v>0.37306932984616947</v>
      </c>
      <c r="M5" s="360">
        <f>G22</f>
        <v>0.49503413176365413</v>
      </c>
      <c r="N5" s="360">
        <f>G23</f>
        <v>1.3374564526759591E-2</v>
      </c>
      <c r="O5" s="360">
        <f>G27</f>
        <v>0.37306932984616947</v>
      </c>
      <c r="P5" s="360">
        <f>G24</f>
        <v>0</v>
      </c>
      <c r="Q5" s="360">
        <f>G25</f>
        <v>0.71845516701662704</v>
      </c>
      <c r="R5" s="360">
        <f>G26</f>
        <v>0.34441347380356219</v>
      </c>
    </row>
    <row r="6" spans="1:18">
      <c r="A6" s="356" t="s">
        <v>34</v>
      </c>
      <c r="D6" s="356" t="s">
        <v>2785</v>
      </c>
      <c r="E6" s="356" t="s">
        <v>2786</v>
      </c>
      <c r="F6" s="358">
        <v>5243855.7029999997</v>
      </c>
      <c r="G6" s="359">
        <f t="shared" si="0"/>
        <v>0.48347798466091574</v>
      </c>
      <c r="H6" s="360"/>
      <c r="J6" s="356" t="s">
        <v>2787</v>
      </c>
      <c r="K6" s="360">
        <f>G37</f>
        <v>2.4415749822648508E-4</v>
      </c>
      <c r="L6" s="360">
        <f>G43</f>
        <v>1.8834461087505604E-2</v>
      </c>
      <c r="M6" s="360">
        <f>G38</f>
        <v>5.9599435180559643E-2</v>
      </c>
      <c r="N6" s="360">
        <f>G39</f>
        <v>9.7561405620135815E-3</v>
      </c>
      <c r="O6" s="360">
        <f>G43</f>
        <v>1.8834461087505604E-2</v>
      </c>
      <c r="P6" s="360">
        <f>G40</f>
        <v>4.5820914813784287E-5</v>
      </c>
      <c r="Q6" s="360">
        <f>G41</f>
        <v>5.5306702617286966E-3</v>
      </c>
      <c r="R6" s="360">
        <f>G42</f>
        <v>2.2131085240695114E-3</v>
      </c>
    </row>
    <row r="7" spans="1:18">
      <c r="A7" s="356" t="s">
        <v>35</v>
      </c>
      <c r="D7" s="356" t="s">
        <v>2788</v>
      </c>
      <c r="E7" s="356" t="s">
        <v>2789</v>
      </c>
      <c r="F7" s="358">
        <v>3091.4690000000001</v>
      </c>
      <c r="G7" s="359">
        <f t="shared" si="0"/>
        <v>4.9617544405495305E-3</v>
      </c>
      <c r="H7" s="360"/>
      <c r="J7" s="356" t="s">
        <v>2790</v>
      </c>
      <c r="K7" s="360">
        <f>G53</f>
        <v>2.849665987336358E-2</v>
      </c>
      <c r="L7" s="360">
        <f>G59</f>
        <v>4.7999654685840186E-2</v>
      </c>
      <c r="M7" s="360">
        <f>G54</f>
        <v>1.7541589745302948E-2</v>
      </c>
      <c r="N7" s="360">
        <f>G55</f>
        <v>2.5164838627111288E-2</v>
      </c>
      <c r="O7" s="360">
        <f>G59</f>
        <v>4.7999654685840186E-2</v>
      </c>
      <c r="P7" s="360">
        <f>G56</f>
        <v>3.2329738674660361E-4</v>
      </c>
      <c r="Q7" s="360">
        <f>G57</f>
        <v>1.2430524441889993E-2</v>
      </c>
      <c r="R7" s="360">
        <f>G58</f>
        <v>4.7890605857775267E-3</v>
      </c>
    </row>
    <row r="8" spans="1:18">
      <c r="A8" s="356" t="s">
        <v>37</v>
      </c>
      <c r="D8" s="356" t="s">
        <v>2791</v>
      </c>
      <c r="E8" s="356" t="s">
        <v>2792</v>
      </c>
      <c r="F8" s="358">
        <v>8909.9210000000003</v>
      </c>
      <c r="G8" s="359">
        <f t="shared" si="0"/>
        <v>0.24620474507345047</v>
      </c>
      <c r="H8" s="360"/>
    </row>
    <row r="9" spans="1:18">
      <c r="A9" s="356" t="s">
        <v>38</v>
      </c>
      <c r="D9" s="356" t="s">
        <v>2793</v>
      </c>
      <c r="E9" s="356" t="s">
        <v>2794</v>
      </c>
      <c r="F9" s="358">
        <v>1085891.906</v>
      </c>
      <c r="G9" s="359">
        <f t="shared" si="0"/>
        <v>0.42018927458027039</v>
      </c>
      <c r="H9" s="360"/>
    </row>
    <row r="10" spans="1:18">
      <c r="A10" s="356" t="s">
        <v>39</v>
      </c>
      <c r="D10" s="356" t="s">
        <v>2795</v>
      </c>
      <c r="E10" s="356" t="s">
        <v>2796</v>
      </c>
      <c r="F10" s="358">
        <v>259.22300000000001</v>
      </c>
      <c r="G10" s="359">
        <f t="shared" si="0"/>
        <v>1.2271521768964695E-2</v>
      </c>
      <c r="H10" s="360"/>
    </row>
    <row r="11" spans="1:18">
      <c r="A11" s="356" t="s">
        <v>33</v>
      </c>
      <c r="F11" s="358">
        <f>F4-SUM(F5:F10)</f>
        <v>895405.93399999943</v>
      </c>
      <c r="G11" s="359">
        <f t="shared" si="0"/>
        <v>0.14022754482693739</v>
      </c>
      <c r="H11" s="360"/>
    </row>
    <row r="12" spans="1:18">
      <c r="A12" s="356" t="s">
        <v>2777</v>
      </c>
      <c r="B12" s="356" t="s">
        <v>2778</v>
      </c>
      <c r="C12" s="356" t="s">
        <v>2797</v>
      </c>
      <c r="D12" s="356" t="s">
        <v>2798</v>
      </c>
      <c r="E12" s="356" t="s">
        <v>2799</v>
      </c>
      <c r="F12" s="358">
        <v>22433353.947999999</v>
      </c>
    </row>
    <row r="13" spans="1:18">
      <c r="A13" s="356" t="s">
        <v>32</v>
      </c>
      <c r="D13" s="356" t="s">
        <v>2800</v>
      </c>
      <c r="E13" s="356" t="s">
        <v>2801</v>
      </c>
      <c r="F13" s="358">
        <v>1937199.9720000001</v>
      </c>
    </row>
    <row r="14" spans="1:18">
      <c r="A14" s="356" t="s">
        <v>34</v>
      </c>
      <c r="D14" s="356" t="s">
        <v>2802</v>
      </c>
      <c r="E14" s="356" t="s">
        <v>2803</v>
      </c>
      <c r="F14" s="358">
        <v>10846110.618000001</v>
      </c>
    </row>
    <row r="15" spans="1:18">
      <c r="A15" s="356" t="s">
        <v>35</v>
      </c>
      <c r="D15" s="356" t="s">
        <v>2804</v>
      </c>
      <c r="E15" s="356" t="s">
        <v>2805</v>
      </c>
      <c r="F15" s="358">
        <v>623059.65300000005</v>
      </c>
    </row>
    <row r="16" spans="1:18">
      <c r="A16" s="356" t="s">
        <v>37</v>
      </c>
      <c r="D16" s="356" t="s">
        <v>2806</v>
      </c>
      <c r="E16" s="356" t="s">
        <v>2807</v>
      </c>
      <c r="F16" s="358">
        <v>36189.071000000004</v>
      </c>
    </row>
    <row r="17" spans="1:8">
      <c r="A17" s="356" t="s">
        <v>38</v>
      </c>
      <c r="D17" s="356" t="s">
        <v>2808</v>
      </c>
      <c r="E17" s="356" t="s">
        <v>2809</v>
      </c>
      <c r="F17" s="358">
        <v>2584292.298</v>
      </c>
    </row>
    <row r="18" spans="1:8">
      <c r="A18" s="356" t="s">
        <v>39</v>
      </c>
      <c r="D18" s="356" t="s">
        <v>2810</v>
      </c>
      <c r="E18" s="356" t="s">
        <v>2811</v>
      </c>
      <c r="F18" s="358">
        <v>21123.949000000001</v>
      </c>
    </row>
    <row r="19" spans="1:8">
      <c r="A19" s="356" t="s">
        <v>33</v>
      </c>
      <c r="F19" s="358">
        <f>F12-SUM(F13:F18)</f>
        <v>6385378.3869999982</v>
      </c>
    </row>
    <row r="20" spans="1:8">
      <c r="A20" s="356" t="s">
        <v>2777</v>
      </c>
      <c r="B20" s="356" t="s">
        <v>2784</v>
      </c>
      <c r="C20" s="356" t="s">
        <v>2779</v>
      </c>
      <c r="D20" s="356" t="s">
        <v>2812</v>
      </c>
      <c r="E20" s="356" t="s">
        <v>2813</v>
      </c>
      <c r="F20" s="358">
        <v>176422.736</v>
      </c>
    </row>
    <row r="21" spans="1:8">
      <c r="A21" s="356" t="s">
        <v>32</v>
      </c>
      <c r="D21" s="356" t="s">
        <v>2814</v>
      </c>
      <c r="E21" s="356" t="s">
        <v>2815</v>
      </c>
      <c r="F21" s="358">
        <v>997.4670000000001</v>
      </c>
      <c r="G21" s="359">
        <f t="shared" ref="G21:G27" si="1">F21/F29</f>
        <v>0.39648214300620127</v>
      </c>
      <c r="H21" s="360"/>
    </row>
    <row r="22" spans="1:8">
      <c r="A22" s="356" t="s">
        <v>34</v>
      </c>
      <c r="D22" s="356" t="s">
        <v>2816</v>
      </c>
      <c r="E22" s="356" t="s">
        <v>2817</v>
      </c>
      <c r="F22" s="358">
        <v>129773.46100000002</v>
      </c>
      <c r="G22" s="359">
        <f t="shared" si="1"/>
        <v>0.49503413176365413</v>
      </c>
      <c r="H22" s="360"/>
    </row>
    <row r="23" spans="1:8">
      <c r="A23" s="356" t="s">
        <v>35</v>
      </c>
      <c r="D23" s="356" t="s">
        <v>2818</v>
      </c>
      <c r="E23" s="356" t="s">
        <v>2819</v>
      </c>
      <c r="F23" s="358">
        <v>107.387</v>
      </c>
      <c r="G23" s="359">
        <f t="shared" si="1"/>
        <v>1.3374564526759591E-2</v>
      </c>
      <c r="H23" s="360"/>
    </row>
    <row r="24" spans="1:8">
      <c r="A24" s="356" t="s">
        <v>37</v>
      </c>
      <c r="D24" s="356" t="s">
        <v>2820</v>
      </c>
      <c r="E24" s="356" t="s">
        <v>2821</v>
      </c>
      <c r="F24" s="358">
        <v>0</v>
      </c>
      <c r="G24" s="359">
        <f t="shared" si="1"/>
        <v>0</v>
      </c>
      <c r="H24" s="360"/>
    </row>
    <row r="25" spans="1:8">
      <c r="A25" s="356" t="s">
        <v>38</v>
      </c>
      <c r="D25" s="356" t="s">
        <v>2822</v>
      </c>
      <c r="E25" s="356" t="s">
        <v>2823</v>
      </c>
      <c r="F25" s="358">
        <v>40137.104999999996</v>
      </c>
      <c r="G25" s="359">
        <f t="shared" si="1"/>
        <v>0.71845516701662704</v>
      </c>
      <c r="H25" s="360"/>
    </row>
    <row r="26" spans="1:8">
      <c r="A26" s="356" t="s">
        <v>39</v>
      </c>
      <c r="D26" s="356" t="s">
        <v>2824</v>
      </c>
      <c r="E26" s="356" t="s">
        <v>2825</v>
      </c>
      <c r="F26" s="358">
        <v>36.451000000000001</v>
      </c>
      <c r="G26" s="359">
        <f t="shared" si="1"/>
        <v>0.34441347380356219</v>
      </c>
      <c r="H26" s="360"/>
    </row>
    <row r="27" spans="1:8">
      <c r="A27" s="356" t="s">
        <v>33</v>
      </c>
      <c r="F27" s="358">
        <f>F20-SUM(F21:F26)</f>
        <v>5370.8649999999616</v>
      </c>
      <c r="G27" s="359">
        <f t="shared" si="1"/>
        <v>0.37306932984616947</v>
      </c>
      <c r="H27" s="360"/>
    </row>
    <row r="28" spans="1:8">
      <c r="A28" s="356" t="s">
        <v>2777</v>
      </c>
      <c r="B28" s="356" t="s">
        <v>2784</v>
      </c>
      <c r="C28" s="356" t="s">
        <v>2797</v>
      </c>
      <c r="D28" s="356" t="s">
        <v>2826</v>
      </c>
      <c r="E28" s="356" t="s">
        <v>2827</v>
      </c>
      <c r="F28" s="358">
        <v>343140.06599999999</v>
      </c>
    </row>
    <row r="29" spans="1:8">
      <c r="A29" s="356" t="s">
        <v>32</v>
      </c>
      <c r="D29" s="356" t="s">
        <v>2828</v>
      </c>
      <c r="E29" s="356" t="s">
        <v>2829</v>
      </c>
      <c r="F29" s="358">
        <v>2515.7930000000001</v>
      </c>
    </row>
    <row r="30" spans="1:8">
      <c r="A30" s="356" t="s">
        <v>34</v>
      </c>
      <c r="D30" s="356" t="s">
        <v>2830</v>
      </c>
      <c r="E30" s="356" t="s">
        <v>2831</v>
      </c>
      <c r="F30" s="358">
        <v>262150.53200000001</v>
      </c>
    </row>
    <row r="31" spans="1:8">
      <c r="A31" s="356" t="s">
        <v>35</v>
      </c>
      <c r="D31" s="356" t="s">
        <v>2832</v>
      </c>
      <c r="E31" s="356" t="s">
        <v>2833</v>
      </c>
      <c r="F31" s="358">
        <v>8029.1959999999999</v>
      </c>
    </row>
    <row r="32" spans="1:8">
      <c r="A32" s="356" t="s">
        <v>37</v>
      </c>
      <c r="D32" s="356" t="s">
        <v>2834</v>
      </c>
      <c r="E32" s="356" t="s">
        <v>2835</v>
      </c>
      <c r="F32" s="358">
        <v>76.438999999999993</v>
      </c>
    </row>
    <row r="33" spans="1:7">
      <c r="A33" s="356" t="s">
        <v>38</v>
      </c>
      <c r="D33" s="356" t="s">
        <v>2836</v>
      </c>
      <c r="E33" s="356" t="s">
        <v>2837</v>
      </c>
      <c r="F33" s="358">
        <v>55865.844999999994</v>
      </c>
    </row>
    <row r="34" spans="1:7">
      <c r="A34" s="356" t="s">
        <v>39</v>
      </c>
      <c r="D34" s="356" t="s">
        <v>2838</v>
      </c>
      <c r="E34" s="356" t="s">
        <v>2839</v>
      </c>
      <c r="F34" s="358">
        <v>105.83499999999999</v>
      </c>
    </row>
    <row r="35" spans="1:7">
      <c r="A35" s="356" t="s">
        <v>33</v>
      </c>
      <c r="F35" s="358">
        <f>F28-SUM(F29:F34)</f>
        <v>14396.425999999978</v>
      </c>
    </row>
    <row r="36" spans="1:7">
      <c r="A36" s="356" t="s">
        <v>2777</v>
      </c>
      <c r="B36" s="356" t="s">
        <v>2787</v>
      </c>
      <c r="C36" s="356" t="s">
        <v>2779</v>
      </c>
      <c r="D36" s="356" t="s">
        <v>2840</v>
      </c>
      <c r="E36" s="356" t="s">
        <v>2841</v>
      </c>
      <c r="F36" s="358">
        <v>2201610.8489999999</v>
      </c>
    </row>
    <row r="37" spans="1:7">
      <c r="A37" s="356" t="s">
        <v>32</v>
      </c>
      <c r="D37" s="356" t="s">
        <v>2842</v>
      </c>
      <c r="E37" s="356" t="s">
        <v>2843</v>
      </c>
      <c r="F37" s="358">
        <v>14991.433000000003</v>
      </c>
      <c r="G37" s="359">
        <f t="shared" ref="G37:G43" si="2">F37/F45</f>
        <v>2.4415749822648508E-4</v>
      </c>
    </row>
    <row r="38" spans="1:7">
      <c r="A38" s="356" t="s">
        <v>34</v>
      </c>
      <c r="D38" s="356" t="s">
        <v>2844</v>
      </c>
      <c r="E38" s="356" t="s">
        <v>2845</v>
      </c>
      <c r="F38" s="358">
        <v>383563.19099999999</v>
      </c>
      <c r="G38" s="359">
        <f t="shared" si="2"/>
        <v>5.9599435180559643E-2</v>
      </c>
    </row>
    <row r="39" spans="1:7">
      <c r="A39" s="356" t="s">
        <v>35</v>
      </c>
      <c r="D39" s="356" t="s">
        <v>2846</v>
      </c>
      <c r="E39" s="356" t="s">
        <v>2847</v>
      </c>
      <c r="F39" s="358">
        <v>197558.46100000001</v>
      </c>
      <c r="G39" s="359">
        <f t="shared" si="2"/>
        <v>9.7561405620135815E-3</v>
      </c>
    </row>
    <row r="40" spans="1:7">
      <c r="A40" s="356" t="s">
        <v>37</v>
      </c>
      <c r="D40" s="356" t="s">
        <v>2848</v>
      </c>
      <c r="E40" s="356" t="s">
        <v>2849</v>
      </c>
      <c r="F40" s="358">
        <v>143.93</v>
      </c>
      <c r="G40" s="359">
        <f t="shared" si="2"/>
        <v>4.5820914813784287E-5</v>
      </c>
    </row>
    <row r="41" spans="1:7">
      <c r="A41" s="356" t="s">
        <v>38</v>
      </c>
      <c r="D41" s="356" t="s">
        <v>2850</v>
      </c>
      <c r="E41" s="356" t="s">
        <v>2851</v>
      </c>
      <c r="F41" s="358">
        <v>161623.03700000001</v>
      </c>
      <c r="G41" s="359">
        <f t="shared" si="2"/>
        <v>5.5306702617286966E-3</v>
      </c>
    </row>
    <row r="42" spans="1:7">
      <c r="A42" s="356" t="s">
        <v>39</v>
      </c>
      <c r="D42" s="356" t="s">
        <v>2852</v>
      </c>
      <c r="E42" s="356" t="s">
        <v>2853</v>
      </c>
      <c r="F42" s="358">
        <v>6196.1859999999997</v>
      </c>
      <c r="G42" s="359">
        <f t="shared" si="2"/>
        <v>2.2131085240695114E-3</v>
      </c>
    </row>
    <row r="43" spans="1:7">
      <c r="A43" s="356" t="s">
        <v>33</v>
      </c>
      <c r="F43" s="358">
        <f>F36-SUM(F37:F42)</f>
        <v>1437534.611</v>
      </c>
      <c r="G43" s="359">
        <f t="shared" si="2"/>
        <v>1.8834461087505604E-2</v>
      </c>
    </row>
    <row r="44" spans="1:7">
      <c r="A44" s="356" t="s">
        <v>2777</v>
      </c>
      <c r="B44" s="356" t="s">
        <v>2787</v>
      </c>
      <c r="C44" s="356" t="s">
        <v>2797</v>
      </c>
      <c r="D44" s="356" t="s">
        <v>2854</v>
      </c>
      <c r="E44" s="356" t="s">
        <v>2855</v>
      </c>
      <c r="F44" s="358">
        <v>199574660</v>
      </c>
    </row>
    <row r="45" spans="1:7">
      <c r="A45" s="356" t="s">
        <v>32</v>
      </c>
      <c r="D45" s="356" t="s">
        <v>2856</v>
      </c>
      <c r="E45" s="356" t="s">
        <v>2857</v>
      </c>
      <c r="F45" s="358">
        <v>61400666</v>
      </c>
    </row>
    <row r="46" spans="1:7">
      <c r="A46" s="356" t="s">
        <v>34</v>
      </c>
      <c r="D46" s="356" t="s">
        <v>2858</v>
      </c>
      <c r="E46" s="356" t="s">
        <v>2859</v>
      </c>
      <c r="F46" s="358">
        <v>6435685</v>
      </c>
    </row>
    <row r="47" spans="1:7">
      <c r="A47" s="356" t="s">
        <v>35</v>
      </c>
      <c r="D47" s="356" t="s">
        <v>2860</v>
      </c>
      <c r="E47" s="356" t="s">
        <v>2861</v>
      </c>
      <c r="F47" s="358">
        <v>20249653</v>
      </c>
    </row>
    <row r="48" spans="1:7">
      <c r="A48" s="356" t="s">
        <v>37</v>
      </c>
      <c r="D48" s="356" t="s">
        <v>2862</v>
      </c>
      <c r="E48" s="356" t="s">
        <v>2863</v>
      </c>
      <c r="F48" s="358">
        <v>3141142</v>
      </c>
    </row>
    <row r="49" spans="1:7">
      <c r="A49" s="356" t="s">
        <v>38</v>
      </c>
      <c r="D49" s="356" t="s">
        <v>2864</v>
      </c>
      <c r="E49" s="356" t="s">
        <v>2865</v>
      </c>
      <c r="F49" s="358">
        <v>29223047</v>
      </c>
    </row>
    <row r="50" spans="1:7">
      <c r="A50" s="356" t="s">
        <v>39</v>
      </c>
      <c r="D50" s="356" t="s">
        <v>2866</v>
      </c>
      <c r="E50" s="356" t="s">
        <v>2867</v>
      </c>
      <c r="F50" s="358">
        <v>2799766</v>
      </c>
    </row>
    <row r="51" spans="1:7">
      <c r="A51" s="356" t="s">
        <v>33</v>
      </c>
      <c r="F51" s="358">
        <f>F44-SUM(F45:F50)</f>
        <v>76324701</v>
      </c>
    </row>
    <row r="52" spans="1:7">
      <c r="A52" s="356" t="s">
        <v>2777</v>
      </c>
      <c r="B52" s="356" t="s">
        <v>2790</v>
      </c>
      <c r="C52" s="356" t="s">
        <v>2779</v>
      </c>
      <c r="D52" s="356" t="s">
        <v>2868</v>
      </c>
      <c r="E52" s="356" t="s">
        <v>2869</v>
      </c>
      <c r="F52" s="358">
        <v>6413426.1550000003</v>
      </c>
    </row>
    <row r="53" spans="1:7">
      <c r="A53" s="356" t="s">
        <v>32</v>
      </c>
      <c r="D53" s="356" t="s">
        <v>2870</v>
      </c>
      <c r="E53" s="356" t="s">
        <v>2871</v>
      </c>
      <c r="F53" s="358">
        <v>1749713.8949999996</v>
      </c>
      <c r="G53" s="359">
        <f t="shared" ref="G53:G59" si="3">F53/F61</f>
        <v>2.849665987336358E-2</v>
      </c>
    </row>
    <row r="54" spans="1:7">
      <c r="A54" s="356" t="s">
        <v>34</v>
      </c>
      <c r="D54" s="356" t="s">
        <v>2872</v>
      </c>
      <c r="E54" s="356" t="s">
        <v>2873</v>
      </c>
      <c r="F54" s="358">
        <v>112892.14599999999</v>
      </c>
      <c r="G54" s="359">
        <f t="shared" si="3"/>
        <v>1.7541589745302948E-2</v>
      </c>
    </row>
    <row r="55" spans="1:7">
      <c r="A55" s="356" t="s">
        <v>35</v>
      </c>
      <c r="D55" s="356" t="s">
        <v>2874</v>
      </c>
      <c r="E55" s="356" t="s">
        <v>2875</v>
      </c>
      <c r="F55" s="358">
        <v>509579.25</v>
      </c>
      <c r="G55" s="359">
        <f t="shared" si="3"/>
        <v>2.5164838627111288E-2</v>
      </c>
    </row>
    <row r="56" spans="1:7">
      <c r="A56" s="356" t="s">
        <v>37</v>
      </c>
      <c r="D56" s="356" t="s">
        <v>2876</v>
      </c>
      <c r="E56" s="356" t="s">
        <v>2877</v>
      </c>
      <c r="F56" s="358">
        <v>1015.5229999999999</v>
      </c>
      <c r="G56" s="359">
        <f t="shared" si="3"/>
        <v>3.2329738674660361E-4</v>
      </c>
    </row>
    <row r="57" spans="1:7">
      <c r="A57" s="356" t="s">
        <v>38</v>
      </c>
      <c r="D57" s="356" t="s">
        <v>2878</v>
      </c>
      <c r="E57" s="356" t="s">
        <v>2879</v>
      </c>
      <c r="F57" s="358">
        <v>363257.80000000005</v>
      </c>
      <c r="G57" s="359">
        <f t="shared" si="3"/>
        <v>1.2430524441889993E-2</v>
      </c>
    </row>
    <row r="58" spans="1:7">
      <c r="A58" s="356" t="s">
        <v>39</v>
      </c>
      <c r="D58" s="356" t="s">
        <v>2880</v>
      </c>
      <c r="E58" s="356" t="s">
        <v>2881</v>
      </c>
      <c r="F58" s="358">
        <v>13408.249000000002</v>
      </c>
      <c r="G58" s="359">
        <f t="shared" si="3"/>
        <v>4.7890605857775267E-3</v>
      </c>
    </row>
    <row r="59" spans="1:7">
      <c r="A59" s="356" t="s">
        <v>33</v>
      </c>
      <c r="F59" s="358">
        <f>F52-SUM(F53:F58)</f>
        <v>3663559.2920000013</v>
      </c>
      <c r="G59" s="359">
        <f t="shared" si="3"/>
        <v>4.7999654685840186E-2</v>
      </c>
    </row>
    <row r="60" spans="1:7">
      <c r="A60" s="356" t="s">
        <v>2777</v>
      </c>
      <c r="B60" s="356" t="s">
        <v>2790</v>
      </c>
      <c r="C60" s="356" t="s">
        <v>2797</v>
      </c>
      <c r="D60" s="356" t="s">
        <v>2854</v>
      </c>
      <c r="E60" s="356" t="s">
        <v>2855</v>
      </c>
      <c r="F60" s="358">
        <v>199574660</v>
      </c>
    </row>
    <row r="61" spans="1:7">
      <c r="A61" s="356" t="s">
        <v>32</v>
      </c>
      <c r="D61" s="356" t="s">
        <v>2856</v>
      </c>
      <c r="E61" s="356" t="s">
        <v>2857</v>
      </c>
      <c r="F61" s="358">
        <v>61400666</v>
      </c>
    </row>
    <row r="62" spans="1:7">
      <c r="A62" s="356" t="s">
        <v>34</v>
      </c>
      <c r="D62" s="356" t="s">
        <v>2858</v>
      </c>
      <c r="E62" s="356" t="s">
        <v>2859</v>
      </c>
      <c r="F62" s="358">
        <v>6435685</v>
      </c>
    </row>
    <row r="63" spans="1:7">
      <c r="A63" s="356" t="s">
        <v>35</v>
      </c>
      <c r="D63" s="356" t="s">
        <v>2860</v>
      </c>
      <c r="E63" s="356" t="s">
        <v>2861</v>
      </c>
      <c r="F63" s="358">
        <v>20249653</v>
      </c>
    </row>
    <row r="64" spans="1:7">
      <c r="A64" s="356" t="s">
        <v>37</v>
      </c>
      <c r="D64" s="356" t="s">
        <v>2862</v>
      </c>
      <c r="E64" s="356" t="s">
        <v>2863</v>
      </c>
      <c r="F64" s="358">
        <v>3141142</v>
      </c>
    </row>
    <row r="65" spans="1:7">
      <c r="A65" s="356" t="s">
        <v>38</v>
      </c>
      <c r="D65" s="356" t="s">
        <v>2864</v>
      </c>
      <c r="E65" s="356" t="s">
        <v>2865</v>
      </c>
      <c r="F65" s="358">
        <v>29223047</v>
      </c>
    </row>
    <row r="66" spans="1:7">
      <c r="A66" s="356" t="s">
        <v>39</v>
      </c>
      <c r="D66" s="356" t="s">
        <v>2866</v>
      </c>
      <c r="E66" s="356" t="s">
        <v>2867</v>
      </c>
      <c r="F66" s="358">
        <v>2799766</v>
      </c>
    </row>
    <row r="67" spans="1:7">
      <c r="A67" s="356" t="s">
        <v>33</v>
      </c>
      <c r="F67" s="358">
        <f>F60-SUM(F61:F66)</f>
        <v>76324701</v>
      </c>
    </row>
    <row r="68" spans="1:7">
      <c r="A68" s="356" t="s">
        <v>2777</v>
      </c>
      <c r="B68" s="356" t="s">
        <v>2882</v>
      </c>
      <c r="C68" s="356" t="s">
        <v>2779</v>
      </c>
      <c r="D68" s="361" t="s">
        <v>2883</v>
      </c>
      <c r="E68" s="356" t="s">
        <v>2884</v>
      </c>
      <c r="F68" s="358">
        <v>7629469.4999999991</v>
      </c>
    </row>
    <row r="69" spans="1:7">
      <c r="A69" s="356" t="s">
        <v>32</v>
      </c>
      <c r="D69" s="361" t="s">
        <v>2885</v>
      </c>
      <c r="E69" s="356" t="s">
        <v>2886</v>
      </c>
      <c r="F69" s="358">
        <v>41811.200000000004</v>
      </c>
      <c r="G69" s="359">
        <f t="shared" ref="G69:G75" si="4">F69/F77</f>
        <v>2.0401459533468464E-2</v>
      </c>
    </row>
    <row r="70" spans="1:7">
      <c r="A70" s="356" t="s">
        <v>34</v>
      </c>
      <c r="D70" s="361" t="s">
        <v>2887</v>
      </c>
      <c r="E70" s="356" t="s">
        <v>2888</v>
      </c>
      <c r="F70" s="358">
        <v>5534409.1999999993</v>
      </c>
      <c r="G70" s="359">
        <f t="shared" si="4"/>
        <v>0.48853956273204235</v>
      </c>
    </row>
    <row r="71" spans="1:7">
      <c r="A71" s="356" t="s">
        <v>35</v>
      </c>
      <c r="D71" s="361" t="s">
        <v>2889</v>
      </c>
      <c r="E71" s="356" t="s">
        <v>2890</v>
      </c>
      <c r="F71" s="358">
        <v>6955.1999999999989</v>
      </c>
      <c r="G71" s="359">
        <f t="shared" si="4"/>
        <v>8.491322740341473E-3</v>
      </c>
    </row>
    <row r="72" spans="1:7">
      <c r="A72" s="356" t="s">
        <v>37</v>
      </c>
      <c r="D72" s="361" t="s">
        <v>2891</v>
      </c>
      <c r="E72" s="356" t="s">
        <v>2892</v>
      </c>
      <c r="F72" s="358">
        <v>11911.2</v>
      </c>
      <c r="G72" s="359">
        <f t="shared" si="4"/>
        <v>0.2244135878063945</v>
      </c>
    </row>
    <row r="73" spans="1:7">
      <c r="A73" s="356" t="s">
        <v>38</v>
      </c>
      <c r="D73" s="361" t="s">
        <v>2893</v>
      </c>
      <c r="E73" s="356" t="s">
        <v>2894</v>
      </c>
      <c r="F73" s="358">
        <v>1108150.9000000001</v>
      </c>
      <c r="G73" s="359">
        <f t="shared" si="4"/>
        <v>0.3426456458482538</v>
      </c>
    </row>
    <row r="74" spans="1:7">
      <c r="A74" s="356" t="s">
        <v>39</v>
      </c>
      <c r="D74" s="361" t="s">
        <v>2895</v>
      </c>
      <c r="E74" s="356" t="s">
        <v>2896</v>
      </c>
      <c r="F74" s="358">
        <v>0</v>
      </c>
      <c r="G74" s="359">
        <f t="shared" si="4"/>
        <v>0</v>
      </c>
    </row>
    <row r="75" spans="1:7">
      <c r="A75" s="356" t="s">
        <v>33</v>
      </c>
      <c r="F75" s="358">
        <f>F68-SUM(F69:F74)</f>
        <v>926231.79999999888</v>
      </c>
      <c r="G75" s="359">
        <f t="shared" si="4"/>
        <v>0.12455688479806219</v>
      </c>
    </row>
    <row r="76" spans="1:7">
      <c r="A76" s="356" t="s">
        <v>2777</v>
      </c>
      <c r="B76" s="356" t="s">
        <v>2882</v>
      </c>
      <c r="C76" s="356" t="s">
        <v>2797</v>
      </c>
      <c r="D76" s="356" t="s">
        <v>2897</v>
      </c>
      <c r="E76" s="356" t="s">
        <v>2898</v>
      </c>
      <c r="F76" s="358">
        <v>24944598</v>
      </c>
    </row>
    <row r="77" spans="1:7">
      <c r="A77" s="356" t="s">
        <v>32</v>
      </c>
      <c r="D77" s="356" t="s">
        <v>2899</v>
      </c>
      <c r="E77" s="356" t="s">
        <v>2900</v>
      </c>
      <c r="F77" s="358">
        <v>2049422</v>
      </c>
    </row>
    <row r="78" spans="1:7">
      <c r="A78" s="356" t="s">
        <v>34</v>
      </c>
      <c r="D78" s="356" t="s">
        <v>2901</v>
      </c>
      <c r="E78" s="356" t="s">
        <v>2902</v>
      </c>
      <c r="F78" s="358">
        <v>11328477</v>
      </c>
    </row>
    <row r="79" spans="1:7">
      <c r="A79" s="356" t="s">
        <v>35</v>
      </c>
      <c r="D79" s="356" t="s">
        <v>2903</v>
      </c>
      <c r="E79" s="356" t="s">
        <v>2904</v>
      </c>
      <c r="F79" s="358">
        <v>819095</v>
      </c>
    </row>
    <row r="80" spans="1:7">
      <c r="A80" s="356" t="s">
        <v>37</v>
      </c>
      <c r="D80" s="356" t="s">
        <v>2905</v>
      </c>
      <c r="E80" s="356" t="s">
        <v>2906</v>
      </c>
      <c r="F80" s="358">
        <v>53077</v>
      </c>
    </row>
    <row r="81" spans="1:7">
      <c r="A81" s="356" t="s">
        <v>38</v>
      </c>
      <c r="D81" s="356" t="s">
        <v>2907</v>
      </c>
      <c r="E81" s="356" t="s">
        <v>2908</v>
      </c>
      <c r="F81" s="358">
        <v>3234101.8</v>
      </c>
    </row>
    <row r="82" spans="1:7">
      <c r="A82" s="356" t="s">
        <v>39</v>
      </c>
      <c r="D82" s="356" t="s">
        <v>2909</v>
      </c>
      <c r="E82" s="356" t="s">
        <v>2910</v>
      </c>
      <c r="F82" s="358">
        <v>24210</v>
      </c>
    </row>
    <row r="83" spans="1:7">
      <c r="A83" s="356" t="s">
        <v>33</v>
      </c>
      <c r="F83" s="358">
        <f>F76-SUM(F77:F82)</f>
        <v>7436215.1999999993</v>
      </c>
    </row>
    <row r="84" spans="1:7">
      <c r="A84" s="356" t="s">
        <v>2777</v>
      </c>
      <c r="B84" s="356" t="s">
        <v>2911</v>
      </c>
      <c r="C84" s="356" t="s">
        <v>2779</v>
      </c>
      <c r="D84" s="356" t="s">
        <v>2912</v>
      </c>
      <c r="E84" s="356" t="s">
        <v>2913</v>
      </c>
      <c r="F84" s="358">
        <v>151532.5</v>
      </c>
      <c r="G84" s="359">
        <f t="shared" ref="G84:G90" si="5">F84/F92</f>
        <v>4.870121000567898E-2</v>
      </c>
    </row>
    <row r="85" spans="1:7">
      <c r="A85" s="356" t="s">
        <v>32</v>
      </c>
      <c r="D85" s="356" t="s">
        <v>2914</v>
      </c>
      <c r="E85" s="356" t="s">
        <v>2915</v>
      </c>
      <c r="F85" s="358">
        <v>987.2</v>
      </c>
      <c r="G85" s="359">
        <f t="shared" si="5"/>
        <v>2.9604483855780101E-3</v>
      </c>
    </row>
    <row r="86" spans="1:7">
      <c r="A86" s="356" t="s">
        <v>34</v>
      </c>
      <c r="D86" s="356" t="s">
        <v>2916</v>
      </c>
      <c r="E86" s="356" t="s">
        <v>2917</v>
      </c>
      <c r="F86" s="358">
        <v>105415.99999999999</v>
      </c>
      <c r="G86" s="359">
        <f t="shared" si="5"/>
        <v>0.89610500008500638</v>
      </c>
    </row>
    <row r="87" spans="1:7">
      <c r="A87" s="356" t="s">
        <v>35</v>
      </c>
      <c r="D87" s="356" t="s">
        <v>2918</v>
      </c>
      <c r="E87" s="356" t="s">
        <v>2919</v>
      </c>
      <c r="F87" s="358">
        <v>0</v>
      </c>
      <c r="G87" s="359">
        <f t="shared" si="5"/>
        <v>0</v>
      </c>
    </row>
    <row r="88" spans="1:7">
      <c r="A88" s="356" t="s">
        <v>37</v>
      </c>
      <c r="D88" s="356" t="s">
        <v>2920</v>
      </c>
      <c r="E88" s="356" t="s">
        <v>2921</v>
      </c>
      <c r="F88" s="358">
        <v>0</v>
      </c>
      <c r="G88" s="359">
        <f t="shared" si="5"/>
        <v>0</v>
      </c>
    </row>
    <row r="89" spans="1:7">
      <c r="A89" s="356" t="s">
        <v>38</v>
      </c>
      <c r="D89" s="356" t="s">
        <v>2922</v>
      </c>
      <c r="E89" s="356" t="s">
        <v>2923</v>
      </c>
      <c r="F89" s="358">
        <v>40037.200000000004</v>
      </c>
      <c r="G89" s="359">
        <f t="shared" si="5"/>
        <v>9.7847306469224821E-2</v>
      </c>
    </row>
    <row r="90" spans="1:7">
      <c r="A90" s="356" t="s">
        <v>39</v>
      </c>
      <c r="D90" s="356" t="s">
        <v>2924</v>
      </c>
      <c r="E90" s="356" t="s">
        <v>2925</v>
      </c>
      <c r="F90" s="358">
        <v>0</v>
      </c>
      <c r="G90" s="359">
        <f t="shared" si="5"/>
        <v>0</v>
      </c>
    </row>
    <row r="91" spans="1:7">
      <c r="A91" s="356" t="s">
        <v>33</v>
      </c>
      <c r="F91" s="358">
        <f>F84-SUM(F85:F90)</f>
        <v>5092.1000000000058</v>
      </c>
    </row>
    <row r="92" spans="1:7">
      <c r="A92" s="356" t="s">
        <v>2777</v>
      </c>
      <c r="B92" s="356" t="s">
        <v>2911</v>
      </c>
      <c r="C92" s="356" t="s">
        <v>2797</v>
      </c>
      <c r="D92" s="356" t="s">
        <v>2926</v>
      </c>
      <c r="E92" s="356" t="s">
        <v>2927</v>
      </c>
      <c r="F92" s="358">
        <v>3111473</v>
      </c>
    </row>
    <row r="93" spans="1:7">
      <c r="A93" s="356" t="s">
        <v>32</v>
      </c>
      <c r="D93" s="356" t="s">
        <v>2928</v>
      </c>
      <c r="E93" s="356" t="s">
        <v>2929</v>
      </c>
      <c r="F93" s="358">
        <v>333463</v>
      </c>
    </row>
    <row r="94" spans="1:7">
      <c r="A94" s="356" t="s">
        <v>34</v>
      </c>
      <c r="D94" s="356" t="s">
        <v>2930</v>
      </c>
      <c r="E94" s="356" t="s">
        <v>2931</v>
      </c>
      <c r="F94" s="358">
        <v>117638</v>
      </c>
    </row>
    <row r="95" spans="1:7">
      <c r="A95" s="356" t="s">
        <v>35</v>
      </c>
      <c r="D95" s="356" t="s">
        <v>2932</v>
      </c>
      <c r="E95" s="356" t="s">
        <v>2933</v>
      </c>
      <c r="F95" s="358">
        <v>42124</v>
      </c>
    </row>
    <row r="96" spans="1:7">
      <c r="A96" s="356" t="s">
        <v>37</v>
      </c>
      <c r="D96" s="356" t="s">
        <v>2934</v>
      </c>
      <c r="E96" s="356" t="s">
        <v>2935</v>
      </c>
      <c r="F96" s="358">
        <v>13991</v>
      </c>
    </row>
    <row r="97" spans="1:6">
      <c r="A97" s="356" t="s">
        <v>38</v>
      </c>
      <c r="D97" s="356" t="s">
        <v>2936</v>
      </c>
      <c r="E97" s="356" t="s">
        <v>2937</v>
      </c>
      <c r="F97" s="358">
        <v>409180.4</v>
      </c>
    </row>
    <row r="98" spans="1:6">
      <c r="A98" s="356" t="s">
        <v>39</v>
      </c>
      <c r="D98" s="356" t="s">
        <v>2938</v>
      </c>
      <c r="E98" s="356" t="s">
        <v>2939</v>
      </c>
      <c r="F98" s="358">
        <v>2912</v>
      </c>
    </row>
    <row r="99" spans="1:6">
      <c r="A99" s="356" t="s">
        <v>33</v>
      </c>
      <c r="F99" s="358">
        <f>F92-SUM(F93:F98)</f>
        <v>2192164.6</v>
      </c>
    </row>
  </sheetData>
  <hyperlinks>
    <hyperlink ref="D68" r:id="rId1" xr:uid="{7FA6068D-2CFF-4C83-843F-697C2CFB94C5}"/>
    <hyperlink ref="D69" r:id="rId2" xr:uid="{87F24349-838B-4FED-9C04-431C4265E9BD}"/>
    <hyperlink ref="D70" r:id="rId3" xr:uid="{756EE082-A275-41BC-A014-52F376A1B994}"/>
    <hyperlink ref="D71" r:id="rId4" xr:uid="{3E37DDDD-0A0F-4FF0-B47F-1F7FF0D0B6FA}"/>
    <hyperlink ref="D72" r:id="rId5" xr:uid="{BD509928-A44C-461D-89B1-7CFF6247F9A5}"/>
    <hyperlink ref="D73" r:id="rId6" xr:uid="{DB6E1751-EEC0-456C-8C60-E0F80C898943}"/>
    <hyperlink ref="D74" r:id="rId7" xr:uid="{A7E12677-B766-4741-BE16-6F82A0FC7382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A958E-0537-427C-A535-0EA1DCD62F29}">
  <dimension ref="H1:AU40"/>
  <sheetViews>
    <sheetView topLeftCell="J1" workbookViewId="0">
      <selection activeCell="AA21" sqref="AA21"/>
    </sheetView>
  </sheetViews>
  <sheetFormatPr defaultRowHeight="12.6"/>
  <sheetData>
    <row r="1" spans="8:44">
      <c r="J1" t="s">
        <v>2940</v>
      </c>
      <c r="S1" t="s">
        <v>2941</v>
      </c>
      <c r="AB1" t="s">
        <v>2942</v>
      </c>
      <c r="AK1" t="s">
        <v>2217</v>
      </c>
    </row>
    <row r="2" spans="8:44">
      <c r="J2" s="97">
        <v>924</v>
      </c>
      <c r="K2" s="97"/>
      <c r="L2">
        <v>156</v>
      </c>
      <c r="M2">
        <v>273</v>
      </c>
      <c r="O2">
        <v>158</v>
      </c>
      <c r="P2">
        <v>997</v>
      </c>
      <c r="Q2">
        <v>112</v>
      </c>
      <c r="S2" s="97">
        <v>924</v>
      </c>
      <c r="T2" s="97"/>
      <c r="U2">
        <v>156</v>
      </c>
      <c r="V2">
        <v>273</v>
      </c>
      <c r="X2">
        <v>158</v>
      </c>
      <c r="Y2">
        <v>997</v>
      </c>
      <c r="Z2">
        <v>112</v>
      </c>
      <c r="AB2" s="97">
        <v>924</v>
      </c>
      <c r="AC2" s="97"/>
      <c r="AD2">
        <v>156</v>
      </c>
      <c r="AE2">
        <v>273</v>
      </c>
      <c r="AG2">
        <v>158</v>
      </c>
      <c r="AH2">
        <v>997</v>
      </c>
      <c r="AI2">
        <v>112</v>
      </c>
      <c r="AK2" s="97">
        <v>924</v>
      </c>
      <c r="AL2" s="97"/>
      <c r="AM2">
        <v>156</v>
      </c>
      <c r="AN2">
        <v>273</v>
      </c>
      <c r="AP2">
        <v>158</v>
      </c>
      <c r="AQ2">
        <v>997</v>
      </c>
      <c r="AR2">
        <v>112</v>
      </c>
    </row>
    <row r="3" spans="8:44">
      <c r="H3" s="97" t="s">
        <v>2775</v>
      </c>
      <c r="I3" s="97" t="s">
        <v>551</v>
      </c>
      <c r="J3" t="str">
        <f>"(M"&amp;J2&amp;"F54A@USTRADE) % (NM"&amp;J2&amp;"F54@USTRADE)"</f>
        <v>(M924F54A@USTRADE) % (NM924F54@USTRADE)</v>
      </c>
      <c r="K3" s="97" t="s">
        <v>2943</v>
      </c>
      <c r="L3" t="str">
        <f>"(M"&amp;L2&amp;"F54A@USTRADE) % (NM"&amp;L2&amp;"F54@USTRADE)"</f>
        <v>(M156F54A@USTRADE) % (NM156F54@USTRADE)</v>
      </c>
      <c r="M3" t="str">
        <f>"(M"&amp;M2&amp;"F54A@USTRADE) % (NM"&amp;M2&amp;"F54@USTRADE)"</f>
        <v>(M273F54A@USTRADE) % (NM273F54@USTRADE)</v>
      </c>
      <c r="N3" s="97" t="s">
        <v>2943</v>
      </c>
      <c r="O3" t="str">
        <f>"(M"&amp;O2&amp;"F54A@USTRADE) % (NM"&amp;O2&amp;"F54@USTRADE)"</f>
        <v>(M158F54A@USTRADE) % (NM158F54@USTRADE)</v>
      </c>
      <c r="P3" t="str">
        <f>"(M"&amp;P2&amp;"F54A@USTRADE) % (NM"&amp;P2&amp;"F54@USTRADE)"</f>
        <v>(M997F54A@USTRADE) % (NM997F54@USTRADE)</v>
      </c>
      <c r="Q3" t="str">
        <f>"(M"&amp;Q2&amp;"F54A@USTRADE) % (NM"&amp;Q2&amp;"F54@USTRADE)"</f>
        <v>(M112F54A@USTRADE) % (NM112F54@USTRADE)</v>
      </c>
      <c r="S3" t="str">
        <f>"(NM"&amp;S2&amp;"G71@USTRADE) % (NM"&amp;S2&amp;"G7@USTRADE + NM"&amp;S2&amp;"G9@USTRADE)"</f>
        <v>(NM924G71@USTRADE) % (NM924G7@USTRADE + NM924G9@USTRADE)</v>
      </c>
      <c r="T3" s="97" t="s">
        <v>2944</v>
      </c>
      <c r="U3" t="str">
        <f>"(NM"&amp;U2&amp;"G71@USTRADE) % (NM"&amp;U2&amp;"G7@USTRADE + NM"&amp;U2&amp;"G9@USTRADE)"</f>
        <v>(NM156G71@USTRADE) % (NM156G7@USTRADE + NM156G9@USTRADE)</v>
      </c>
      <c r="V3" t="str">
        <f>"(NM"&amp;V2&amp;"G71@USTRADE) % (NM"&amp;V2&amp;"G7@USTRADE + NM"&amp;V2&amp;"G9@USTRADE)"</f>
        <v>(NM273G71@USTRADE) % (NM273G7@USTRADE + NM273G9@USTRADE)</v>
      </c>
      <c r="W3" s="97" t="s">
        <v>2944</v>
      </c>
      <c r="X3" t="str">
        <f>"(NM"&amp;X2&amp;"G71@USTRADE) % (NM"&amp;X2&amp;"G7@USTRADE + NM"&amp;X2&amp;"G9@USTRADE)"</f>
        <v>(NM158G71@USTRADE) % (NM158G7@USTRADE + NM158G9@USTRADE)</v>
      </c>
      <c r="Y3" t="str">
        <f>"(NM"&amp;Y2&amp;"G71@USTRADE) % (NM"&amp;Y2&amp;"G7@USTRADE + NM"&amp;Y2&amp;"G9@USTRADE)"</f>
        <v>(NM997G71@USTRADE) % (NM997G7@USTRADE + NM997G9@USTRADE)</v>
      </c>
      <c r="Z3" t="str">
        <f>"(NM"&amp;Z2&amp;"G71@USTRADE) % (NM"&amp;Z2&amp;"G7@USTRADE + NM"&amp;Z2&amp;"G9@USTRADE)"</f>
        <v>(NM112G71@USTRADE) % (NM112G7@USTRADE + NM112G9@USTRADE)</v>
      </c>
      <c r="AB3" t="str">
        <f>"(M"&amp;AB2&amp;"G71A@USTRADE) % (NM"&amp;AB2&amp;"G7@USTRADE + NM"&amp;AB2&amp;"G9@USTRADE)"</f>
        <v>(M924G71A@USTRADE) % (NM924G7@USTRADE + NM924G9@USTRADE)</v>
      </c>
      <c r="AC3" s="97" t="s">
        <v>2945</v>
      </c>
      <c r="AD3" t="str">
        <f>"(M"&amp;AD2&amp;"G71A@USTRADE) % (NM"&amp;AD2&amp;"G7@USTRADE + NM"&amp;AD2&amp;"G9@USTRADE)"</f>
        <v>(M156G71A@USTRADE) % (NM156G7@USTRADE + NM156G9@USTRADE)</v>
      </c>
      <c r="AE3" t="str">
        <f>"(M"&amp;AE2&amp;"G71A@USTRADE) % (NM"&amp;AE2&amp;"G7@USTRADE + NM"&amp;AE2&amp;"G9@USTRADE)"</f>
        <v>(M273G71A@USTRADE) % (NM273G7@USTRADE + NM273G9@USTRADE)</v>
      </c>
      <c r="AF3" s="97" t="s">
        <v>2945</v>
      </c>
      <c r="AG3" t="str">
        <f>"(M"&amp;AG2&amp;"G71A@USTRADE) % (NM"&amp;AG2&amp;"G7@USTRADE + NM"&amp;AG2&amp;"G9@USTRADE)"</f>
        <v>(M158G71A@USTRADE) % (NM158G7@USTRADE + NM158G9@USTRADE)</v>
      </c>
      <c r="AH3" t="str">
        <f>"(M"&amp;AH2&amp;"G71A@USTRADE) % (NM"&amp;AH2&amp;"G7@USTRADE + NM"&amp;AH2&amp;"G9@USTRADE)"</f>
        <v>(M997G71A@USTRADE) % (NM997G7@USTRADE + NM997G9@USTRADE)</v>
      </c>
      <c r="AI3" t="str">
        <f>"(M"&amp;AI2&amp;"G71A@USTRADE) % (NM"&amp;AI2&amp;"G7@USTRADE + NM"&amp;AI2&amp;"G9@USTRADE)"</f>
        <v>(M112G71A@USTRADE) % (NM112G7@USTRADE + NM112G9@USTRADE)</v>
      </c>
      <c r="AK3" t="str">
        <f>"(M"&amp;AK2&amp;"G612@USTRADE) % (NM"&amp;AK2&amp;"G6@USTRADE)"</f>
        <v>(M924G612@USTRADE) % (NM924G6@USTRADE)</v>
      </c>
      <c r="AL3" s="97" t="s">
        <v>2946</v>
      </c>
      <c r="AM3" t="str">
        <f>"(M"&amp;AM2&amp;"G612@USTRADE) % (NM"&amp;AM2&amp;"G6@USTRADE)"</f>
        <v>(M156G612@USTRADE) % (NM156G6@USTRADE)</v>
      </c>
      <c r="AN3" t="str">
        <f>"(M"&amp;AN2&amp;"G612@USTRADE) % (NM"&amp;AN2&amp;"G6@USTRADE)"</f>
        <v>(M273G612@USTRADE) % (NM273G6@USTRADE)</v>
      </c>
      <c r="AO3" s="97" t="s">
        <v>2946</v>
      </c>
      <c r="AP3" t="str">
        <f>"(M"&amp;AP2&amp;"G612@USTRADE) % (NM"&amp;AP2&amp;"G6@USTRADE)"</f>
        <v>(M158G612@USTRADE) % (NM158G6@USTRADE)</v>
      </c>
      <c r="AQ3" t="str">
        <f>"(M"&amp;AQ2&amp;"G612@USTRADE) % (NM"&amp;AQ2&amp;"G6@USTRADE)"</f>
        <v>(M997G612@USTRADE) % (NM997G6@USTRADE)</v>
      </c>
      <c r="AR3" t="str">
        <f>"(M"&amp;AR2&amp;"G612@USTRADE) % (NM"&amp;AR2&amp;"G6@USTRADE)"</f>
        <v>(M112G612@USTRADE) % (NM112G6@USTRADE)</v>
      </c>
    </row>
    <row r="4" spans="8:44">
      <c r="H4" t="s">
        <v>745</v>
      </c>
      <c r="J4" t="s">
        <v>2947</v>
      </c>
      <c r="K4" t="s">
        <v>2948</v>
      </c>
      <c r="L4" t="s">
        <v>2949</v>
      </c>
      <c r="M4" t="s">
        <v>2950</v>
      </c>
      <c r="N4" t="s">
        <v>2948</v>
      </c>
      <c r="O4" t="s">
        <v>2951</v>
      </c>
      <c r="P4" t="s">
        <v>2952</v>
      </c>
      <c r="Q4" t="s">
        <v>2953</v>
      </c>
      <c r="S4" t="s">
        <v>2954</v>
      </c>
      <c r="T4" t="s">
        <v>2955</v>
      </c>
      <c r="U4" t="s">
        <v>2956</v>
      </c>
      <c r="V4" t="s">
        <v>2957</v>
      </c>
      <c r="W4" t="s">
        <v>2955</v>
      </c>
      <c r="X4" t="s">
        <v>2958</v>
      </c>
      <c r="Y4" t="s">
        <v>2959</v>
      </c>
      <c r="Z4" t="s">
        <v>2960</v>
      </c>
      <c r="AB4" t="s">
        <v>2961</v>
      </c>
      <c r="AC4" t="s">
        <v>2962</v>
      </c>
      <c r="AD4" t="s">
        <v>2963</v>
      </c>
      <c r="AE4" t="s">
        <v>2964</v>
      </c>
      <c r="AF4" t="s">
        <v>2962</v>
      </c>
      <c r="AG4" t="s">
        <v>2965</v>
      </c>
      <c r="AH4" t="s">
        <v>2966</v>
      </c>
      <c r="AI4" t="s">
        <v>2967</v>
      </c>
      <c r="AK4" t="s">
        <v>2968</v>
      </c>
      <c r="AL4" t="s">
        <v>2969</v>
      </c>
      <c r="AM4" t="s">
        <v>2970</v>
      </c>
      <c r="AN4" t="s">
        <v>2971</v>
      </c>
      <c r="AO4" t="s">
        <v>2969</v>
      </c>
      <c r="AP4" t="s">
        <v>2972</v>
      </c>
      <c r="AQ4" t="s">
        <v>2973</v>
      </c>
      <c r="AR4" t="s">
        <v>2974</v>
      </c>
    </row>
    <row r="5" spans="8:44">
      <c r="H5" t="s">
        <v>1876</v>
      </c>
      <c r="J5" t="s">
        <v>2975</v>
      </c>
      <c r="K5" t="s">
        <v>2976</v>
      </c>
      <c r="L5" t="s">
        <v>2977</v>
      </c>
      <c r="M5" t="s">
        <v>2978</v>
      </c>
      <c r="N5" t="s">
        <v>2976</v>
      </c>
      <c r="O5" t="s">
        <v>2979</v>
      </c>
      <c r="P5" t="s">
        <v>2980</v>
      </c>
      <c r="Q5" t="s">
        <v>2981</v>
      </c>
      <c r="S5" t="s">
        <v>2982</v>
      </c>
      <c r="T5" t="s">
        <v>2983</v>
      </c>
      <c r="U5" t="s">
        <v>2984</v>
      </c>
      <c r="V5" t="s">
        <v>2985</v>
      </c>
      <c r="W5" t="s">
        <v>2983</v>
      </c>
      <c r="X5" t="s">
        <v>2986</v>
      </c>
      <c r="Y5" t="s">
        <v>2987</v>
      </c>
      <c r="Z5" t="s">
        <v>2988</v>
      </c>
      <c r="AB5" t="s">
        <v>2989</v>
      </c>
      <c r="AC5" t="s">
        <v>2990</v>
      </c>
      <c r="AD5" t="s">
        <v>2991</v>
      </c>
      <c r="AE5" t="s">
        <v>2992</v>
      </c>
      <c r="AF5" t="s">
        <v>2990</v>
      </c>
      <c r="AG5" t="s">
        <v>2993</v>
      </c>
      <c r="AH5" t="s">
        <v>2994</v>
      </c>
      <c r="AI5" t="s">
        <v>2995</v>
      </c>
      <c r="AK5" t="s">
        <v>2996</v>
      </c>
      <c r="AL5" t="s">
        <v>2997</v>
      </c>
      <c r="AM5" t="s">
        <v>2998</v>
      </c>
      <c r="AN5" t="s">
        <v>2999</v>
      </c>
      <c r="AO5" t="s">
        <v>2997</v>
      </c>
      <c r="AP5" t="s">
        <v>3000</v>
      </c>
      <c r="AQ5" t="s">
        <v>3001</v>
      </c>
      <c r="AR5" t="s">
        <v>3002</v>
      </c>
    </row>
    <row r="6" spans="8:44">
      <c r="H6" t="s">
        <v>1878</v>
      </c>
      <c r="J6" t="s">
        <v>3003</v>
      </c>
      <c r="K6" t="s">
        <v>3004</v>
      </c>
      <c r="L6" t="s">
        <v>3005</v>
      </c>
      <c r="M6" t="s">
        <v>3006</v>
      </c>
      <c r="N6" t="s">
        <v>3004</v>
      </c>
      <c r="O6" t="s">
        <v>3007</v>
      </c>
      <c r="P6" t="s">
        <v>3008</v>
      </c>
      <c r="Q6" t="s">
        <v>3009</v>
      </c>
      <c r="S6" t="s">
        <v>3010</v>
      </c>
      <c r="T6" t="s">
        <v>3011</v>
      </c>
      <c r="U6" t="s">
        <v>3012</v>
      </c>
      <c r="V6" t="s">
        <v>3013</v>
      </c>
      <c r="W6" t="s">
        <v>3011</v>
      </c>
      <c r="X6" t="s">
        <v>3014</v>
      </c>
      <c r="Y6" t="s">
        <v>3015</v>
      </c>
      <c r="Z6" t="s">
        <v>3016</v>
      </c>
      <c r="AB6" t="s">
        <v>3017</v>
      </c>
      <c r="AC6" t="s">
        <v>3018</v>
      </c>
      <c r="AD6" t="s">
        <v>3019</v>
      </c>
      <c r="AE6" t="s">
        <v>3020</v>
      </c>
      <c r="AF6" t="s">
        <v>3018</v>
      </c>
      <c r="AG6" t="s">
        <v>3021</v>
      </c>
      <c r="AH6" t="s">
        <v>3022</v>
      </c>
      <c r="AI6" t="s">
        <v>3023</v>
      </c>
      <c r="AK6" t="s">
        <v>3024</v>
      </c>
      <c r="AL6" t="s">
        <v>3025</v>
      </c>
      <c r="AM6" t="s">
        <v>3026</v>
      </c>
      <c r="AN6" t="s">
        <v>3027</v>
      </c>
      <c r="AO6" t="s">
        <v>3025</v>
      </c>
      <c r="AP6" t="s">
        <v>3028</v>
      </c>
      <c r="AQ6" t="s">
        <v>3029</v>
      </c>
      <c r="AR6" t="s">
        <v>3030</v>
      </c>
    </row>
    <row r="7" spans="8:44">
      <c r="H7" t="s">
        <v>3031</v>
      </c>
      <c r="J7" t="s">
        <v>3032</v>
      </c>
      <c r="K7" t="s">
        <v>3033</v>
      </c>
      <c r="L7" t="s">
        <v>3034</v>
      </c>
      <c r="M7" t="s">
        <v>3035</v>
      </c>
      <c r="N7" t="s">
        <v>3033</v>
      </c>
      <c r="O7" t="s">
        <v>3036</v>
      </c>
      <c r="P7" t="s">
        <v>3037</v>
      </c>
      <c r="Q7" t="s">
        <v>3038</v>
      </c>
      <c r="S7" t="s">
        <v>3039</v>
      </c>
      <c r="T7" t="s">
        <v>3040</v>
      </c>
      <c r="U7" t="s">
        <v>3041</v>
      </c>
      <c r="V7" t="s">
        <v>3042</v>
      </c>
      <c r="W7" t="s">
        <v>3040</v>
      </c>
      <c r="X7" t="s">
        <v>3043</v>
      </c>
      <c r="Y7" t="s">
        <v>3044</v>
      </c>
      <c r="Z7" t="s">
        <v>3045</v>
      </c>
      <c r="AB7" t="s">
        <v>3046</v>
      </c>
      <c r="AC7" t="s">
        <v>3047</v>
      </c>
      <c r="AD7" t="s">
        <v>3048</v>
      </c>
      <c r="AE7" t="s">
        <v>3049</v>
      </c>
      <c r="AF7" t="s">
        <v>3047</v>
      </c>
      <c r="AG7" t="s">
        <v>3050</v>
      </c>
      <c r="AH7" t="s">
        <v>3051</v>
      </c>
      <c r="AI7" t="s">
        <v>3052</v>
      </c>
      <c r="AK7" t="s">
        <v>3053</v>
      </c>
      <c r="AL7" t="s">
        <v>3054</v>
      </c>
      <c r="AM7" t="s">
        <v>3055</v>
      </c>
      <c r="AN7" t="s">
        <v>3056</v>
      </c>
      <c r="AO7" t="s">
        <v>3054</v>
      </c>
      <c r="AP7" t="s">
        <v>3057</v>
      </c>
      <c r="AQ7" t="s">
        <v>3058</v>
      </c>
      <c r="AR7" t="s">
        <v>3059</v>
      </c>
    </row>
    <row r="8" spans="8:44">
      <c r="H8" t="s">
        <v>1880</v>
      </c>
      <c r="J8" t="s">
        <v>3060</v>
      </c>
      <c r="K8" t="s">
        <v>3061</v>
      </c>
      <c r="L8" t="s">
        <v>3062</v>
      </c>
      <c r="M8" t="s">
        <v>3063</v>
      </c>
      <c r="N8" t="s">
        <v>3061</v>
      </c>
      <c r="O8" t="s">
        <v>3064</v>
      </c>
      <c r="P8" t="s">
        <v>3065</v>
      </c>
      <c r="Q8" t="s">
        <v>3066</v>
      </c>
      <c r="S8" t="s">
        <v>3067</v>
      </c>
      <c r="T8" t="s">
        <v>3068</v>
      </c>
      <c r="U8" t="s">
        <v>3069</v>
      </c>
      <c r="V8" t="s">
        <v>3070</v>
      </c>
      <c r="W8" t="s">
        <v>3068</v>
      </c>
      <c r="X8" t="s">
        <v>3071</v>
      </c>
      <c r="Y8" t="s">
        <v>3072</v>
      </c>
      <c r="Z8" t="s">
        <v>3073</v>
      </c>
      <c r="AB8" t="s">
        <v>3074</v>
      </c>
      <c r="AC8" t="s">
        <v>3075</v>
      </c>
      <c r="AD8" t="s">
        <v>3076</v>
      </c>
      <c r="AE8" t="s">
        <v>3077</v>
      </c>
      <c r="AF8" t="s">
        <v>3075</v>
      </c>
      <c r="AG8" t="s">
        <v>3078</v>
      </c>
      <c r="AH8" t="s">
        <v>3079</v>
      </c>
      <c r="AI8" t="s">
        <v>3080</v>
      </c>
      <c r="AK8" t="s">
        <v>3081</v>
      </c>
      <c r="AL8" t="s">
        <v>3082</v>
      </c>
      <c r="AM8" t="s">
        <v>3083</v>
      </c>
      <c r="AN8" t="s">
        <v>3084</v>
      </c>
      <c r="AO8" t="s">
        <v>3082</v>
      </c>
      <c r="AP8" t="s">
        <v>3085</v>
      </c>
      <c r="AQ8" t="s">
        <v>3086</v>
      </c>
      <c r="AR8" t="s">
        <v>3087</v>
      </c>
    </row>
    <row r="9" spans="8:44">
      <c r="H9" t="s">
        <v>1882</v>
      </c>
      <c r="J9" t="s">
        <v>3088</v>
      </c>
      <c r="K9" t="s">
        <v>3089</v>
      </c>
      <c r="L9" t="s">
        <v>3090</v>
      </c>
      <c r="M9" t="s">
        <v>3091</v>
      </c>
      <c r="N9" t="s">
        <v>3089</v>
      </c>
      <c r="O9" t="s">
        <v>3092</v>
      </c>
      <c r="P9" t="s">
        <v>3093</v>
      </c>
      <c r="Q9" t="s">
        <v>3094</v>
      </c>
      <c r="S9" t="s">
        <v>3095</v>
      </c>
      <c r="T9" t="s">
        <v>3096</v>
      </c>
      <c r="U9" t="s">
        <v>3097</v>
      </c>
      <c r="V9" t="s">
        <v>3098</v>
      </c>
      <c r="W9" t="s">
        <v>3096</v>
      </c>
      <c r="X9" t="s">
        <v>3099</v>
      </c>
      <c r="Y9" t="s">
        <v>3100</v>
      </c>
      <c r="Z9" t="s">
        <v>3101</v>
      </c>
      <c r="AB9" t="s">
        <v>3102</v>
      </c>
      <c r="AC9" t="s">
        <v>3103</v>
      </c>
      <c r="AD9" t="s">
        <v>3104</v>
      </c>
      <c r="AE9" t="s">
        <v>3105</v>
      </c>
      <c r="AF9" t="s">
        <v>3103</v>
      </c>
      <c r="AG9" t="s">
        <v>3106</v>
      </c>
      <c r="AH9" t="s">
        <v>3107</v>
      </c>
      <c r="AI9" t="s">
        <v>3108</v>
      </c>
      <c r="AK9" t="s">
        <v>3109</v>
      </c>
      <c r="AL9" t="s">
        <v>3110</v>
      </c>
      <c r="AM9" t="s">
        <v>3111</v>
      </c>
      <c r="AN9" t="s">
        <v>3112</v>
      </c>
      <c r="AO9" t="s">
        <v>3110</v>
      </c>
      <c r="AP9" t="s">
        <v>3113</v>
      </c>
      <c r="AQ9" t="s">
        <v>3114</v>
      </c>
      <c r="AR9" t="s">
        <v>3115</v>
      </c>
    </row>
    <row r="10" spans="8:44">
      <c r="H10" t="s">
        <v>1884</v>
      </c>
      <c r="J10" t="s">
        <v>3116</v>
      </c>
      <c r="K10" t="s">
        <v>3117</v>
      </c>
      <c r="L10" t="s">
        <v>3118</v>
      </c>
      <c r="M10" t="s">
        <v>3119</v>
      </c>
      <c r="N10" t="s">
        <v>3117</v>
      </c>
      <c r="O10" t="s">
        <v>3120</v>
      </c>
      <c r="P10" t="s">
        <v>3121</v>
      </c>
      <c r="Q10" t="s">
        <v>3122</v>
      </c>
      <c r="S10" t="s">
        <v>3123</v>
      </c>
      <c r="T10" t="s">
        <v>3124</v>
      </c>
      <c r="U10" t="s">
        <v>3125</v>
      </c>
      <c r="V10" t="s">
        <v>3126</v>
      </c>
      <c r="W10" t="s">
        <v>3124</v>
      </c>
      <c r="X10" t="s">
        <v>3127</v>
      </c>
      <c r="Y10" t="s">
        <v>3128</v>
      </c>
      <c r="Z10" t="s">
        <v>3129</v>
      </c>
      <c r="AB10" t="s">
        <v>3130</v>
      </c>
      <c r="AC10" t="s">
        <v>3131</v>
      </c>
      <c r="AD10" t="s">
        <v>3132</v>
      </c>
      <c r="AE10" t="s">
        <v>3133</v>
      </c>
      <c r="AF10" t="s">
        <v>3131</v>
      </c>
      <c r="AG10" t="s">
        <v>3134</v>
      </c>
      <c r="AH10" t="s">
        <v>3135</v>
      </c>
      <c r="AI10" t="s">
        <v>3136</v>
      </c>
      <c r="AK10" t="s">
        <v>3137</v>
      </c>
      <c r="AL10" t="s">
        <v>3138</v>
      </c>
      <c r="AM10" t="s">
        <v>3139</v>
      </c>
      <c r="AN10" t="s">
        <v>3140</v>
      </c>
      <c r="AO10" t="s">
        <v>3138</v>
      </c>
      <c r="AP10" t="s">
        <v>3141</v>
      </c>
      <c r="AQ10" t="s">
        <v>3142</v>
      </c>
      <c r="AR10" t="s">
        <v>3143</v>
      </c>
    </row>
    <row r="11" spans="8:44">
      <c r="H11" t="s">
        <v>1886</v>
      </c>
      <c r="J11" t="s">
        <v>3144</v>
      </c>
      <c r="K11" t="s">
        <v>3145</v>
      </c>
      <c r="L11" t="s">
        <v>3146</v>
      </c>
      <c r="M11" t="s">
        <v>3147</v>
      </c>
      <c r="N11" t="s">
        <v>3145</v>
      </c>
      <c r="O11" t="s">
        <v>3148</v>
      </c>
      <c r="P11" t="s">
        <v>3149</v>
      </c>
      <c r="Q11" t="s">
        <v>3150</v>
      </c>
      <c r="S11" t="s">
        <v>3151</v>
      </c>
      <c r="T11" t="s">
        <v>3152</v>
      </c>
      <c r="U11" t="s">
        <v>3153</v>
      </c>
      <c r="V11" t="s">
        <v>3154</v>
      </c>
      <c r="W11" t="s">
        <v>3152</v>
      </c>
      <c r="X11" t="s">
        <v>3155</v>
      </c>
      <c r="Y11" t="s">
        <v>3156</v>
      </c>
      <c r="Z11" t="s">
        <v>3157</v>
      </c>
      <c r="AB11" t="s">
        <v>3158</v>
      </c>
      <c r="AC11" t="s">
        <v>3159</v>
      </c>
      <c r="AD11" t="s">
        <v>3160</v>
      </c>
      <c r="AE11" t="s">
        <v>3161</v>
      </c>
      <c r="AF11" t="s">
        <v>3159</v>
      </c>
      <c r="AG11" t="s">
        <v>3162</v>
      </c>
      <c r="AH11" t="s">
        <v>3163</v>
      </c>
      <c r="AI11" t="s">
        <v>3164</v>
      </c>
      <c r="AK11" t="s">
        <v>3165</v>
      </c>
      <c r="AL11" t="s">
        <v>3166</v>
      </c>
      <c r="AM11" t="s">
        <v>3167</v>
      </c>
      <c r="AN11" t="s">
        <v>3168</v>
      </c>
      <c r="AO11" t="s">
        <v>3166</v>
      </c>
      <c r="AP11" t="s">
        <v>3169</v>
      </c>
      <c r="AQ11" t="s">
        <v>3170</v>
      </c>
      <c r="AR11" t="s">
        <v>3171</v>
      </c>
    </row>
    <row r="12" spans="8:44">
      <c r="H12" t="s">
        <v>1888</v>
      </c>
      <c r="J12" t="s">
        <v>3172</v>
      </c>
      <c r="K12" t="s">
        <v>3173</v>
      </c>
      <c r="L12" t="s">
        <v>3174</v>
      </c>
      <c r="M12" t="s">
        <v>3175</v>
      </c>
      <c r="N12" t="s">
        <v>3173</v>
      </c>
      <c r="O12" t="s">
        <v>3176</v>
      </c>
      <c r="P12" t="s">
        <v>3177</v>
      </c>
      <c r="Q12" t="s">
        <v>3178</v>
      </c>
      <c r="S12" t="s">
        <v>3179</v>
      </c>
      <c r="T12" t="s">
        <v>3180</v>
      </c>
      <c r="U12" t="s">
        <v>3181</v>
      </c>
      <c r="V12" t="s">
        <v>3182</v>
      </c>
      <c r="W12" t="s">
        <v>3180</v>
      </c>
      <c r="X12" t="s">
        <v>3183</v>
      </c>
      <c r="Y12" t="s">
        <v>3184</v>
      </c>
      <c r="Z12" t="s">
        <v>3185</v>
      </c>
      <c r="AB12" t="s">
        <v>3186</v>
      </c>
      <c r="AC12" t="s">
        <v>3187</v>
      </c>
      <c r="AD12" t="s">
        <v>3188</v>
      </c>
      <c r="AE12" t="s">
        <v>3189</v>
      </c>
      <c r="AF12" t="s">
        <v>3187</v>
      </c>
      <c r="AG12" t="s">
        <v>3190</v>
      </c>
      <c r="AH12" t="s">
        <v>3191</v>
      </c>
      <c r="AI12" t="s">
        <v>3192</v>
      </c>
      <c r="AK12" t="s">
        <v>3193</v>
      </c>
      <c r="AL12" t="s">
        <v>3194</v>
      </c>
      <c r="AM12" t="s">
        <v>3195</v>
      </c>
      <c r="AN12" t="s">
        <v>3196</v>
      </c>
      <c r="AO12" t="s">
        <v>3194</v>
      </c>
      <c r="AP12" t="s">
        <v>3197</v>
      </c>
      <c r="AQ12" t="s">
        <v>3198</v>
      </c>
      <c r="AR12" t="s">
        <v>3199</v>
      </c>
    </row>
    <row r="13" spans="8:44">
      <c r="H13" t="s">
        <v>960</v>
      </c>
      <c r="J13" t="s">
        <v>3200</v>
      </c>
      <c r="K13" t="s">
        <v>3201</v>
      </c>
      <c r="L13" t="s">
        <v>3202</v>
      </c>
      <c r="M13" t="s">
        <v>3203</v>
      </c>
      <c r="N13" t="s">
        <v>3201</v>
      </c>
      <c r="O13" t="s">
        <v>3204</v>
      </c>
      <c r="P13" t="s">
        <v>3205</v>
      </c>
      <c r="Q13" t="s">
        <v>3206</v>
      </c>
      <c r="S13" t="s">
        <v>3207</v>
      </c>
      <c r="T13" t="s">
        <v>3208</v>
      </c>
      <c r="U13" t="s">
        <v>3209</v>
      </c>
      <c r="V13" t="s">
        <v>3210</v>
      </c>
      <c r="W13" t="s">
        <v>3208</v>
      </c>
      <c r="X13" t="s">
        <v>3211</v>
      </c>
      <c r="Y13" t="s">
        <v>3212</v>
      </c>
      <c r="Z13" t="s">
        <v>3213</v>
      </c>
      <c r="AB13" t="s">
        <v>3214</v>
      </c>
      <c r="AC13" t="s">
        <v>3215</v>
      </c>
      <c r="AD13" t="s">
        <v>3216</v>
      </c>
      <c r="AE13" t="s">
        <v>3217</v>
      </c>
      <c r="AF13" t="s">
        <v>3215</v>
      </c>
      <c r="AG13" t="s">
        <v>3218</v>
      </c>
      <c r="AH13" t="s">
        <v>3219</v>
      </c>
      <c r="AI13" t="s">
        <v>3220</v>
      </c>
      <c r="AK13" t="s">
        <v>3221</v>
      </c>
      <c r="AL13" t="s">
        <v>3222</v>
      </c>
      <c r="AM13" t="s">
        <v>3223</v>
      </c>
      <c r="AN13" t="s">
        <v>3224</v>
      </c>
      <c r="AO13" t="s">
        <v>3222</v>
      </c>
      <c r="AP13" t="s">
        <v>3225</v>
      </c>
      <c r="AQ13" t="s">
        <v>3226</v>
      </c>
      <c r="AR13" t="s">
        <v>3227</v>
      </c>
    </row>
    <row r="14" spans="8:44">
      <c r="H14" t="s">
        <v>1167</v>
      </c>
      <c r="J14" t="s">
        <v>3228</v>
      </c>
      <c r="K14" t="s">
        <v>3229</v>
      </c>
      <c r="L14" t="s">
        <v>3230</v>
      </c>
      <c r="M14" t="s">
        <v>3231</v>
      </c>
      <c r="N14" t="s">
        <v>3229</v>
      </c>
      <c r="O14" t="s">
        <v>3232</v>
      </c>
      <c r="P14" t="s">
        <v>3233</v>
      </c>
      <c r="Q14" t="s">
        <v>3234</v>
      </c>
      <c r="S14" t="s">
        <v>3235</v>
      </c>
      <c r="T14" t="s">
        <v>3236</v>
      </c>
      <c r="U14" t="s">
        <v>3237</v>
      </c>
      <c r="V14" t="s">
        <v>3238</v>
      </c>
      <c r="W14" t="s">
        <v>3236</v>
      </c>
      <c r="X14" t="s">
        <v>3239</v>
      </c>
      <c r="Y14" t="s">
        <v>3240</v>
      </c>
      <c r="Z14" t="s">
        <v>3241</v>
      </c>
      <c r="AB14" t="s">
        <v>3242</v>
      </c>
      <c r="AC14" t="s">
        <v>3243</v>
      </c>
      <c r="AD14" t="s">
        <v>3244</v>
      </c>
      <c r="AE14" t="s">
        <v>3245</v>
      </c>
      <c r="AF14" t="s">
        <v>3243</v>
      </c>
      <c r="AG14" t="s">
        <v>3246</v>
      </c>
      <c r="AH14" t="s">
        <v>3247</v>
      </c>
      <c r="AI14" t="s">
        <v>3248</v>
      </c>
      <c r="AK14" t="s">
        <v>3249</v>
      </c>
      <c r="AL14" t="s">
        <v>3250</v>
      </c>
      <c r="AM14" t="s">
        <v>3251</v>
      </c>
      <c r="AN14" t="s">
        <v>3252</v>
      </c>
      <c r="AO14" t="s">
        <v>3250</v>
      </c>
      <c r="AP14" t="s">
        <v>3253</v>
      </c>
      <c r="AQ14" t="s">
        <v>3254</v>
      </c>
      <c r="AR14" t="s">
        <v>3255</v>
      </c>
    </row>
    <row r="15" spans="8:44">
      <c r="H15" t="s">
        <v>1373</v>
      </c>
      <c r="J15" t="s">
        <v>3256</v>
      </c>
      <c r="K15" t="s">
        <v>3257</v>
      </c>
      <c r="L15" t="s">
        <v>3258</v>
      </c>
      <c r="M15" t="s">
        <v>3259</v>
      </c>
      <c r="N15" t="s">
        <v>3257</v>
      </c>
      <c r="O15" t="s">
        <v>3260</v>
      </c>
      <c r="P15" t="s">
        <v>3261</v>
      </c>
      <c r="Q15" t="s">
        <v>3262</v>
      </c>
      <c r="S15" t="s">
        <v>3263</v>
      </c>
      <c r="T15" t="s">
        <v>3264</v>
      </c>
      <c r="U15" t="s">
        <v>3265</v>
      </c>
      <c r="V15" t="s">
        <v>3266</v>
      </c>
      <c r="W15" t="s">
        <v>3264</v>
      </c>
      <c r="X15" t="s">
        <v>3267</v>
      </c>
      <c r="Y15" t="s">
        <v>3268</v>
      </c>
      <c r="Z15" t="s">
        <v>3269</v>
      </c>
      <c r="AB15" t="s">
        <v>3270</v>
      </c>
      <c r="AC15" t="s">
        <v>3271</v>
      </c>
      <c r="AD15" t="s">
        <v>3272</v>
      </c>
      <c r="AE15" t="s">
        <v>3273</v>
      </c>
      <c r="AF15" t="s">
        <v>3271</v>
      </c>
      <c r="AG15" t="s">
        <v>3274</v>
      </c>
      <c r="AH15" t="s">
        <v>3275</v>
      </c>
      <c r="AI15" t="s">
        <v>3276</v>
      </c>
      <c r="AK15" t="s">
        <v>3277</v>
      </c>
      <c r="AL15" t="s">
        <v>3278</v>
      </c>
      <c r="AM15" t="s">
        <v>3279</v>
      </c>
      <c r="AN15" t="s">
        <v>3280</v>
      </c>
      <c r="AO15" t="s">
        <v>3278</v>
      </c>
      <c r="AP15" t="s">
        <v>3281</v>
      </c>
      <c r="AQ15" t="s">
        <v>3282</v>
      </c>
      <c r="AR15" t="s">
        <v>3283</v>
      </c>
    </row>
    <row r="16" spans="8:44">
      <c r="H16" t="s">
        <v>1580</v>
      </c>
      <c r="J16" t="s">
        <v>3284</v>
      </c>
      <c r="K16" t="s">
        <v>3285</v>
      </c>
      <c r="L16" t="s">
        <v>3286</v>
      </c>
      <c r="M16" t="s">
        <v>3287</v>
      </c>
      <c r="N16" t="s">
        <v>3285</v>
      </c>
      <c r="O16" t="s">
        <v>3288</v>
      </c>
      <c r="P16" t="s">
        <v>3289</v>
      </c>
      <c r="Q16" t="s">
        <v>3290</v>
      </c>
      <c r="S16" t="s">
        <v>3291</v>
      </c>
      <c r="T16" t="s">
        <v>3292</v>
      </c>
      <c r="U16" t="s">
        <v>3293</v>
      </c>
      <c r="V16" t="s">
        <v>3294</v>
      </c>
      <c r="W16" t="s">
        <v>3292</v>
      </c>
      <c r="X16" t="s">
        <v>3295</v>
      </c>
      <c r="Y16" t="s">
        <v>3296</v>
      </c>
      <c r="Z16" t="s">
        <v>3297</v>
      </c>
      <c r="AB16" t="s">
        <v>3298</v>
      </c>
      <c r="AC16" t="s">
        <v>3299</v>
      </c>
      <c r="AD16" t="s">
        <v>3300</v>
      </c>
      <c r="AE16" t="s">
        <v>3301</v>
      </c>
      <c r="AF16" t="s">
        <v>3299</v>
      </c>
      <c r="AG16" t="s">
        <v>3302</v>
      </c>
      <c r="AH16" t="s">
        <v>3303</v>
      </c>
      <c r="AI16" t="s">
        <v>3304</v>
      </c>
      <c r="AK16" t="s">
        <v>3305</v>
      </c>
      <c r="AL16" t="s">
        <v>3306</v>
      </c>
      <c r="AM16" t="s">
        <v>3307</v>
      </c>
      <c r="AN16" t="s">
        <v>3308</v>
      </c>
      <c r="AO16" t="s">
        <v>3306</v>
      </c>
      <c r="AP16" t="s">
        <v>3309</v>
      </c>
      <c r="AQ16" t="s">
        <v>3310</v>
      </c>
      <c r="AR16" t="s">
        <v>3311</v>
      </c>
    </row>
    <row r="17" spans="8:47">
      <c r="H17" t="s">
        <v>2775</v>
      </c>
      <c r="I17" s="115">
        <v>45657</v>
      </c>
      <c r="J17" s="250">
        <v>0.23386214820898826</v>
      </c>
      <c r="K17" s="250">
        <v>0.12627063096372731</v>
      </c>
      <c r="L17" s="250">
        <v>1.9275044746473187E-2</v>
      </c>
      <c r="M17" s="250">
        <v>4.8713639478096725E-2</v>
      </c>
      <c r="N17" s="250">
        <v>0.12627063096372731</v>
      </c>
      <c r="O17" s="250">
        <v>1.3686301645675169E-2</v>
      </c>
      <c r="P17" s="250">
        <v>0.16874975526457375</v>
      </c>
      <c r="Q17" s="250">
        <v>4.1065365273813124E-2</v>
      </c>
      <c r="R17" s="250"/>
      <c r="S17" s="250">
        <v>0.15886528983252396</v>
      </c>
      <c r="T17" s="250">
        <v>0.21365211768074921</v>
      </c>
      <c r="U17" s="250">
        <v>0.32782128087375312</v>
      </c>
      <c r="V17" s="250">
        <v>0.1374117176230131</v>
      </c>
      <c r="W17" s="250">
        <v>0.21365211768074921</v>
      </c>
      <c r="X17" s="250">
        <v>6.6130407348664912E-3</v>
      </c>
      <c r="Y17" s="250">
        <v>9.8651358977043038E-2</v>
      </c>
      <c r="Z17" s="250">
        <v>8.344186621310494E-2</v>
      </c>
      <c r="AB17" s="250">
        <v>2.849665987336358E-2</v>
      </c>
      <c r="AC17" s="250">
        <v>4.7999654685840172E-2</v>
      </c>
      <c r="AD17" s="250">
        <v>1.7541589745302948E-2</v>
      </c>
      <c r="AE17" s="250">
        <v>2.5164838627111288E-2</v>
      </c>
      <c r="AF17" s="250">
        <v>4.7999654685840172E-2</v>
      </c>
      <c r="AG17" s="250">
        <v>3.2329738674660361E-4</v>
      </c>
      <c r="AH17" s="250">
        <v>1.2430524441889993E-2</v>
      </c>
      <c r="AI17" s="250">
        <v>4.7890605857775267E-3</v>
      </c>
      <c r="AJ17" s="250"/>
      <c r="AK17" s="250">
        <v>2.4080221118840403E-3</v>
      </c>
      <c r="AL17" s="250">
        <v>5.3070418261352724E-3</v>
      </c>
      <c r="AM17" s="250">
        <v>6.6494556899267462E-2</v>
      </c>
      <c r="AN17" s="250">
        <v>9.1248428372580903E-2</v>
      </c>
      <c r="AO17" s="250">
        <v>5.3070418261352724E-3</v>
      </c>
      <c r="AP17" s="250">
        <v>1.1756398242500488E-2</v>
      </c>
      <c r="AQ17" s="250">
        <v>5.3069376248885058E-3</v>
      </c>
      <c r="AR17" s="250">
        <v>1.0375173695247701E-3</v>
      </c>
      <c r="AS17" s="250"/>
      <c r="AT17" s="250"/>
      <c r="AU17" s="250"/>
    </row>
    <row r="24" spans="8:47">
      <c r="J24" t="s">
        <v>3312</v>
      </c>
      <c r="Q24" t="s">
        <v>3313</v>
      </c>
      <c r="X24" t="s">
        <v>3314</v>
      </c>
    </row>
    <row r="25" spans="8:47">
      <c r="J25" t="s">
        <v>3315</v>
      </c>
      <c r="K25" s="5" t="s">
        <v>32</v>
      </c>
      <c r="L25" s="5" t="s">
        <v>34</v>
      </c>
      <c r="M25" s="5" t="s">
        <v>35</v>
      </c>
      <c r="N25" s="5" t="s">
        <v>37</v>
      </c>
      <c r="O25" s="5" t="s">
        <v>38</v>
      </c>
      <c r="P25" s="236" t="s">
        <v>39</v>
      </c>
      <c r="Q25" t="s">
        <v>3315</v>
      </c>
      <c r="R25" s="5" t="s">
        <v>32</v>
      </c>
      <c r="S25" s="5" t="s">
        <v>34</v>
      </c>
      <c r="T25" s="5" t="s">
        <v>35</v>
      </c>
      <c r="U25" s="5" t="s">
        <v>37</v>
      </c>
      <c r="V25" s="5" t="s">
        <v>38</v>
      </c>
      <c r="W25" s="236" t="s">
        <v>39</v>
      </c>
      <c r="X25" s="5" t="s">
        <v>32</v>
      </c>
      <c r="Y25" s="5" t="s">
        <v>33</v>
      </c>
      <c r="Z25" s="5" t="s">
        <v>34</v>
      </c>
      <c r="AA25" s="5" t="s">
        <v>35</v>
      </c>
      <c r="AB25" s="5" t="s">
        <v>36</v>
      </c>
      <c r="AC25" s="5" t="s">
        <v>37</v>
      </c>
      <c r="AD25" s="5" t="s">
        <v>38</v>
      </c>
      <c r="AE25" s="236" t="s">
        <v>39</v>
      </c>
    </row>
    <row r="26" spans="8:47" ht="12.95">
      <c r="J26" s="97" t="s">
        <v>3316</v>
      </c>
      <c r="K26" s="97">
        <v>924</v>
      </c>
      <c r="L26">
        <v>156</v>
      </c>
      <c r="M26">
        <v>273</v>
      </c>
      <c r="N26">
        <v>158</v>
      </c>
      <c r="O26">
        <v>997</v>
      </c>
      <c r="P26">
        <v>112</v>
      </c>
      <c r="Q26" s="97" t="s">
        <v>3316</v>
      </c>
      <c r="R26" s="97">
        <v>924</v>
      </c>
      <c r="S26">
        <v>156</v>
      </c>
      <c r="T26">
        <v>273</v>
      </c>
      <c r="U26">
        <v>158</v>
      </c>
      <c r="V26">
        <v>997</v>
      </c>
      <c r="W26">
        <v>112</v>
      </c>
      <c r="X26" s="119">
        <f>K40/R40</f>
        <v>2.014884488979856E-2</v>
      </c>
      <c r="Y26" s="119">
        <f>(J40-SUM(K40:P40))/(Q40-SUM(R40:W40))</f>
        <v>0.14011993833750103</v>
      </c>
      <c r="Z26" s="119">
        <f>L40/S40</f>
        <v>0.49418014270799154</v>
      </c>
      <c r="AA26" s="119">
        <f>M40/T40</f>
        <v>4.7567869937337765E-3</v>
      </c>
      <c r="AB26" s="119">
        <f>Y26</f>
        <v>0.14011993833750103</v>
      </c>
      <c r="AC26" s="119">
        <f>N40/U40</f>
        <v>0.24564101874161096</v>
      </c>
      <c r="AD26" s="119">
        <f>O40/V40</f>
        <v>0.43056324064436807</v>
      </c>
      <c r="AE26" s="119">
        <f>P40/W40</f>
        <v>1.4011020254978449E-2</v>
      </c>
    </row>
    <row r="27" spans="8:47" ht="14.45">
      <c r="H27" s="97" t="s">
        <v>3317</v>
      </c>
      <c r="I27" s="97" t="s">
        <v>551</v>
      </c>
      <c r="J27" s="49" t="str">
        <f t="shared" ref="J27:P27" si="0">"(I"&amp;J26&amp;"4403@USTRADE + I"&amp;J26&amp;"4407@USTRADE)"</f>
        <v>(I0014403@USTRADE + I0014407@USTRADE)</v>
      </c>
      <c r="K27" s="49" t="str">
        <f t="shared" si="0"/>
        <v>(I9244403@USTRADE + I9244407@USTRADE)</v>
      </c>
      <c r="L27" s="49" t="str">
        <f t="shared" si="0"/>
        <v>(I1564403@USTRADE + I1564407@USTRADE)</v>
      </c>
      <c r="M27" s="49" t="str">
        <f t="shared" si="0"/>
        <v>(I2734403@USTRADE + I2734407@USTRADE)</v>
      </c>
      <c r="N27" s="49" t="str">
        <f t="shared" si="0"/>
        <v>(I1584403@USTRADE + I1584407@USTRADE)</v>
      </c>
      <c r="O27" s="49" t="str">
        <f t="shared" si="0"/>
        <v>(I9974403@USTRADE + I9974407@USTRADE)</v>
      </c>
      <c r="P27" s="49" t="str">
        <f t="shared" si="0"/>
        <v>(I1124403@USTRADE + I1124407@USTRADE)</v>
      </c>
      <c r="Q27" s="49" t="str">
        <f t="shared" ref="Q27:W27" si="1">"(I"&amp;Q26&amp;"44@USTRADE - I"&amp;Q26&amp;"4401@USTRADE - I"&amp;Q26&amp;"4402@USTRADE)"</f>
        <v>(I00144@USTRADE - I0014401@USTRADE - I0014402@USTRADE)</v>
      </c>
      <c r="R27" s="49" t="str">
        <f t="shared" si="1"/>
        <v>(I92444@USTRADE - I9244401@USTRADE - I9244402@USTRADE)</v>
      </c>
      <c r="S27" s="49" t="str">
        <f t="shared" si="1"/>
        <v>(I15644@USTRADE - I1564401@USTRADE - I1564402@USTRADE)</v>
      </c>
      <c r="T27" s="49" t="str">
        <f t="shared" si="1"/>
        <v>(I27344@USTRADE - I2734401@USTRADE - I2734402@USTRADE)</v>
      </c>
      <c r="U27" s="49" t="str">
        <f t="shared" si="1"/>
        <v>(I15844@USTRADE - I1584401@USTRADE - I1584402@USTRADE)</v>
      </c>
      <c r="V27" s="49" t="str">
        <f t="shared" si="1"/>
        <v>(I99744@USTRADE - I9974401@USTRADE - I9974402@USTRADE)</v>
      </c>
      <c r="W27" s="49" t="str">
        <f t="shared" si="1"/>
        <v>(I11244@USTRADE - I1124401@USTRADE - I1124402@USTRADE)</v>
      </c>
    </row>
    <row r="28" spans="8:47">
      <c r="H28" t="s">
        <v>745</v>
      </c>
      <c r="J28" t="s">
        <v>3318</v>
      </c>
      <c r="K28" t="s">
        <v>3319</v>
      </c>
      <c r="L28" t="s">
        <v>3320</v>
      </c>
      <c r="M28" t="s">
        <v>3321</v>
      </c>
      <c r="N28" t="s">
        <v>3322</v>
      </c>
      <c r="O28" t="s">
        <v>3323</v>
      </c>
      <c r="P28" t="s">
        <v>3324</v>
      </c>
      <c r="Q28" t="s">
        <v>3325</v>
      </c>
      <c r="R28" t="s">
        <v>3326</v>
      </c>
      <c r="S28" t="s">
        <v>3327</v>
      </c>
      <c r="T28" t="s">
        <v>3328</v>
      </c>
      <c r="U28" t="s">
        <v>3329</v>
      </c>
      <c r="V28" t="s">
        <v>3330</v>
      </c>
      <c r="W28" t="s">
        <v>3331</v>
      </c>
    </row>
    <row r="29" spans="8:47">
      <c r="H29" t="s">
        <v>1876</v>
      </c>
      <c r="J29" t="s">
        <v>3332</v>
      </c>
      <c r="K29" t="s">
        <v>3333</v>
      </c>
      <c r="L29" t="s">
        <v>3334</v>
      </c>
      <c r="M29" t="s">
        <v>3335</v>
      </c>
      <c r="N29" t="s">
        <v>3336</v>
      </c>
      <c r="O29" t="s">
        <v>3337</v>
      </c>
      <c r="P29" t="s">
        <v>3338</v>
      </c>
      <c r="Q29" t="s">
        <v>3339</v>
      </c>
      <c r="R29" t="s">
        <v>3340</v>
      </c>
      <c r="S29" t="s">
        <v>3341</v>
      </c>
      <c r="T29" t="s">
        <v>3342</v>
      </c>
      <c r="U29" t="s">
        <v>3343</v>
      </c>
      <c r="V29" t="s">
        <v>3344</v>
      </c>
      <c r="W29" t="s">
        <v>3345</v>
      </c>
    </row>
    <row r="30" spans="8:47">
      <c r="H30" t="s">
        <v>1878</v>
      </c>
      <c r="J30" t="s">
        <v>3346</v>
      </c>
      <c r="K30" t="s">
        <v>3347</v>
      </c>
      <c r="L30" t="s">
        <v>3348</v>
      </c>
      <c r="M30" t="s">
        <v>3349</v>
      </c>
      <c r="N30" t="s">
        <v>3350</v>
      </c>
      <c r="O30" t="s">
        <v>3351</v>
      </c>
      <c r="P30" t="s">
        <v>3352</v>
      </c>
      <c r="Q30" t="s">
        <v>3353</v>
      </c>
      <c r="R30" t="s">
        <v>3354</v>
      </c>
      <c r="S30" t="s">
        <v>3355</v>
      </c>
      <c r="T30" t="s">
        <v>3356</v>
      </c>
      <c r="U30" t="s">
        <v>3357</v>
      </c>
      <c r="V30" t="s">
        <v>3358</v>
      </c>
      <c r="W30" t="s">
        <v>3359</v>
      </c>
    </row>
    <row r="31" spans="8:47">
      <c r="H31" t="s">
        <v>1880</v>
      </c>
      <c r="J31" t="s">
        <v>3360</v>
      </c>
      <c r="K31" t="s">
        <v>3361</v>
      </c>
      <c r="L31" t="s">
        <v>3362</v>
      </c>
      <c r="M31" t="s">
        <v>3363</v>
      </c>
      <c r="N31" t="s">
        <v>3364</v>
      </c>
      <c r="O31" t="s">
        <v>3365</v>
      </c>
      <c r="P31" t="s">
        <v>3366</v>
      </c>
      <c r="Q31" t="s">
        <v>3367</v>
      </c>
      <c r="R31" t="s">
        <v>3368</v>
      </c>
      <c r="S31" t="s">
        <v>3369</v>
      </c>
      <c r="T31" t="s">
        <v>3370</v>
      </c>
      <c r="U31" t="s">
        <v>3371</v>
      </c>
      <c r="V31" t="s">
        <v>3372</v>
      </c>
      <c r="W31" t="s">
        <v>3373</v>
      </c>
    </row>
    <row r="32" spans="8:47">
      <c r="H32" t="s">
        <v>1882</v>
      </c>
      <c r="J32" t="s">
        <v>3374</v>
      </c>
      <c r="K32" t="s">
        <v>3375</v>
      </c>
      <c r="L32" t="s">
        <v>3376</v>
      </c>
      <c r="M32" t="s">
        <v>3377</v>
      </c>
      <c r="N32" t="s">
        <v>3378</v>
      </c>
      <c r="O32" t="s">
        <v>3379</v>
      </c>
      <c r="P32" t="s">
        <v>3380</v>
      </c>
      <c r="Q32" t="s">
        <v>3381</v>
      </c>
      <c r="R32" t="s">
        <v>3382</v>
      </c>
      <c r="S32" t="s">
        <v>3383</v>
      </c>
      <c r="T32" t="s">
        <v>3384</v>
      </c>
      <c r="U32" t="s">
        <v>3385</v>
      </c>
      <c r="V32" t="s">
        <v>3386</v>
      </c>
      <c r="W32" t="s">
        <v>3387</v>
      </c>
    </row>
    <row r="33" spans="8:23">
      <c r="H33" t="s">
        <v>1884</v>
      </c>
      <c r="J33" t="s">
        <v>3388</v>
      </c>
      <c r="K33" t="s">
        <v>3389</v>
      </c>
      <c r="L33" t="s">
        <v>3390</v>
      </c>
      <c r="M33" t="s">
        <v>3391</v>
      </c>
      <c r="N33" t="s">
        <v>3392</v>
      </c>
      <c r="O33" t="s">
        <v>3393</v>
      </c>
      <c r="P33" t="s">
        <v>3394</v>
      </c>
      <c r="Q33" t="s">
        <v>3395</v>
      </c>
      <c r="R33" t="s">
        <v>3396</v>
      </c>
      <c r="S33" t="s">
        <v>3397</v>
      </c>
      <c r="T33" t="s">
        <v>3398</v>
      </c>
      <c r="U33" t="s">
        <v>3399</v>
      </c>
      <c r="V33" t="s">
        <v>3400</v>
      </c>
      <c r="W33" t="s">
        <v>3401</v>
      </c>
    </row>
    <row r="34" spans="8:23">
      <c r="H34" t="s">
        <v>1886</v>
      </c>
      <c r="J34" t="s">
        <v>3402</v>
      </c>
      <c r="K34" t="s">
        <v>3403</v>
      </c>
      <c r="L34" t="s">
        <v>3404</v>
      </c>
      <c r="M34" t="s">
        <v>3405</v>
      </c>
      <c r="N34" t="s">
        <v>3406</v>
      </c>
      <c r="O34" t="s">
        <v>3407</v>
      </c>
      <c r="P34" t="s">
        <v>3408</v>
      </c>
      <c r="Q34" t="s">
        <v>3409</v>
      </c>
      <c r="R34" t="s">
        <v>3410</v>
      </c>
      <c r="S34" t="s">
        <v>3411</v>
      </c>
      <c r="T34" t="s">
        <v>3412</v>
      </c>
      <c r="U34" t="s">
        <v>3413</v>
      </c>
      <c r="V34" t="s">
        <v>3414</v>
      </c>
      <c r="W34" t="s">
        <v>3415</v>
      </c>
    </row>
    <row r="35" spans="8:23">
      <c r="H35" t="s">
        <v>1888</v>
      </c>
      <c r="J35" t="s">
        <v>3416</v>
      </c>
      <c r="K35" t="s">
        <v>3417</v>
      </c>
      <c r="L35" t="s">
        <v>3418</v>
      </c>
      <c r="M35" t="s">
        <v>3419</v>
      </c>
      <c r="N35" t="s">
        <v>3420</v>
      </c>
      <c r="O35" t="s">
        <v>3421</v>
      </c>
      <c r="P35" t="s">
        <v>3422</v>
      </c>
      <c r="Q35" t="s">
        <v>3423</v>
      </c>
      <c r="R35" t="s">
        <v>3424</v>
      </c>
      <c r="S35" t="s">
        <v>3425</v>
      </c>
      <c r="T35" t="s">
        <v>3426</v>
      </c>
      <c r="U35" t="s">
        <v>3427</v>
      </c>
      <c r="V35" t="s">
        <v>3428</v>
      </c>
      <c r="W35" t="s">
        <v>3429</v>
      </c>
    </row>
    <row r="36" spans="8:23">
      <c r="H36" t="s">
        <v>960</v>
      </c>
      <c r="J36" t="s">
        <v>3430</v>
      </c>
      <c r="K36" t="s">
        <v>3431</v>
      </c>
      <c r="L36" t="s">
        <v>3432</v>
      </c>
      <c r="M36" t="s">
        <v>3433</v>
      </c>
      <c r="N36" t="s">
        <v>3434</v>
      </c>
      <c r="O36" t="s">
        <v>3435</v>
      </c>
      <c r="P36" t="s">
        <v>3436</v>
      </c>
      <c r="Q36" t="s">
        <v>3437</v>
      </c>
      <c r="R36" t="s">
        <v>3438</v>
      </c>
      <c r="S36" t="s">
        <v>3439</v>
      </c>
      <c r="T36" t="s">
        <v>3440</v>
      </c>
      <c r="U36" t="s">
        <v>3441</v>
      </c>
      <c r="V36" t="s">
        <v>3442</v>
      </c>
      <c r="W36" t="s">
        <v>3443</v>
      </c>
    </row>
    <row r="37" spans="8:23">
      <c r="H37" t="s">
        <v>1167</v>
      </c>
      <c r="J37" t="s">
        <v>3444</v>
      </c>
      <c r="K37" t="s">
        <v>3445</v>
      </c>
      <c r="L37" t="s">
        <v>3446</v>
      </c>
      <c r="M37" t="s">
        <v>3447</v>
      </c>
      <c r="N37" t="s">
        <v>3448</v>
      </c>
      <c r="O37" t="s">
        <v>3449</v>
      </c>
      <c r="P37" t="s">
        <v>3450</v>
      </c>
      <c r="Q37" t="s">
        <v>3451</v>
      </c>
      <c r="R37" t="s">
        <v>3452</v>
      </c>
      <c r="S37" t="s">
        <v>3453</v>
      </c>
      <c r="T37" t="s">
        <v>3454</v>
      </c>
      <c r="U37" t="s">
        <v>3455</v>
      </c>
      <c r="V37" t="s">
        <v>3456</v>
      </c>
      <c r="W37" t="s">
        <v>3457</v>
      </c>
    </row>
    <row r="38" spans="8:23">
      <c r="H38" t="s">
        <v>1373</v>
      </c>
      <c r="J38" t="s">
        <v>3458</v>
      </c>
      <c r="K38" t="s">
        <v>3459</v>
      </c>
      <c r="L38" t="s">
        <v>3460</v>
      </c>
      <c r="M38" t="s">
        <v>3461</v>
      </c>
      <c r="N38" t="s">
        <v>3462</v>
      </c>
      <c r="O38" t="s">
        <v>3463</v>
      </c>
      <c r="P38" t="s">
        <v>3464</v>
      </c>
      <c r="Q38" t="s">
        <v>3465</v>
      </c>
      <c r="R38" t="s">
        <v>3466</v>
      </c>
      <c r="S38" t="s">
        <v>3467</v>
      </c>
      <c r="T38" t="s">
        <v>3468</v>
      </c>
      <c r="U38" t="s">
        <v>3469</v>
      </c>
      <c r="V38" t="s">
        <v>3470</v>
      </c>
      <c r="W38" t="s">
        <v>3471</v>
      </c>
    </row>
    <row r="39" spans="8:23">
      <c r="H39" t="s">
        <v>1580</v>
      </c>
      <c r="J39" t="s">
        <v>3472</v>
      </c>
      <c r="K39" t="s">
        <v>3473</v>
      </c>
      <c r="L39" t="s">
        <v>3474</v>
      </c>
      <c r="M39" t="s">
        <v>3475</v>
      </c>
      <c r="N39" t="s">
        <v>3476</v>
      </c>
      <c r="O39" t="s">
        <v>3477</v>
      </c>
      <c r="P39" t="s">
        <v>3478</v>
      </c>
      <c r="Q39" t="s">
        <v>3479</v>
      </c>
      <c r="R39" t="s">
        <v>3480</v>
      </c>
      <c r="S39" t="s">
        <v>3481</v>
      </c>
      <c r="T39" t="s">
        <v>3482</v>
      </c>
      <c r="U39" t="s">
        <v>3483</v>
      </c>
      <c r="V39" t="s">
        <v>3484</v>
      </c>
      <c r="W39" t="s">
        <v>3485</v>
      </c>
    </row>
    <row r="40" spans="8:23">
      <c r="H40" t="s">
        <v>2775</v>
      </c>
      <c r="I40" s="115">
        <v>45657</v>
      </c>
      <c r="J40" s="114">
        <v>7448718.5359999994</v>
      </c>
      <c r="K40" s="114">
        <v>39058.803999999996</v>
      </c>
      <c r="L40" s="114">
        <v>5370477.9809999997</v>
      </c>
      <c r="M40" s="114">
        <v>3198.8560000000002</v>
      </c>
      <c r="N40" s="114">
        <v>8909.9210000000003</v>
      </c>
      <c r="O40" s="114">
        <v>1126017.4010000001</v>
      </c>
      <c r="P40" s="114">
        <v>295.67399999999998</v>
      </c>
      <c r="Q40" s="114">
        <v>22579532.384</v>
      </c>
      <c r="R40" s="114">
        <v>1938513.31</v>
      </c>
      <c r="S40" s="114">
        <v>10867449.978</v>
      </c>
      <c r="T40" s="114">
        <v>672482.49800000002</v>
      </c>
      <c r="U40" s="114">
        <v>36272.122000000003</v>
      </c>
      <c r="V40" s="114">
        <v>2615219.5419999999</v>
      </c>
      <c r="W40" s="114">
        <v>21102.959999999999</v>
      </c>
    </row>
  </sheetData>
  <hyperlinks>
    <hyperlink ref="K27" r:id="rId1" display="I0014401@USTRADE" xr:uid="{316EB3AF-6278-4333-9A7F-EF5B1478CCB6}"/>
    <hyperlink ref="J27" r:id="rId2" display="I0014401@USTRADE" xr:uid="{6CF0C9D4-B877-496E-BB0C-3F9349DDC264}"/>
    <hyperlink ref="L27" r:id="rId3" display="I0014401@USTRADE" xr:uid="{7609B5EB-7424-4829-9FE7-01563ED6DF10}"/>
    <hyperlink ref="M27" r:id="rId4" display="I0014401@USTRADE" xr:uid="{3640D6AE-7B26-4FBB-A81A-9B34396227E2}"/>
    <hyperlink ref="N27" r:id="rId5" display="I0014401@USTRADE" xr:uid="{4B41FAF6-D6FC-474F-A033-DBFE89D9E72C}"/>
    <hyperlink ref="O27" r:id="rId6" display="I0014401@USTRADE" xr:uid="{099D5B12-A99C-4355-801B-D92117EE4063}"/>
    <hyperlink ref="P27" r:id="rId7" display="I0014401@USTRADE" xr:uid="{D680C1FB-8641-4628-8FE2-1997A1B75442}"/>
    <hyperlink ref="Q27" r:id="rId8" display="I0014401@USTRADE" xr:uid="{5F2B463B-1C62-4888-B95B-5A243D27B11F}"/>
    <hyperlink ref="R27" r:id="rId9" display="I0014401@USTRADE" xr:uid="{A85DF72E-F0CA-47E6-BA05-D024DEA36819}"/>
    <hyperlink ref="S27" r:id="rId10" display="I0014401@USTRADE" xr:uid="{759202C0-F956-454C-B71B-5E4496427593}"/>
    <hyperlink ref="T27" r:id="rId11" display="I0014401@USTRADE" xr:uid="{15CD4917-7529-44DE-92C8-248930A6341C}"/>
    <hyperlink ref="U27" r:id="rId12" display="I0014401@USTRADE" xr:uid="{B829B221-4AB4-4E44-BF78-56E2345334D6}"/>
    <hyperlink ref="V27" r:id="rId13" display="I0014401@USTRADE" xr:uid="{70315D13-C3AB-4A5B-BCC9-75358D53035B}"/>
    <hyperlink ref="W27" r:id="rId14" display="I0014401@USTRADE" xr:uid="{70E12D0A-C28D-43BD-AC8F-F616BA3E8617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DB70-B71B-4DA7-8F1A-C5AC9371F197}">
  <sheetPr codeName="Sheet33"/>
  <dimension ref="K1:AL20"/>
  <sheetViews>
    <sheetView topLeftCell="H1" workbookViewId="0">
      <selection activeCell="O20" sqref="O20"/>
    </sheetView>
  </sheetViews>
  <sheetFormatPr defaultRowHeight="12.6"/>
  <cols>
    <col min="14" max="14" width="12" bestFit="1" customWidth="1"/>
    <col min="32" max="32" width="10" bestFit="1" customWidth="1"/>
    <col min="36" max="36" width="10.5703125" bestFit="1" customWidth="1"/>
    <col min="38" max="38" width="10" bestFit="1" customWidth="1"/>
  </cols>
  <sheetData>
    <row r="1" spans="11:38">
      <c r="K1" s="97" t="s">
        <v>2775</v>
      </c>
      <c r="L1" s="97" t="s">
        <v>551</v>
      </c>
      <c r="M1" t="s">
        <v>3486</v>
      </c>
      <c r="O1" t="s">
        <v>3487</v>
      </c>
      <c r="P1" t="s">
        <v>3488</v>
      </c>
      <c r="R1" t="s">
        <v>3489</v>
      </c>
      <c r="S1" t="s">
        <v>3490</v>
      </c>
      <c r="T1" t="s">
        <v>3491</v>
      </c>
      <c r="V1" t="s">
        <v>3492</v>
      </c>
      <c r="X1" t="s">
        <v>3486</v>
      </c>
      <c r="Y1" t="s">
        <v>3487</v>
      </c>
      <c r="Z1" t="s">
        <v>3488</v>
      </c>
      <c r="AA1" t="s">
        <v>3489</v>
      </c>
      <c r="AB1" t="s">
        <v>3490</v>
      </c>
      <c r="AC1" t="s">
        <v>3491</v>
      </c>
      <c r="AD1" t="s">
        <v>3492</v>
      </c>
      <c r="AF1" t="s">
        <v>3493</v>
      </c>
      <c r="AG1" t="s">
        <v>3494</v>
      </c>
      <c r="AH1" t="s">
        <v>3495</v>
      </c>
      <c r="AI1" t="s">
        <v>3496</v>
      </c>
      <c r="AJ1" t="s">
        <v>3497</v>
      </c>
      <c r="AK1" t="s">
        <v>3498</v>
      </c>
      <c r="AL1" t="s">
        <v>3499</v>
      </c>
    </row>
    <row r="2" spans="11:38">
      <c r="K2" t="s">
        <v>745</v>
      </c>
      <c r="M2" t="s">
        <v>3500</v>
      </c>
      <c r="O2" t="s">
        <v>3501</v>
      </c>
      <c r="P2" t="s">
        <v>3502</v>
      </c>
      <c r="R2" t="s">
        <v>3503</v>
      </c>
      <c r="S2" t="s">
        <v>3504</v>
      </c>
      <c r="T2" t="s">
        <v>3505</v>
      </c>
      <c r="V2" t="s">
        <v>3506</v>
      </c>
      <c r="X2" t="s">
        <v>3500</v>
      </c>
      <c r="Y2" t="s">
        <v>3501</v>
      </c>
      <c r="Z2" t="s">
        <v>3502</v>
      </c>
      <c r="AA2" t="s">
        <v>3503</v>
      </c>
      <c r="AB2" t="s">
        <v>3504</v>
      </c>
      <c r="AC2" t="s">
        <v>3505</v>
      </c>
      <c r="AD2" t="s">
        <v>3506</v>
      </c>
      <c r="AF2" t="s">
        <v>3507</v>
      </c>
      <c r="AG2" t="s">
        <v>3508</v>
      </c>
      <c r="AH2" t="s">
        <v>3509</v>
      </c>
      <c r="AI2" t="s">
        <v>3510</v>
      </c>
      <c r="AJ2" t="s">
        <v>3511</v>
      </c>
      <c r="AK2" t="s">
        <v>3512</v>
      </c>
      <c r="AL2" t="s">
        <v>3513</v>
      </c>
    </row>
    <row r="3" spans="11:38">
      <c r="K3" t="s">
        <v>1876</v>
      </c>
      <c r="M3" t="s">
        <v>3514</v>
      </c>
      <c r="O3" t="s">
        <v>3515</v>
      </c>
      <c r="P3" t="s">
        <v>3516</v>
      </c>
      <c r="R3" t="s">
        <v>3517</v>
      </c>
      <c r="S3" t="s">
        <v>3518</v>
      </c>
      <c r="T3" t="s">
        <v>3519</v>
      </c>
      <c r="V3" t="s">
        <v>3520</v>
      </c>
      <c r="X3" t="s">
        <v>3514</v>
      </c>
      <c r="Y3" t="s">
        <v>3515</v>
      </c>
      <c r="Z3" t="s">
        <v>3516</v>
      </c>
      <c r="AA3" t="s">
        <v>3517</v>
      </c>
      <c r="AB3" t="s">
        <v>3518</v>
      </c>
      <c r="AC3" t="s">
        <v>3519</v>
      </c>
      <c r="AD3" t="s">
        <v>3520</v>
      </c>
      <c r="AF3" t="s">
        <v>3521</v>
      </c>
      <c r="AG3" t="s">
        <v>3521</v>
      </c>
      <c r="AH3" t="s">
        <v>3521</v>
      </c>
      <c r="AI3" t="s">
        <v>3521</v>
      </c>
      <c r="AJ3" t="s">
        <v>3522</v>
      </c>
      <c r="AK3" t="s">
        <v>3521</v>
      </c>
      <c r="AL3" t="s">
        <v>3522</v>
      </c>
    </row>
    <row r="4" spans="11:38">
      <c r="K4" t="s">
        <v>1878</v>
      </c>
      <c r="M4" t="s">
        <v>3523</v>
      </c>
      <c r="O4" t="s">
        <v>3524</v>
      </c>
      <c r="P4" t="s">
        <v>3525</v>
      </c>
      <c r="R4" t="s">
        <v>3526</v>
      </c>
      <c r="S4" t="s">
        <v>3527</v>
      </c>
      <c r="T4" t="s">
        <v>3528</v>
      </c>
      <c r="V4" t="s">
        <v>3529</v>
      </c>
      <c r="X4" t="s">
        <v>3523</v>
      </c>
      <c r="Y4" t="s">
        <v>3524</v>
      </c>
      <c r="Z4" t="s">
        <v>3525</v>
      </c>
      <c r="AA4" t="s">
        <v>3526</v>
      </c>
      <c r="AB4" t="s">
        <v>3527</v>
      </c>
      <c r="AC4" t="s">
        <v>3528</v>
      </c>
      <c r="AD4" t="s">
        <v>3529</v>
      </c>
      <c r="AF4" t="s">
        <v>3530</v>
      </c>
      <c r="AG4" t="s">
        <v>3530</v>
      </c>
      <c r="AH4" t="s">
        <v>3530</v>
      </c>
      <c r="AI4" t="s">
        <v>3530</v>
      </c>
      <c r="AJ4" t="s">
        <v>3530</v>
      </c>
      <c r="AK4" t="s">
        <v>3530</v>
      </c>
      <c r="AL4" t="s">
        <v>3530</v>
      </c>
    </row>
    <row r="5" spans="11:38">
      <c r="K5" t="s">
        <v>1880</v>
      </c>
      <c r="M5" t="s">
        <v>3531</v>
      </c>
      <c r="O5" t="s">
        <v>3532</v>
      </c>
      <c r="P5" t="s">
        <v>3533</v>
      </c>
      <c r="R5" t="s">
        <v>3534</v>
      </c>
      <c r="S5" t="s">
        <v>3535</v>
      </c>
      <c r="T5" t="s">
        <v>3536</v>
      </c>
      <c r="V5" t="s">
        <v>3537</v>
      </c>
      <c r="X5" t="s">
        <v>3531</v>
      </c>
      <c r="Y5" t="s">
        <v>3532</v>
      </c>
      <c r="Z5" t="s">
        <v>3533</v>
      </c>
      <c r="AA5" t="s">
        <v>3534</v>
      </c>
      <c r="AB5" t="s">
        <v>3535</v>
      </c>
      <c r="AC5" t="s">
        <v>3536</v>
      </c>
      <c r="AD5" t="s">
        <v>3537</v>
      </c>
      <c r="AF5" t="s">
        <v>3538</v>
      </c>
      <c r="AG5" t="s">
        <v>3538</v>
      </c>
      <c r="AH5" t="s">
        <v>3538</v>
      </c>
      <c r="AI5" t="s">
        <v>3538</v>
      </c>
      <c r="AJ5" t="s">
        <v>3538</v>
      </c>
      <c r="AK5" t="s">
        <v>3538</v>
      </c>
      <c r="AL5" t="s">
        <v>3538</v>
      </c>
    </row>
    <row r="6" spans="11:38">
      <c r="K6" t="s">
        <v>1882</v>
      </c>
      <c r="M6" t="s">
        <v>3539</v>
      </c>
      <c r="O6" t="s">
        <v>3540</v>
      </c>
      <c r="P6" t="s">
        <v>3541</v>
      </c>
      <c r="R6" t="s">
        <v>3542</v>
      </c>
      <c r="S6" t="s">
        <v>3543</v>
      </c>
      <c r="T6" t="s">
        <v>3544</v>
      </c>
      <c r="V6" t="s">
        <v>3545</v>
      </c>
      <c r="X6" t="s">
        <v>3539</v>
      </c>
      <c r="Y6" t="s">
        <v>3540</v>
      </c>
      <c r="Z6" t="s">
        <v>3541</v>
      </c>
      <c r="AA6" t="s">
        <v>3542</v>
      </c>
      <c r="AB6" t="s">
        <v>3543</v>
      </c>
      <c r="AC6" t="s">
        <v>3544</v>
      </c>
      <c r="AD6" t="s">
        <v>3545</v>
      </c>
      <c r="AF6" t="s">
        <v>3546</v>
      </c>
      <c r="AG6" t="s">
        <v>3546</v>
      </c>
      <c r="AH6" t="s">
        <v>3546</v>
      </c>
      <c r="AI6" t="s">
        <v>3546</v>
      </c>
      <c r="AJ6" t="s">
        <v>3546</v>
      </c>
      <c r="AK6" t="s">
        <v>3546</v>
      </c>
      <c r="AL6" t="s">
        <v>3546</v>
      </c>
    </row>
    <row r="7" spans="11:38">
      <c r="K7" t="s">
        <v>1884</v>
      </c>
      <c r="M7" t="s">
        <v>3547</v>
      </c>
      <c r="O7" t="s">
        <v>3548</v>
      </c>
      <c r="P7" t="s">
        <v>3549</v>
      </c>
      <c r="R7" t="s">
        <v>3550</v>
      </c>
      <c r="S7" t="s">
        <v>3551</v>
      </c>
      <c r="T7" t="s">
        <v>3552</v>
      </c>
      <c r="V7" t="s">
        <v>3553</v>
      </c>
      <c r="X7" t="s">
        <v>3547</v>
      </c>
      <c r="Y7" t="s">
        <v>3548</v>
      </c>
      <c r="Z7" t="s">
        <v>3549</v>
      </c>
      <c r="AA7" t="s">
        <v>3550</v>
      </c>
      <c r="AB7" t="s">
        <v>3551</v>
      </c>
      <c r="AC7" t="s">
        <v>3552</v>
      </c>
      <c r="AD7" t="s">
        <v>3553</v>
      </c>
      <c r="AF7" t="s">
        <v>3554</v>
      </c>
      <c r="AG7" t="s">
        <v>3554</v>
      </c>
      <c r="AH7" t="s">
        <v>3554</v>
      </c>
      <c r="AI7" t="s">
        <v>3554</v>
      </c>
      <c r="AJ7" t="s">
        <v>3554</v>
      </c>
      <c r="AK7" t="s">
        <v>3554</v>
      </c>
      <c r="AL7" t="s">
        <v>3554</v>
      </c>
    </row>
    <row r="8" spans="11:38">
      <c r="K8" t="s">
        <v>1886</v>
      </c>
      <c r="M8" t="s">
        <v>3555</v>
      </c>
      <c r="O8" t="s">
        <v>3556</v>
      </c>
      <c r="P8" t="s">
        <v>3557</v>
      </c>
      <c r="R8" t="s">
        <v>3558</v>
      </c>
      <c r="S8" t="s">
        <v>3559</v>
      </c>
      <c r="T8" t="s">
        <v>3560</v>
      </c>
      <c r="V8" t="s">
        <v>3561</v>
      </c>
      <c r="X8" t="s">
        <v>3555</v>
      </c>
      <c r="Y8" t="s">
        <v>3556</v>
      </c>
      <c r="Z8" t="s">
        <v>3557</v>
      </c>
      <c r="AA8" t="s">
        <v>3558</v>
      </c>
      <c r="AB8" t="s">
        <v>3559</v>
      </c>
      <c r="AC8" t="s">
        <v>3560</v>
      </c>
      <c r="AD8" t="s">
        <v>3561</v>
      </c>
      <c r="AF8" t="s">
        <v>3562</v>
      </c>
      <c r="AG8" t="s">
        <v>3562</v>
      </c>
      <c r="AH8" t="s">
        <v>3562</v>
      </c>
      <c r="AI8" t="s">
        <v>3562</v>
      </c>
      <c r="AJ8" t="s">
        <v>3562</v>
      </c>
      <c r="AK8" t="s">
        <v>3562</v>
      </c>
      <c r="AL8" t="s">
        <v>3562</v>
      </c>
    </row>
    <row r="9" spans="11:38">
      <c r="K9" t="s">
        <v>1888</v>
      </c>
      <c r="M9" t="s">
        <v>3563</v>
      </c>
      <c r="O9" t="s">
        <v>3564</v>
      </c>
      <c r="P9" t="s">
        <v>3565</v>
      </c>
      <c r="R9" t="s">
        <v>3566</v>
      </c>
      <c r="S9" t="s">
        <v>3567</v>
      </c>
      <c r="T9" t="s">
        <v>3568</v>
      </c>
      <c r="V9" t="s">
        <v>3569</v>
      </c>
      <c r="X9" t="s">
        <v>3563</v>
      </c>
      <c r="Y9" t="s">
        <v>3564</v>
      </c>
      <c r="Z9" t="s">
        <v>3565</v>
      </c>
      <c r="AA9" t="s">
        <v>3566</v>
      </c>
      <c r="AB9" t="s">
        <v>3567</v>
      </c>
      <c r="AC9" t="s">
        <v>3568</v>
      </c>
      <c r="AD9" t="s">
        <v>3569</v>
      </c>
      <c r="AF9" t="s">
        <v>3570</v>
      </c>
      <c r="AG9" t="s">
        <v>3570</v>
      </c>
      <c r="AH9" t="s">
        <v>3570</v>
      </c>
      <c r="AI9" t="s">
        <v>3570</v>
      </c>
      <c r="AJ9" t="s">
        <v>3570</v>
      </c>
      <c r="AK9" t="s">
        <v>3570</v>
      </c>
      <c r="AL9" t="s">
        <v>3570</v>
      </c>
    </row>
    <row r="10" spans="11:38">
      <c r="K10" t="s">
        <v>960</v>
      </c>
      <c r="M10" t="s">
        <v>3571</v>
      </c>
      <c r="O10" t="s">
        <v>3572</v>
      </c>
      <c r="P10" t="s">
        <v>3573</v>
      </c>
      <c r="R10" t="s">
        <v>3574</v>
      </c>
      <c r="S10" t="s">
        <v>3575</v>
      </c>
      <c r="T10" t="s">
        <v>3576</v>
      </c>
      <c r="V10" t="s">
        <v>3577</v>
      </c>
      <c r="X10" t="s">
        <v>3571</v>
      </c>
      <c r="Y10" t="s">
        <v>3572</v>
      </c>
      <c r="Z10" t="s">
        <v>3573</v>
      </c>
      <c r="AA10" t="s">
        <v>3574</v>
      </c>
      <c r="AB10" t="s">
        <v>3575</v>
      </c>
      <c r="AC10" t="s">
        <v>3576</v>
      </c>
      <c r="AD10" t="s">
        <v>3577</v>
      </c>
      <c r="AF10" t="s">
        <v>3578</v>
      </c>
      <c r="AG10" t="s">
        <v>3578</v>
      </c>
      <c r="AH10" t="s">
        <v>3578</v>
      </c>
      <c r="AI10" t="s">
        <v>3578</v>
      </c>
      <c r="AJ10" t="s">
        <v>3578</v>
      </c>
      <c r="AK10" t="s">
        <v>3578</v>
      </c>
      <c r="AL10" t="s">
        <v>3578</v>
      </c>
    </row>
    <row r="11" spans="11:38">
      <c r="K11" t="s">
        <v>1167</v>
      </c>
      <c r="M11" t="s">
        <v>3579</v>
      </c>
      <c r="O11" t="s">
        <v>3580</v>
      </c>
      <c r="P11" t="s">
        <v>3581</v>
      </c>
      <c r="R11" t="s">
        <v>3582</v>
      </c>
      <c r="S11" t="s">
        <v>3583</v>
      </c>
      <c r="T11" t="s">
        <v>3584</v>
      </c>
      <c r="V11" t="s">
        <v>3585</v>
      </c>
      <c r="X11" t="s">
        <v>3579</v>
      </c>
      <c r="Y11" t="s">
        <v>3580</v>
      </c>
      <c r="Z11" t="s">
        <v>3581</v>
      </c>
      <c r="AA11" t="s">
        <v>3582</v>
      </c>
      <c r="AB11" t="s">
        <v>3583</v>
      </c>
      <c r="AC11" t="s">
        <v>3584</v>
      </c>
      <c r="AD11" t="s">
        <v>3585</v>
      </c>
      <c r="AF11" t="s">
        <v>3586</v>
      </c>
      <c r="AG11" t="s">
        <v>3586</v>
      </c>
      <c r="AH11" t="s">
        <v>3586</v>
      </c>
      <c r="AI11" t="s">
        <v>3586</v>
      </c>
      <c r="AJ11" t="s">
        <v>3586</v>
      </c>
      <c r="AK11" t="s">
        <v>3586</v>
      </c>
      <c r="AL11" t="s">
        <v>3586</v>
      </c>
    </row>
    <row r="12" spans="11:38">
      <c r="K12" t="s">
        <v>1373</v>
      </c>
      <c r="M12" t="s">
        <v>3587</v>
      </c>
      <c r="O12" t="s">
        <v>3588</v>
      </c>
      <c r="P12" t="s">
        <v>3589</v>
      </c>
      <c r="R12" t="s">
        <v>3590</v>
      </c>
      <c r="S12" t="s">
        <v>3591</v>
      </c>
      <c r="T12" t="s">
        <v>3592</v>
      </c>
      <c r="V12" t="s">
        <v>3593</v>
      </c>
      <c r="X12" t="s">
        <v>3587</v>
      </c>
      <c r="Y12" t="s">
        <v>3588</v>
      </c>
      <c r="Z12" t="s">
        <v>3589</v>
      </c>
      <c r="AA12" t="s">
        <v>3590</v>
      </c>
      <c r="AB12" t="s">
        <v>3591</v>
      </c>
      <c r="AC12" t="s">
        <v>3592</v>
      </c>
      <c r="AD12" t="s">
        <v>3593</v>
      </c>
      <c r="AF12" t="s">
        <v>3594</v>
      </c>
      <c r="AG12" t="s">
        <v>3594</v>
      </c>
      <c r="AH12" t="s">
        <v>3594</v>
      </c>
      <c r="AI12" t="s">
        <v>3594</v>
      </c>
      <c r="AJ12" t="s">
        <v>3594</v>
      </c>
      <c r="AK12" t="s">
        <v>3594</v>
      </c>
      <c r="AL12" t="s">
        <v>3594</v>
      </c>
    </row>
    <row r="13" spans="11:38">
      <c r="K13" t="s">
        <v>1580</v>
      </c>
      <c r="M13" t="s">
        <v>3595</v>
      </c>
      <c r="O13" t="s">
        <v>3596</v>
      </c>
      <c r="P13" t="s">
        <v>3597</v>
      </c>
      <c r="R13" t="s">
        <v>3598</v>
      </c>
      <c r="S13" t="s">
        <v>3599</v>
      </c>
      <c r="T13" t="s">
        <v>3600</v>
      </c>
      <c r="V13" t="s">
        <v>3601</v>
      </c>
      <c r="X13" t="s">
        <v>3595</v>
      </c>
      <c r="Y13" t="s">
        <v>3596</v>
      </c>
      <c r="Z13" t="s">
        <v>3597</v>
      </c>
      <c r="AA13" t="s">
        <v>3598</v>
      </c>
      <c r="AB13" t="s">
        <v>3599</v>
      </c>
      <c r="AC13" t="s">
        <v>3600</v>
      </c>
      <c r="AD13" t="s">
        <v>3601</v>
      </c>
      <c r="AF13" t="s">
        <v>1782</v>
      </c>
      <c r="AG13" t="s">
        <v>1782</v>
      </c>
      <c r="AH13" t="s">
        <v>1782</v>
      </c>
      <c r="AI13" t="s">
        <v>1782</v>
      </c>
      <c r="AJ13" t="s">
        <v>1782</v>
      </c>
      <c r="AK13" t="s">
        <v>1782</v>
      </c>
      <c r="AL13" t="s">
        <v>1782</v>
      </c>
    </row>
    <row r="14" spans="11:38">
      <c r="K14" t="s">
        <v>2775</v>
      </c>
      <c r="L14" s="115">
        <v>45657</v>
      </c>
      <c r="M14" s="114">
        <v>0.8516176748653721</v>
      </c>
      <c r="N14">
        <f>($AD$14*$AL$14-SUMPRODUCT($X$14:$AC$14,$AF$14:$AK$14))/($AL$14-SUM($AF$14:$AK$14))</f>
        <v>0.82776081991270889</v>
      </c>
      <c r="O14" s="114">
        <v>0.32473683440505013</v>
      </c>
      <c r="P14" s="114">
        <v>0.75856364071287452</v>
      </c>
      <c r="Q14">
        <f>($AD$14*$AL$14-SUMPRODUCT($X$14:$AC$14,$AF$14:$AK$14))/($AL$14-SUM($AF$14:$AK$14))</f>
        <v>0.82776081991270889</v>
      </c>
      <c r="R14" s="114">
        <v>0.64818415488789538</v>
      </c>
      <c r="S14" s="114">
        <v>0.38175455357922877</v>
      </c>
      <c r="T14" s="114">
        <v>0.265886368969183</v>
      </c>
      <c r="V14" s="114">
        <v>0.77444583524239785</v>
      </c>
      <c r="X14" s="114">
        <v>0.8516176748653721</v>
      </c>
      <c r="Y14" s="114">
        <v>0.32473683440505013</v>
      </c>
      <c r="Z14" s="114">
        <v>0.75856364071287452</v>
      </c>
      <c r="AA14" s="114">
        <v>0.64818415488789538</v>
      </c>
      <c r="AB14" s="114">
        <v>0.38175455357922877</v>
      </c>
      <c r="AC14" s="114">
        <v>0.265886368969183</v>
      </c>
      <c r="AD14" s="114">
        <v>0.77444583524239785</v>
      </c>
      <c r="AF14" s="116">
        <v>122692216</v>
      </c>
      <c r="AG14" s="116">
        <v>7771487</v>
      </c>
      <c r="AH14" s="116">
        <v>97024306</v>
      </c>
      <c r="AI14" s="116">
        <v>12764277</v>
      </c>
      <c r="AJ14" s="112">
        <v>38202887.5</v>
      </c>
      <c r="AK14" s="116">
        <v>4248989</v>
      </c>
      <c r="AL14" s="116">
        <v>551707823</v>
      </c>
    </row>
    <row r="15" spans="11:38">
      <c r="L15" s="115"/>
      <c r="M15" s="114"/>
      <c r="O15" s="114"/>
      <c r="P15" s="114"/>
      <c r="R15" s="114"/>
      <c r="S15" s="114"/>
      <c r="T15" s="114"/>
      <c r="V15" s="114"/>
      <c r="X15" s="114"/>
      <c r="Y15" s="114"/>
      <c r="Z15" s="114"/>
      <c r="AA15" s="114"/>
      <c r="AB15" s="114"/>
      <c r="AC15" s="114"/>
      <c r="AD15" s="114"/>
      <c r="AF15" s="116"/>
      <c r="AG15" s="116"/>
      <c r="AH15" s="116"/>
      <c r="AI15" s="116"/>
      <c r="AJ15" s="112"/>
      <c r="AK15" s="116"/>
      <c r="AL15" s="116"/>
    </row>
    <row r="16" spans="11:38">
      <c r="M16" t="s">
        <v>1847</v>
      </c>
      <c r="N16" t="s">
        <v>1848</v>
      </c>
      <c r="O16" t="s">
        <v>1849</v>
      </c>
      <c r="P16" t="s">
        <v>1850</v>
      </c>
      <c r="Q16" t="s">
        <v>1851</v>
      </c>
      <c r="R16" t="s">
        <v>2103</v>
      </c>
      <c r="S16" t="s">
        <v>2104</v>
      </c>
      <c r="T16" t="s">
        <v>2105</v>
      </c>
    </row>
    <row r="17" spans="12:20">
      <c r="L17" s="1" t="s">
        <v>3602</v>
      </c>
      <c r="M17">
        <f>SUM('Weighted US Tariff'!$B$32)</f>
        <v>10</v>
      </c>
      <c r="N17">
        <f>('Weighted US Tariff'!$B$22*'Weighted US Tariff'!$C$22)+(1-'Weighted US Tariff'!$C$22)*'Weighted US Tariff'!$B$34</f>
        <v>26.308594475716163</v>
      </c>
      <c r="O17">
        <f>'Weighted US Tariff'!$B$26*(1-'Weighted US Tariff'!$B$16)</f>
        <v>32.387523308381937</v>
      </c>
      <c r="P17">
        <f>'Weighted US Tariff'!$B$28*(1-'Weighted US Tariff'!$B$17)</f>
        <v>21.137495479771534</v>
      </c>
      <c r="Q17">
        <f>('Weighted US Tariff'!$B$21*'Weighted US Tariff'!$C$21)+(1-'Weighted US Tariff'!$C$21)*'Weighted US Tariff'!$B$34</f>
        <v>12.904969169955175</v>
      </c>
      <c r="R17">
        <f>'Weighted US Tariff'!$B$20</f>
        <v>15</v>
      </c>
      <c r="S17">
        <f>'Weighted US Tariff'!$B$33</f>
        <v>15</v>
      </c>
      <c r="T17">
        <f>'Weighted US Tariff'!$B$34</f>
        <v>10</v>
      </c>
    </row>
    <row r="18" spans="12:20">
      <c r="L18" s="1" t="s">
        <v>3603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2:20">
      <c r="L19" s="1" t="s">
        <v>3604</v>
      </c>
      <c r="M19">
        <f>'Weighted US Tariff'!$B$31</f>
        <v>20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2:20">
      <c r="L20" s="1" t="s">
        <v>3605</v>
      </c>
      <c r="M20" s="112">
        <f>M14*M18+(1-M14)*M17+M19</f>
        <v>21.48382325134628</v>
      </c>
      <c r="N20" s="112">
        <f t="shared" ref="N20:T20" si="0">N14*N18+(1-N14)*N17+N19</f>
        <v>4.5313707417463878</v>
      </c>
      <c r="O20" s="112">
        <f t="shared" si="0"/>
        <v>21.870101514998211</v>
      </c>
      <c r="P20" s="112">
        <f t="shared" si="0"/>
        <v>5.1033599530841105</v>
      </c>
      <c r="Q20" s="112">
        <f t="shared" si="0"/>
        <v>2.2227413088848489</v>
      </c>
      <c r="R20" s="112">
        <f t="shared" si="0"/>
        <v>5.277237676681569</v>
      </c>
      <c r="S20" s="112">
        <f t="shared" si="0"/>
        <v>9.2736816963115682</v>
      </c>
      <c r="T20" s="112">
        <f t="shared" si="0"/>
        <v>7.341136310308169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65928-6005-4823-98DB-B247CA0417C4}">
  <sheetPr codeName="Sheet27"/>
  <dimension ref="A1:ED168"/>
  <sheetViews>
    <sheetView topLeftCell="A102" workbookViewId="0">
      <selection activeCell="L15" sqref="A14:L15"/>
    </sheetView>
  </sheetViews>
  <sheetFormatPr defaultColWidth="9.140625" defaultRowHeight="14.45"/>
  <cols>
    <col min="1" max="133" width="9.140625" style="120"/>
    <col min="134" max="134" width="14.28515625" style="120" bestFit="1" customWidth="1"/>
    <col min="135" max="16384" width="9.140625" style="120"/>
  </cols>
  <sheetData>
    <row r="1" spans="1:134">
      <c r="A1" s="428" t="s">
        <v>3606</v>
      </c>
      <c r="B1" s="428">
        <v>1</v>
      </c>
      <c r="C1" s="428">
        <v>2</v>
      </c>
      <c r="D1" s="428">
        <v>3</v>
      </c>
      <c r="E1" s="428">
        <v>4</v>
      </c>
      <c r="F1" s="428">
        <v>5</v>
      </c>
      <c r="G1" s="428">
        <v>6</v>
      </c>
      <c r="H1" s="428">
        <v>7</v>
      </c>
      <c r="I1" s="428">
        <v>8</v>
      </c>
      <c r="J1" s="428">
        <v>9</v>
      </c>
      <c r="K1" s="428">
        <v>10</v>
      </c>
      <c r="L1" s="428">
        <v>11</v>
      </c>
      <c r="M1" s="428">
        <v>12</v>
      </c>
      <c r="N1" s="428">
        <v>13</v>
      </c>
      <c r="O1" s="428">
        <v>14</v>
      </c>
      <c r="P1" s="428">
        <v>15</v>
      </c>
      <c r="Q1" s="428">
        <v>16</v>
      </c>
      <c r="R1" s="428">
        <v>17</v>
      </c>
      <c r="S1" s="428">
        <v>18</v>
      </c>
      <c r="T1" s="428">
        <v>19</v>
      </c>
      <c r="U1" s="428">
        <v>20</v>
      </c>
      <c r="V1" s="428">
        <v>21</v>
      </c>
      <c r="W1" s="428">
        <v>22</v>
      </c>
      <c r="X1" s="428">
        <v>23</v>
      </c>
      <c r="Y1" s="428">
        <v>24</v>
      </c>
      <c r="Z1" s="428">
        <v>25</v>
      </c>
      <c r="AA1" s="428">
        <v>26</v>
      </c>
      <c r="AB1" s="428">
        <v>27</v>
      </c>
      <c r="AC1" s="428">
        <v>28</v>
      </c>
      <c r="AD1" s="428">
        <v>29</v>
      </c>
      <c r="AE1" s="428">
        <v>30</v>
      </c>
      <c r="AF1" s="428">
        <v>31</v>
      </c>
      <c r="AG1" s="428">
        <v>32</v>
      </c>
      <c r="AH1" s="428">
        <v>33</v>
      </c>
      <c r="AI1" s="428">
        <v>34</v>
      </c>
      <c r="AJ1" s="428">
        <v>35</v>
      </c>
      <c r="AK1" s="428">
        <v>36</v>
      </c>
      <c r="AL1" s="428">
        <v>37</v>
      </c>
      <c r="AM1" s="428">
        <v>38</v>
      </c>
      <c r="AN1" s="428">
        <v>39</v>
      </c>
      <c r="AO1" s="428">
        <v>40</v>
      </c>
      <c r="AP1" s="428">
        <v>41</v>
      </c>
      <c r="AQ1" s="428">
        <v>42</v>
      </c>
      <c r="AR1" s="428">
        <v>43</v>
      </c>
      <c r="AS1" s="428">
        <v>44</v>
      </c>
      <c r="AT1" s="428">
        <v>45</v>
      </c>
      <c r="AU1" s="428">
        <v>46</v>
      </c>
      <c r="AV1" s="428">
        <v>47</v>
      </c>
      <c r="AW1" s="428">
        <v>48</v>
      </c>
      <c r="AX1" s="428">
        <v>49</v>
      </c>
      <c r="AY1" s="428">
        <v>50</v>
      </c>
      <c r="AZ1" s="428">
        <v>51</v>
      </c>
      <c r="BA1" s="428">
        <v>52</v>
      </c>
      <c r="BB1" s="428">
        <v>53</v>
      </c>
      <c r="BC1" s="428">
        <v>54</v>
      </c>
      <c r="BD1" s="428">
        <v>55</v>
      </c>
      <c r="BE1" s="428">
        <v>56</v>
      </c>
      <c r="BF1" s="428">
        <v>57</v>
      </c>
      <c r="BG1" s="428">
        <v>58</v>
      </c>
      <c r="BH1" s="428">
        <v>59</v>
      </c>
      <c r="BI1" s="428">
        <v>60</v>
      </c>
      <c r="BJ1" s="428">
        <v>61</v>
      </c>
      <c r="BK1" s="428">
        <v>62</v>
      </c>
      <c r="BL1" s="428">
        <v>63</v>
      </c>
      <c r="BM1" s="428">
        <v>64</v>
      </c>
      <c r="BN1" s="428">
        <v>65</v>
      </c>
      <c r="BO1" s="428">
        <v>66</v>
      </c>
      <c r="BP1" s="428">
        <v>67</v>
      </c>
      <c r="BQ1" s="428">
        <v>68</v>
      </c>
      <c r="BR1" s="428">
        <v>69</v>
      </c>
      <c r="BS1" s="428">
        <v>70</v>
      </c>
      <c r="BT1" s="428">
        <v>71</v>
      </c>
      <c r="BU1" s="428">
        <v>72</v>
      </c>
      <c r="BV1" s="428">
        <v>73</v>
      </c>
      <c r="BW1" s="428">
        <v>74</v>
      </c>
      <c r="BX1" s="428">
        <v>75</v>
      </c>
      <c r="BY1" s="428">
        <v>76</v>
      </c>
      <c r="BZ1" s="428">
        <v>77</v>
      </c>
      <c r="CA1" s="428">
        <v>78</v>
      </c>
      <c r="CB1" s="428">
        <v>79</v>
      </c>
      <c r="CC1" s="428">
        <v>80</v>
      </c>
      <c r="CD1" s="428">
        <v>81</v>
      </c>
      <c r="CE1" s="428">
        <v>82</v>
      </c>
      <c r="CF1" s="428">
        <v>83</v>
      </c>
      <c r="CG1" s="428">
        <v>84</v>
      </c>
      <c r="CH1" s="428">
        <v>85</v>
      </c>
      <c r="CI1" s="428">
        <v>86</v>
      </c>
      <c r="CJ1" s="428">
        <v>87</v>
      </c>
      <c r="CK1" s="428">
        <v>88</v>
      </c>
      <c r="CL1" s="428">
        <v>89</v>
      </c>
      <c r="CM1" s="428">
        <v>90</v>
      </c>
      <c r="CN1" s="428">
        <v>91</v>
      </c>
      <c r="CO1" s="428">
        <v>92</v>
      </c>
      <c r="CP1" s="428">
        <v>93</v>
      </c>
      <c r="CQ1" s="428">
        <v>94</v>
      </c>
      <c r="CR1" s="428">
        <v>95</v>
      </c>
      <c r="CS1" s="428">
        <v>96</v>
      </c>
      <c r="CT1" s="428">
        <v>97</v>
      </c>
      <c r="CU1" s="428">
        <v>98</v>
      </c>
      <c r="CV1" s="428">
        <v>99</v>
      </c>
      <c r="CW1" s="428">
        <v>100</v>
      </c>
      <c r="CX1" s="428">
        <v>101</v>
      </c>
      <c r="CY1" s="428">
        <v>102</v>
      </c>
      <c r="CZ1" s="428">
        <v>103</v>
      </c>
      <c r="DA1" s="428">
        <v>104</v>
      </c>
      <c r="DB1" s="428">
        <v>105</v>
      </c>
      <c r="DC1" s="428">
        <v>106</v>
      </c>
      <c r="DD1" s="428">
        <v>107</v>
      </c>
      <c r="DE1" s="428">
        <v>108</v>
      </c>
      <c r="DF1" s="428">
        <v>109</v>
      </c>
      <c r="DG1" s="428">
        <v>110</v>
      </c>
      <c r="DH1" s="428">
        <v>111</v>
      </c>
      <c r="DI1" s="428">
        <v>112</v>
      </c>
      <c r="DJ1" s="428">
        <v>113</v>
      </c>
      <c r="DK1" s="428">
        <v>114</v>
      </c>
      <c r="DL1" s="428">
        <v>115</v>
      </c>
      <c r="DM1" s="428">
        <v>116</v>
      </c>
      <c r="DN1" s="428">
        <v>117</v>
      </c>
      <c r="DO1" s="428">
        <v>118</v>
      </c>
      <c r="DP1" s="428">
        <v>119</v>
      </c>
      <c r="DQ1" s="428">
        <v>120</v>
      </c>
      <c r="DR1" s="428">
        <v>121</v>
      </c>
      <c r="DS1" s="428">
        <v>122</v>
      </c>
      <c r="DT1" s="428">
        <v>123</v>
      </c>
      <c r="DU1" s="428">
        <v>124</v>
      </c>
      <c r="DV1" s="428">
        <v>125</v>
      </c>
      <c r="DW1" s="428">
        <v>126</v>
      </c>
      <c r="DX1" s="428">
        <v>127</v>
      </c>
      <c r="DY1" s="428">
        <v>128</v>
      </c>
      <c r="DZ1" s="428">
        <v>129</v>
      </c>
      <c r="EA1" s="428">
        <v>130</v>
      </c>
      <c r="EB1" s="428">
        <v>131</v>
      </c>
      <c r="EC1" s="428">
        <v>132</v>
      </c>
    </row>
    <row r="2" spans="1:134">
      <c r="A2" s="120">
        <v>1</v>
      </c>
      <c r="B2" s="120">
        <v>0</v>
      </c>
      <c r="C2" s="120">
        <v>0</v>
      </c>
      <c r="D2" s="120">
        <v>0</v>
      </c>
      <c r="E2" s="120">
        <v>0</v>
      </c>
      <c r="F2" s="120">
        <v>0</v>
      </c>
      <c r="G2" s="120">
        <v>0</v>
      </c>
      <c r="H2" s="120">
        <v>0</v>
      </c>
      <c r="I2" s="120">
        <v>0</v>
      </c>
      <c r="J2" s="120">
        <v>0</v>
      </c>
      <c r="K2" s="120">
        <v>0</v>
      </c>
      <c r="L2" s="120">
        <v>0</v>
      </c>
      <c r="M2" s="120">
        <v>0</v>
      </c>
      <c r="N2" s="120">
        <v>0</v>
      </c>
      <c r="O2" s="120">
        <v>0</v>
      </c>
      <c r="P2" s="120">
        <v>0</v>
      </c>
      <c r="Q2" s="120">
        <v>0</v>
      </c>
      <c r="R2" s="120">
        <v>0</v>
      </c>
      <c r="S2" s="120">
        <v>145428.44821112201</v>
      </c>
      <c r="T2" s="120">
        <v>0</v>
      </c>
      <c r="U2" s="120">
        <v>239.5704387990763</v>
      </c>
      <c r="V2" s="120">
        <v>0</v>
      </c>
      <c r="W2" s="120">
        <v>0</v>
      </c>
      <c r="X2" s="120">
        <v>0</v>
      </c>
      <c r="Y2" s="120">
        <v>0</v>
      </c>
      <c r="Z2" s="120">
        <v>0</v>
      </c>
      <c r="AA2" s="120">
        <v>0</v>
      </c>
      <c r="AB2" s="120">
        <v>0</v>
      </c>
      <c r="AC2" s="120">
        <v>59502.926197572269</v>
      </c>
      <c r="AD2" s="120">
        <v>0</v>
      </c>
      <c r="AE2" s="120">
        <v>0</v>
      </c>
      <c r="AF2" s="120">
        <v>0</v>
      </c>
      <c r="AG2" s="120">
        <v>0</v>
      </c>
      <c r="AH2" s="120">
        <v>0</v>
      </c>
      <c r="AI2" s="120">
        <v>0</v>
      </c>
      <c r="AJ2" s="120">
        <v>0</v>
      </c>
      <c r="AK2" s="120">
        <v>0</v>
      </c>
      <c r="AL2" s="120">
        <v>0</v>
      </c>
      <c r="AM2" s="120">
        <v>0</v>
      </c>
      <c r="AN2" s="120">
        <v>0</v>
      </c>
      <c r="AO2" s="120">
        <v>0</v>
      </c>
      <c r="AP2" s="120">
        <v>0</v>
      </c>
      <c r="AQ2" s="120">
        <v>0</v>
      </c>
      <c r="AR2" s="120">
        <v>0</v>
      </c>
      <c r="AS2" s="120">
        <v>0</v>
      </c>
      <c r="AT2" s="120">
        <v>0</v>
      </c>
      <c r="AU2" s="120">
        <v>0</v>
      </c>
      <c r="AV2" s="120">
        <v>0</v>
      </c>
      <c r="AW2" s="120">
        <v>0</v>
      </c>
      <c r="AX2" s="120">
        <v>0</v>
      </c>
      <c r="AY2" s="120">
        <v>0</v>
      </c>
      <c r="AZ2" s="120">
        <v>0</v>
      </c>
      <c r="BA2" s="120">
        <v>0</v>
      </c>
      <c r="BB2" s="120">
        <v>0</v>
      </c>
      <c r="BC2" s="120">
        <v>0</v>
      </c>
      <c r="BD2" s="120">
        <v>0</v>
      </c>
      <c r="BE2" s="120">
        <v>2199.4181212636199</v>
      </c>
      <c r="BF2" s="120">
        <v>0</v>
      </c>
      <c r="BG2" s="120">
        <v>0</v>
      </c>
      <c r="BH2" s="120">
        <v>0</v>
      </c>
      <c r="BI2" s="120">
        <v>0</v>
      </c>
      <c r="BJ2" s="120">
        <v>0</v>
      </c>
      <c r="BK2" s="120">
        <v>0</v>
      </c>
      <c r="BL2" s="120">
        <v>0</v>
      </c>
      <c r="BM2" s="120">
        <v>0</v>
      </c>
      <c r="BN2" s="120">
        <v>0</v>
      </c>
      <c r="BO2" s="120">
        <v>0</v>
      </c>
      <c r="BP2" s="120">
        <v>0</v>
      </c>
      <c r="BQ2" s="120">
        <v>0</v>
      </c>
      <c r="BR2" s="120">
        <v>0</v>
      </c>
      <c r="BS2" s="120">
        <v>0</v>
      </c>
      <c r="BT2" s="120">
        <v>0</v>
      </c>
      <c r="BU2" s="120">
        <v>0</v>
      </c>
      <c r="BV2" s="120">
        <v>0</v>
      </c>
      <c r="BW2" s="120">
        <v>0</v>
      </c>
      <c r="BX2" s="120">
        <v>0</v>
      </c>
      <c r="BY2" s="120">
        <v>0</v>
      </c>
      <c r="BZ2" s="120">
        <v>-13105.58355062906</v>
      </c>
      <c r="CA2" s="120">
        <v>-31521.530609046069</v>
      </c>
      <c r="CB2" s="120">
        <v>-63777.775793137109</v>
      </c>
      <c r="CC2" s="120">
        <v>0</v>
      </c>
      <c r="CD2" s="120">
        <v>0</v>
      </c>
      <c r="CE2" s="120">
        <v>0</v>
      </c>
      <c r="CF2" s="120">
        <v>0</v>
      </c>
      <c r="CG2" s="120">
        <v>0</v>
      </c>
      <c r="CH2" s="120">
        <v>0</v>
      </c>
      <c r="CI2" s="120">
        <v>0</v>
      </c>
      <c r="CJ2" s="120">
        <v>0</v>
      </c>
      <c r="CK2" s="120">
        <v>0</v>
      </c>
      <c r="CL2" s="120">
        <v>0</v>
      </c>
      <c r="CM2" s="120">
        <v>0</v>
      </c>
      <c r="CN2" s="120">
        <v>0</v>
      </c>
      <c r="CO2" s="120">
        <v>0</v>
      </c>
      <c r="CP2" s="120">
        <v>0</v>
      </c>
      <c r="CQ2" s="120">
        <v>0</v>
      </c>
      <c r="CR2" s="120">
        <v>0</v>
      </c>
      <c r="CS2" s="120">
        <v>0</v>
      </c>
      <c r="CT2" s="120">
        <v>0</v>
      </c>
      <c r="CU2" s="120">
        <v>0</v>
      </c>
      <c r="CV2" s="120">
        <v>0</v>
      </c>
      <c r="CW2" s="120">
        <v>0</v>
      </c>
      <c r="CX2" s="120">
        <v>0</v>
      </c>
      <c r="CY2" s="120">
        <v>0</v>
      </c>
      <c r="CZ2" s="120">
        <v>0</v>
      </c>
      <c r="DA2" s="120">
        <v>0</v>
      </c>
      <c r="DB2" s="120">
        <v>0</v>
      </c>
      <c r="DC2" s="120">
        <v>0</v>
      </c>
      <c r="DD2" s="120">
        <v>0</v>
      </c>
      <c r="DE2" s="120">
        <v>0</v>
      </c>
      <c r="DF2" s="120">
        <v>0</v>
      </c>
      <c r="DG2" s="120">
        <v>0</v>
      </c>
      <c r="DH2" s="120">
        <v>0</v>
      </c>
      <c r="DI2" s="120">
        <v>0</v>
      </c>
      <c r="DJ2" s="120">
        <v>0</v>
      </c>
      <c r="DK2" s="120">
        <v>0</v>
      </c>
      <c r="DL2" s="120">
        <v>0</v>
      </c>
      <c r="DM2" s="120">
        <v>0</v>
      </c>
      <c r="DN2" s="120">
        <v>-12207.304160483791</v>
      </c>
      <c r="DO2" s="120">
        <v>693.89643581248174</v>
      </c>
      <c r="DP2" s="120">
        <v>81367.563565976889</v>
      </c>
      <c r="DQ2" s="120">
        <v>-35957.263500955283</v>
      </c>
      <c r="DR2" s="120">
        <v>-46925.810039103053</v>
      </c>
      <c r="DS2" s="120">
        <v>-893.72509693577194</v>
      </c>
      <c r="DT2" s="120">
        <v>-147.16024999398849</v>
      </c>
      <c r="DU2" s="120">
        <v>0</v>
      </c>
      <c r="DV2" s="120">
        <v>0</v>
      </c>
      <c r="DW2" s="120">
        <v>0</v>
      </c>
      <c r="DX2" s="120">
        <v>0</v>
      </c>
      <c r="DY2" s="120">
        <v>0</v>
      </c>
      <c r="DZ2" s="120">
        <v>0</v>
      </c>
      <c r="EA2" s="120">
        <v>0</v>
      </c>
      <c r="EB2" s="120">
        <v>0</v>
      </c>
      <c r="EC2" s="120">
        <v>0</v>
      </c>
      <c r="ED2" s="120">
        <f t="shared" ref="ED2:ED65" si="0">SUM(B2:EC2)</f>
        <v>84895.66997026217</v>
      </c>
    </row>
    <row r="3" spans="1:134">
      <c r="A3" s="120">
        <v>2</v>
      </c>
      <c r="B3" s="120">
        <v>0</v>
      </c>
      <c r="C3" s="120">
        <v>0</v>
      </c>
      <c r="D3" s="120">
        <v>0</v>
      </c>
      <c r="E3" s="120">
        <v>0</v>
      </c>
      <c r="F3" s="120">
        <v>0</v>
      </c>
      <c r="G3" s="120">
        <v>0</v>
      </c>
      <c r="H3" s="120">
        <v>0</v>
      </c>
      <c r="I3" s="120">
        <v>0</v>
      </c>
      <c r="J3" s="120">
        <v>0</v>
      </c>
      <c r="K3" s="120">
        <v>0</v>
      </c>
      <c r="L3" s="120">
        <v>0</v>
      </c>
      <c r="M3" s="120">
        <v>0</v>
      </c>
      <c r="N3" s="120">
        <v>0</v>
      </c>
      <c r="O3" s="120">
        <v>0</v>
      </c>
      <c r="P3" s="120">
        <v>0</v>
      </c>
      <c r="Q3" s="120">
        <v>0</v>
      </c>
      <c r="R3" s="120">
        <v>0</v>
      </c>
      <c r="S3" s="120">
        <v>13053.92717112352</v>
      </c>
      <c r="T3" s="120">
        <v>0</v>
      </c>
      <c r="U3" s="120">
        <v>438.42956120092379</v>
      </c>
      <c r="V3" s="120">
        <v>0</v>
      </c>
      <c r="W3" s="120">
        <v>0</v>
      </c>
      <c r="X3" s="120">
        <v>0</v>
      </c>
      <c r="Y3" s="120">
        <v>0</v>
      </c>
      <c r="Z3" s="120">
        <v>0</v>
      </c>
      <c r="AA3" s="120">
        <v>0</v>
      </c>
      <c r="AB3" s="120">
        <v>0</v>
      </c>
      <c r="AC3" s="120">
        <v>23118.489520588621</v>
      </c>
      <c r="AD3" s="120">
        <v>0</v>
      </c>
      <c r="AE3" s="120">
        <v>0</v>
      </c>
      <c r="AF3" s="120">
        <v>0</v>
      </c>
      <c r="AG3" s="120">
        <v>0</v>
      </c>
      <c r="AH3" s="120">
        <v>0</v>
      </c>
      <c r="AI3" s="120">
        <v>0</v>
      </c>
      <c r="AJ3" s="120">
        <v>0</v>
      </c>
      <c r="AK3" s="120">
        <v>0</v>
      </c>
      <c r="AL3" s="120">
        <v>0</v>
      </c>
      <c r="AM3" s="120">
        <v>0</v>
      </c>
      <c r="AN3" s="120">
        <v>0</v>
      </c>
      <c r="AO3" s="120">
        <v>0</v>
      </c>
      <c r="AP3" s="120">
        <v>0</v>
      </c>
      <c r="AQ3" s="120">
        <v>0</v>
      </c>
      <c r="AR3" s="120">
        <v>0</v>
      </c>
      <c r="AS3" s="120">
        <v>0</v>
      </c>
      <c r="AT3" s="120">
        <v>0</v>
      </c>
      <c r="AU3" s="120">
        <v>0</v>
      </c>
      <c r="AV3" s="120">
        <v>0</v>
      </c>
      <c r="AW3" s="120">
        <v>0</v>
      </c>
      <c r="AX3" s="120">
        <v>0</v>
      </c>
      <c r="AY3" s="120">
        <v>0</v>
      </c>
      <c r="AZ3" s="120">
        <v>0</v>
      </c>
      <c r="BA3" s="120">
        <v>0</v>
      </c>
      <c r="BB3" s="120">
        <v>0</v>
      </c>
      <c r="BC3" s="120">
        <v>0</v>
      </c>
      <c r="BD3" s="120">
        <v>0</v>
      </c>
      <c r="BE3" s="120">
        <v>501.94189489418721</v>
      </c>
      <c r="BF3" s="120">
        <v>0</v>
      </c>
      <c r="BG3" s="120">
        <v>0</v>
      </c>
      <c r="BH3" s="120">
        <v>0</v>
      </c>
      <c r="BI3" s="120">
        <v>0</v>
      </c>
      <c r="BJ3" s="120">
        <v>0</v>
      </c>
      <c r="BK3" s="120">
        <v>0</v>
      </c>
      <c r="BL3" s="120">
        <v>0</v>
      </c>
      <c r="BM3" s="120">
        <v>0</v>
      </c>
      <c r="BN3" s="120">
        <v>0</v>
      </c>
      <c r="BO3" s="120">
        <v>0</v>
      </c>
      <c r="BP3" s="120">
        <v>0</v>
      </c>
      <c r="BQ3" s="120">
        <v>0</v>
      </c>
      <c r="BR3" s="120">
        <v>0</v>
      </c>
      <c r="BS3" s="120">
        <v>0</v>
      </c>
      <c r="BT3" s="120">
        <v>0</v>
      </c>
      <c r="BU3" s="120">
        <v>0</v>
      </c>
      <c r="BV3" s="120">
        <v>0</v>
      </c>
      <c r="BW3" s="120">
        <v>0</v>
      </c>
      <c r="BX3" s="120">
        <v>0</v>
      </c>
      <c r="BY3" s="120">
        <v>0</v>
      </c>
      <c r="BZ3" s="120">
        <v>-2161.5941863547032</v>
      </c>
      <c r="CA3" s="120">
        <v>-1857.7235109804899</v>
      </c>
      <c r="CB3" s="120">
        <v>-13324.375414533821</v>
      </c>
      <c r="CC3" s="120">
        <v>0</v>
      </c>
      <c r="CD3" s="120">
        <v>0</v>
      </c>
      <c r="CE3" s="120">
        <v>0</v>
      </c>
      <c r="CF3" s="120">
        <v>0</v>
      </c>
      <c r="CG3" s="120">
        <v>0</v>
      </c>
      <c r="CH3" s="120">
        <v>0</v>
      </c>
      <c r="CI3" s="120">
        <v>0</v>
      </c>
      <c r="CJ3" s="120">
        <v>0</v>
      </c>
      <c r="CK3" s="120">
        <v>0</v>
      </c>
      <c r="CL3" s="120">
        <v>0</v>
      </c>
      <c r="CM3" s="120">
        <v>0</v>
      </c>
      <c r="CN3" s="120">
        <v>0</v>
      </c>
      <c r="CO3" s="120">
        <v>0</v>
      </c>
      <c r="CP3" s="120">
        <v>0</v>
      </c>
      <c r="CQ3" s="120">
        <v>0</v>
      </c>
      <c r="CR3" s="120">
        <v>0</v>
      </c>
      <c r="CS3" s="120">
        <v>0</v>
      </c>
      <c r="CT3" s="120">
        <v>0</v>
      </c>
      <c r="CU3" s="120">
        <v>0</v>
      </c>
      <c r="CV3" s="120">
        <v>0</v>
      </c>
      <c r="CW3" s="120">
        <v>0</v>
      </c>
      <c r="CX3" s="120">
        <v>0</v>
      </c>
      <c r="CY3" s="120">
        <v>0</v>
      </c>
      <c r="CZ3" s="120">
        <v>0</v>
      </c>
      <c r="DA3" s="120">
        <v>0</v>
      </c>
      <c r="DB3" s="120">
        <v>0</v>
      </c>
      <c r="DC3" s="120">
        <v>0</v>
      </c>
      <c r="DD3" s="120">
        <v>0</v>
      </c>
      <c r="DE3" s="120">
        <v>0</v>
      </c>
      <c r="DF3" s="120">
        <v>0</v>
      </c>
      <c r="DG3" s="120">
        <v>0</v>
      </c>
      <c r="DH3" s="120">
        <v>0</v>
      </c>
      <c r="DI3" s="120">
        <v>0</v>
      </c>
      <c r="DJ3" s="120">
        <v>0</v>
      </c>
      <c r="DK3" s="120">
        <v>0</v>
      </c>
      <c r="DL3" s="120">
        <v>0</v>
      </c>
      <c r="DM3" s="120">
        <v>0</v>
      </c>
      <c r="DN3" s="120">
        <v>2043.1794672108119</v>
      </c>
      <c r="DO3" s="120">
        <v>122.6033480482738</v>
      </c>
      <c r="DP3" s="120">
        <v>3871.5766837965261</v>
      </c>
      <c r="DQ3" s="120">
        <v>-704.50944733193637</v>
      </c>
      <c r="DR3" s="120">
        <v>-8704.3287355029152</v>
      </c>
      <c r="DS3" s="120">
        <v>-247.88757924934151</v>
      </c>
      <c r="DT3" s="120">
        <v>-4.8456965866292459</v>
      </c>
      <c r="DU3" s="120">
        <v>0</v>
      </c>
      <c r="DV3" s="120">
        <v>0</v>
      </c>
      <c r="DW3" s="120">
        <v>0</v>
      </c>
      <c r="DX3" s="120">
        <v>0</v>
      </c>
      <c r="DY3" s="120">
        <v>0</v>
      </c>
      <c r="DZ3" s="120">
        <v>0</v>
      </c>
      <c r="EA3" s="120">
        <v>0</v>
      </c>
      <c r="EB3" s="120">
        <v>0</v>
      </c>
      <c r="EC3" s="120">
        <v>0</v>
      </c>
      <c r="ED3" s="120">
        <f t="shared" si="0"/>
        <v>16144.883076323027</v>
      </c>
    </row>
    <row r="4" spans="1:134">
      <c r="A4" s="120">
        <v>3</v>
      </c>
      <c r="B4" s="120">
        <v>0</v>
      </c>
      <c r="C4" s="120">
        <v>0</v>
      </c>
      <c r="D4" s="120">
        <v>0</v>
      </c>
      <c r="E4" s="120">
        <v>0</v>
      </c>
      <c r="F4" s="120">
        <v>0</v>
      </c>
      <c r="G4" s="120">
        <v>0</v>
      </c>
      <c r="H4" s="120">
        <v>0</v>
      </c>
      <c r="I4" s="120">
        <v>0</v>
      </c>
      <c r="J4" s="120">
        <v>0</v>
      </c>
      <c r="K4" s="120">
        <v>0</v>
      </c>
      <c r="L4" s="120">
        <v>0</v>
      </c>
      <c r="M4" s="120">
        <v>0</v>
      </c>
      <c r="N4" s="120">
        <v>0</v>
      </c>
      <c r="O4" s="120">
        <v>0</v>
      </c>
      <c r="P4" s="120">
        <v>0</v>
      </c>
      <c r="Q4" s="120">
        <v>0</v>
      </c>
      <c r="R4" s="120">
        <v>0</v>
      </c>
      <c r="S4" s="120">
        <v>0</v>
      </c>
      <c r="T4" s="120">
        <v>0</v>
      </c>
      <c r="U4" s="120">
        <v>0</v>
      </c>
      <c r="V4" s="120">
        <v>0</v>
      </c>
      <c r="W4" s="120">
        <v>0</v>
      </c>
      <c r="X4" s="120">
        <v>0</v>
      </c>
      <c r="Y4" s="120">
        <v>0</v>
      </c>
      <c r="Z4" s="120">
        <v>0</v>
      </c>
      <c r="AA4" s="120">
        <v>0</v>
      </c>
      <c r="AB4" s="120">
        <v>0</v>
      </c>
      <c r="AC4" s="120">
        <v>0</v>
      </c>
      <c r="AD4" s="120">
        <v>0</v>
      </c>
      <c r="AE4" s="120">
        <v>0</v>
      </c>
      <c r="AF4" s="120">
        <v>0</v>
      </c>
      <c r="AG4" s="120">
        <v>0</v>
      </c>
      <c r="AH4" s="120">
        <v>0</v>
      </c>
      <c r="AI4" s="120">
        <v>0</v>
      </c>
      <c r="AJ4" s="120">
        <v>0</v>
      </c>
      <c r="AK4" s="120">
        <v>0</v>
      </c>
      <c r="AL4" s="120">
        <v>0</v>
      </c>
      <c r="AM4" s="120">
        <v>0</v>
      </c>
      <c r="AN4" s="120">
        <v>0</v>
      </c>
      <c r="AO4" s="120">
        <v>0</v>
      </c>
      <c r="AP4" s="120">
        <v>0</v>
      </c>
      <c r="AQ4" s="120">
        <v>0</v>
      </c>
      <c r="AR4" s="120">
        <v>0</v>
      </c>
      <c r="AS4" s="120">
        <v>0</v>
      </c>
      <c r="AT4" s="120">
        <v>0</v>
      </c>
      <c r="AU4" s="120">
        <v>0</v>
      </c>
      <c r="AV4" s="120">
        <v>0</v>
      </c>
      <c r="AW4" s="120">
        <v>0</v>
      </c>
      <c r="AX4" s="120">
        <v>0</v>
      </c>
      <c r="AY4" s="120">
        <v>0</v>
      </c>
      <c r="AZ4" s="120">
        <v>0</v>
      </c>
      <c r="BA4" s="120">
        <v>0</v>
      </c>
      <c r="BB4" s="120">
        <v>0</v>
      </c>
      <c r="BC4" s="120">
        <v>0</v>
      </c>
      <c r="BD4" s="120">
        <v>0</v>
      </c>
      <c r="BE4" s="120">
        <v>0</v>
      </c>
      <c r="BF4" s="120">
        <v>0</v>
      </c>
      <c r="BG4" s="120">
        <v>0</v>
      </c>
      <c r="BH4" s="120">
        <v>0</v>
      </c>
      <c r="BI4" s="120">
        <v>0</v>
      </c>
      <c r="BJ4" s="120">
        <v>0</v>
      </c>
      <c r="BK4" s="120">
        <v>0</v>
      </c>
      <c r="BL4" s="120">
        <v>0</v>
      </c>
      <c r="BM4" s="120">
        <v>0</v>
      </c>
      <c r="BN4" s="120">
        <v>0</v>
      </c>
      <c r="BO4" s="120">
        <v>0</v>
      </c>
      <c r="BP4" s="120">
        <v>0</v>
      </c>
      <c r="BQ4" s="120">
        <v>0</v>
      </c>
      <c r="BR4" s="120">
        <v>0</v>
      </c>
      <c r="BS4" s="120">
        <v>0</v>
      </c>
      <c r="BT4" s="120">
        <v>0</v>
      </c>
      <c r="BU4" s="120">
        <v>0</v>
      </c>
      <c r="BV4" s="120">
        <v>0</v>
      </c>
      <c r="BW4" s="120">
        <v>0</v>
      </c>
      <c r="BX4" s="120">
        <v>0</v>
      </c>
      <c r="BY4" s="120">
        <v>0</v>
      </c>
      <c r="BZ4" s="120">
        <v>0</v>
      </c>
      <c r="CA4" s="120">
        <v>0</v>
      </c>
      <c r="CB4" s="120">
        <v>0</v>
      </c>
      <c r="CC4" s="120">
        <v>0</v>
      </c>
      <c r="CD4" s="120">
        <v>0</v>
      </c>
      <c r="CE4" s="120">
        <v>0</v>
      </c>
      <c r="CF4" s="120">
        <v>0</v>
      </c>
      <c r="CG4" s="120">
        <v>0</v>
      </c>
      <c r="CH4" s="120">
        <v>0</v>
      </c>
      <c r="CI4" s="120">
        <v>0</v>
      </c>
      <c r="CJ4" s="120">
        <v>0</v>
      </c>
      <c r="CK4" s="120">
        <v>0</v>
      </c>
      <c r="CL4" s="120">
        <v>0</v>
      </c>
      <c r="CM4" s="120">
        <v>0</v>
      </c>
      <c r="CN4" s="120">
        <v>0</v>
      </c>
      <c r="CO4" s="120">
        <v>0</v>
      </c>
      <c r="CP4" s="120">
        <v>0</v>
      </c>
      <c r="CQ4" s="120">
        <v>0</v>
      </c>
      <c r="CR4" s="120">
        <v>0</v>
      </c>
      <c r="CS4" s="120">
        <v>0</v>
      </c>
      <c r="CT4" s="120">
        <v>0</v>
      </c>
      <c r="CU4" s="120">
        <v>0</v>
      </c>
      <c r="CV4" s="120">
        <v>0</v>
      </c>
      <c r="CW4" s="120">
        <v>0</v>
      </c>
      <c r="CX4" s="120">
        <v>0</v>
      </c>
      <c r="CY4" s="120">
        <v>0</v>
      </c>
      <c r="CZ4" s="120">
        <v>0</v>
      </c>
      <c r="DA4" s="120">
        <v>0</v>
      </c>
      <c r="DB4" s="120">
        <v>0</v>
      </c>
      <c r="DC4" s="120">
        <v>0</v>
      </c>
      <c r="DD4" s="120">
        <v>0</v>
      </c>
      <c r="DE4" s="120">
        <v>0</v>
      </c>
      <c r="DF4" s="120">
        <v>0</v>
      </c>
      <c r="DG4" s="120">
        <v>0</v>
      </c>
      <c r="DH4" s="120">
        <v>0</v>
      </c>
      <c r="DI4" s="120">
        <v>0</v>
      </c>
      <c r="DJ4" s="120">
        <v>0</v>
      </c>
      <c r="DK4" s="120">
        <v>0</v>
      </c>
      <c r="DL4" s="120">
        <v>0</v>
      </c>
      <c r="DM4" s="120">
        <v>0</v>
      </c>
      <c r="DN4" s="120">
        <v>139.32876726578439</v>
      </c>
      <c r="DO4" s="120">
        <v>77.67479801381792</v>
      </c>
      <c r="DP4" s="120">
        <v>1567.0145704835591</v>
      </c>
      <c r="DQ4" s="120">
        <v>-452.0466511950998</v>
      </c>
      <c r="DR4" s="120">
        <v>-27.428812130941338</v>
      </c>
      <c r="DS4" s="120">
        <v>-85.661269816928794</v>
      </c>
      <c r="DT4" s="120">
        <v>-28.097021047893541</v>
      </c>
      <c r="DU4" s="120">
        <v>0</v>
      </c>
      <c r="DV4" s="120">
        <v>0</v>
      </c>
      <c r="DW4" s="120">
        <v>0</v>
      </c>
      <c r="DX4" s="120">
        <v>0</v>
      </c>
      <c r="DY4" s="120">
        <v>0</v>
      </c>
      <c r="DZ4" s="120">
        <v>0</v>
      </c>
      <c r="EA4" s="120">
        <v>0</v>
      </c>
      <c r="EB4" s="120">
        <v>0</v>
      </c>
      <c r="EC4" s="120">
        <v>0</v>
      </c>
      <c r="ED4" s="120">
        <f t="shared" si="0"/>
        <v>1190.7843815722977</v>
      </c>
    </row>
    <row r="5" spans="1:134">
      <c r="A5" s="120">
        <v>4</v>
      </c>
      <c r="B5" s="120">
        <v>0</v>
      </c>
      <c r="C5" s="120">
        <v>0</v>
      </c>
      <c r="D5" s="120">
        <v>0</v>
      </c>
      <c r="E5" s="120">
        <v>0</v>
      </c>
      <c r="F5" s="120">
        <v>0</v>
      </c>
      <c r="G5" s="120">
        <v>0</v>
      </c>
      <c r="H5" s="120">
        <v>0</v>
      </c>
      <c r="I5" s="120">
        <v>0</v>
      </c>
      <c r="J5" s="120">
        <v>0</v>
      </c>
      <c r="K5" s="120">
        <v>0</v>
      </c>
      <c r="L5" s="120">
        <v>0</v>
      </c>
      <c r="M5" s="120">
        <v>0</v>
      </c>
      <c r="N5" s="120">
        <v>0</v>
      </c>
      <c r="O5" s="120">
        <v>0</v>
      </c>
      <c r="P5" s="120">
        <v>0</v>
      </c>
      <c r="Q5" s="120">
        <v>0</v>
      </c>
      <c r="R5" s="120">
        <v>0</v>
      </c>
      <c r="S5" s="120">
        <v>0</v>
      </c>
      <c r="T5" s="120">
        <v>0</v>
      </c>
      <c r="U5" s="120">
        <v>0</v>
      </c>
      <c r="V5" s="120">
        <v>0</v>
      </c>
      <c r="W5" s="120">
        <v>0</v>
      </c>
      <c r="X5" s="120">
        <v>0</v>
      </c>
      <c r="Y5" s="120">
        <v>0</v>
      </c>
      <c r="Z5" s="120">
        <v>0</v>
      </c>
      <c r="AA5" s="120">
        <v>0</v>
      </c>
      <c r="AB5" s="120">
        <v>0</v>
      </c>
      <c r="AC5" s="120">
        <v>0</v>
      </c>
      <c r="AD5" s="120">
        <v>0</v>
      </c>
      <c r="AE5" s="120">
        <v>0</v>
      </c>
      <c r="AF5" s="120">
        <v>0</v>
      </c>
      <c r="AG5" s="120">
        <v>0</v>
      </c>
      <c r="AH5" s="120">
        <v>0</v>
      </c>
      <c r="AI5" s="120">
        <v>0</v>
      </c>
      <c r="AJ5" s="120">
        <v>0</v>
      </c>
      <c r="AK5" s="120">
        <v>0</v>
      </c>
      <c r="AL5" s="120">
        <v>0</v>
      </c>
      <c r="AM5" s="120">
        <v>0</v>
      </c>
      <c r="AN5" s="120">
        <v>0</v>
      </c>
      <c r="AO5" s="120">
        <v>0</v>
      </c>
      <c r="AP5" s="120">
        <v>0</v>
      </c>
      <c r="AQ5" s="120">
        <v>0</v>
      </c>
      <c r="AR5" s="120">
        <v>0</v>
      </c>
      <c r="AS5" s="120">
        <v>0</v>
      </c>
      <c r="AT5" s="120">
        <v>0</v>
      </c>
      <c r="AU5" s="120">
        <v>0</v>
      </c>
      <c r="AV5" s="120">
        <v>0</v>
      </c>
      <c r="AW5" s="120">
        <v>0</v>
      </c>
      <c r="AX5" s="120">
        <v>0</v>
      </c>
      <c r="AY5" s="120">
        <v>0</v>
      </c>
      <c r="AZ5" s="120">
        <v>0</v>
      </c>
      <c r="BA5" s="120">
        <v>0</v>
      </c>
      <c r="BB5" s="120">
        <v>0</v>
      </c>
      <c r="BC5" s="120">
        <v>0</v>
      </c>
      <c r="BD5" s="120">
        <v>0</v>
      </c>
      <c r="BE5" s="120">
        <v>0</v>
      </c>
      <c r="BF5" s="120">
        <v>0</v>
      </c>
      <c r="BG5" s="120">
        <v>0</v>
      </c>
      <c r="BH5" s="120">
        <v>0</v>
      </c>
      <c r="BI5" s="120">
        <v>0</v>
      </c>
      <c r="BJ5" s="120">
        <v>0</v>
      </c>
      <c r="BK5" s="120">
        <v>0</v>
      </c>
      <c r="BL5" s="120">
        <v>0</v>
      </c>
      <c r="BM5" s="120">
        <v>0</v>
      </c>
      <c r="BN5" s="120">
        <v>0</v>
      </c>
      <c r="BO5" s="120">
        <v>0</v>
      </c>
      <c r="BP5" s="120">
        <v>0</v>
      </c>
      <c r="BQ5" s="120">
        <v>0</v>
      </c>
      <c r="BR5" s="120">
        <v>0</v>
      </c>
      <c r="BS5" s="120">
        <v>0</v>
      </c>
      <c r="BT5" s="120">
        <v>0</v>
      </c>
      <c r="BU5" s="120">
        <v>0</v>
      </c>
      <c r="BV5" s="120">
        <v>0</v>
      </c>
      <c r="BW5" s="120">
        <v>0</v>
      </c>
      <c r="BX5" s="120">
        <v>0</v>
      </c>
      <c r="BY5" s="120">
        <v>0</v>
      </c>
      <c r="BZ5" s="120">
        <v>0</v>
      </c>
      <c r="CA5" s="120">
        <v>0</v>
      </c>
      <c r="CB5" s="120">
        <v>0</v>
      </c>
      <c r="CC5" s="120">
        <v>0</v>
      </c>
      <c r="CD5" s="120">
        <v>0</v>
      </c>
      <c r="CE5" s="120">
        <v>0</v>
      </c>
      <c r="CF5" s="120">
        <v>0</v>
      </c>
      <c r="CG5" s="120">
        <v>0</v>
      </c>
      <c r="CH5" s="120">
        <v>0</v>
      </c>
      <c r="CI5" s="120">
        <v>0</v>
      </c>
      <c r="CJ5" s="120">
        <v>0</v>
      </c>
      <c r="CK5" s="120">
        <v>0</v>
      </c>
      <c r="CL5" s="120">
        <v>0</v>
      </c>
      <c r="CM5" s="120">
        <v>0</v>
      </c>
      <c r="CN5" s="120">
        <v>0</v>
      </c>
      <c r="CO5" s="120">
        <v>0</v>
      </c>
      <c r="CP5" s="120">
        <v>0</v>
      </c>
      <c r="CQ5" s="120">
        <v>0</v>
      </c>
      <c r="CR5" s="120">
        <v>0</v>
      </c>
      <c r="CS5" s="120">
        <v>0</v>
      </c>
      <c r="CT5" s="120">
        <v>0</v>
      </c>
      <c r="CU5" s="120">
        <v>0</v>
      </c>
      <c r="CV5" s="120">
        <v>0</v>
      </c>
      <c r="CW5" s="120">
        <v>0</v>
      </c>
      <c r="CX5" s="120">
        <v>0</v>
      </c>
      <c r="CY5" s="120">
        <v>0</v>
      </c>
      <c r="CZ5" s="120">
        <v>0</v>
      </c>
      <c r="DA5" s="120">
        <v>0</v>
      </c>
      <c r="DB5" s="120">
        <v>0</v>
      </c>
      <c r="DC5" s="120">
        <v>0</v>
      </c>
      <c r="DD5" s="120">
        <v>0</v>
      </c>
      <c r="DE5" s="120">
        <v>0</v>
      </c>
      <c r="DF5" s="120">
        <v>0</v>
      </c>
      <c r="DG5" s="120">
        <v>0</v>
      </c>
      <c r="DH5" s="120">
        <v>0</v>
      </c>
      <c r="DI5" s="120">
        <v>0</v>
      </c>
      <c r="DJ5" s="120">
        <v>0</v>
      </c>
      <c r="DK5" s="120">
        <v>0</v>
      </c>
      <c r="DL5" s="120">
        <v>0</v>
      </c>
      <c r="DM5" s="120">
        <v>0</v>
      </c>
      <c r="DN5" s="120">
        <v>197.0888326995867</v>
      </c>
      <c r="DO5" s="120">
        <v>109.8756241883367</v>
      </c>
      <c r="DP5" s="120">
        <v>597.52639272659712</v>
      </c>
      <c r="DQ5" s="120">
        <v>-175.5906292454257</v>
      </c>
      <c r="DR5" s="120">
        <v>-3108.5498422538012</v>
      </c>
      <c r="DS5" s="120">
        <v>-4.760767306129325</v>
      </c>
      <c r="DT5" s="120">
        <v>-0.73794164116484307</v>
      </c>
      <c r="DU5" s="120">
        <v>0</v>
      </c>
      <c r="DV5" s="120">
        <v>0</v>
      </c>
      <c r="DW5" s="120">
        <v>0</v>
      </c>
      <c r="DX5" s="120">
        <v>0</v>
      </c>
      <c r="DY5" s="120">
        <v>0</v>
      </c>
      <c r="DZ5" s="120">
        <v>0</v>
      </c>
      <c r="EA5" s="120">
        <v>0</v>
      </c>
      <c r="EB5" s="120">
        <v>0</v>
      </c>
      <c r="EC5" s="120">
        <v>0</v>
      </c>
      <c r="ED5" s="120">
        <f t="shared" si="0"/>
        <v>-2385.1483308320007</v>
      </c>
    </row>
    <row r="6" spans="1:134">
      <c r="A6" s="120">
        <v>5</v>
      </c>
      <c r="B6" s="120">
        <v>0</v>
      </c>
      <c r="C6" s="120">
        <v>0</v>
      </c>
      <c r="D6" s="120">
        <v>0</v>
      </c>
      <c r="E6" s="120">
        <v>0</v>
      </c>
      <c r="F6" s="120">
        <v>0</v>
      </c>
      <c r="G6" s="120">
        <v>0</v>
      </c>
      <c r="H6" s="120">
        <v>0</v>
      </c>
      <c r="I6" s="120">
        <v>0</v>
      </c>
      <c r="J6" s="120">
        <v>0</v>
      </c>
      <c r="K6" s="120">
        <v>0</v>
      </c>
      <c r="L6" s="120">
        <v>0</v>
      </c>
      <c r="M6" s="120">
        <v>0</v>
      </c>
      <c r="N6" s="120">
        <v>0</v>
      </c>
      <c r="O6" s="120">
        <v>0</v>
      </c>
      <c r="P6" s="120">
        <v>0</v>
      </c>
      <c r="Q6" s="120">
        <v>0</v>
      </c>
      <c r="R6" s="120">
        <v>0</v>
      </c>
      <c r="S6" s="120">
        <v>9145.0861616318416</v>
      </c>
      <c r="T6" s="120">
        <v>0</v>
      </c>
      <c r="U6" s="120">
        <v>0</v>
      </c>
      <c r="V6" s="120">
        <v>0</v>
      </c>
      <c r="W6" s="120">
        <v>0</v>
      </c>
      <c r="X6" s="120">
        <v>0</v>
      </c>
      <c r="Y6" s="120">
        <v>0</v>
      </c>
      <c r="Z6" s="120">
        <v>0</v>
      </c>
      <c r="AA6" s="120">
        <v>0</v>
      </c>
      <c r="AB6" s="120">
        <v>0</v>
      </c>
      <c r="AC6" s="120">
        <v>0</v>
      </c>
      <c r="AD6" s="120">
        <v>0</v>
      </c>
      <c r="AE6" s="120">
        <v>0</v>
      </c>
      <c r="AF6" s="120">
        <v>0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20">
        <v>0</v>
      </c>
      <c r="AT6" s="120">
        <v>0</v>
      </c>
      <c r="AU6" s="120">
        <v>0</v>
      </c>
      <c r="AV6" s="120">
        <v>0</v>
      </c>
      <c r="AW6" s="120">
        <v>0</v>
      </c>
      <c r="AX6" s="120">
        <v>0</v>
      </c>
      <c r="AY6" s="120">
        <v>0</v>
      </c>
      <c r="AZ6" s="120">
        <v>3909.6255142961299</v>
      </c>
      <c r="BA6" s="120">
        <v>0</v>
      </c>
      <c r="BB6" s="120">
        <v>0</v>
      </c>
      <c r="BC6" s="120">
        <v>0</v>
      </c>
      <c r="BD6" s="120">
        <v>0</v>
      </c>
      <c r="BE6" s="120">
        <v>380.3479314639647</v>
      </c>
      <c r="BF6" s="120">
        <v>0</v>
      </c>
      <c r="BG6" s="120">
        <v>0</v>
      </c>
      <c r="BH6" s="120">
        <v>0</v>
      </c>
      <c r="BI6" s="120">
        <v>0</v>
      </c>
      <c r="BJ6" s="120">
        <v>0</v>
      </c>
      <c r="BK6" s="120">
        <v>0</v>
      </c>
      <c r="BL6" s="120">
        <v>0</v>
      </c>
      <c r="BM6" s="120">
        <v>0</v>
      </c>
      <c r="BN6" s="120">
        <v>0</v>
      </c>
      <c r="BO6" s="120">
        <v>0</v>
      </c>
      <c r="BP6" s="120">
        <v>0</v>
      </c>
      <c r="BQ6" s="120">
        <v>0</v>
      </c>
      <c r="BR6" s="120">
        <v>0</v>
      </c>
      <c r="BS6" s="120">
        <v>0</v>
      </c>
      <c r="BT6" s="120">
        <v>0</v>
      </c>
      <c r="BU6" s="120">
        <v>0</v>
      </c>
      <c r="BV6" s="120">
        <v>0</v>
      </c>
      <c r="BW6" s="120">
        <v>0</v>
      </c>
      <c r="BX6" s="120">
        <v>0</v>
      </c>
      <c r="BY6" s="120">
        <v>0</v>
      </c>
      <c r="BZ6" s="120">
        <v>-633.15507805637912</v>
      </c>
      <c r="CA6" s="120">
        <v>-655.57709599766747</v>
      </c>
      <c r="CB6" s="120">
        <v>-2721.605892016375</v>
      </c>
      <c r="CC6" s="120">
        <v>0</v>
      </c>
      <c r="CD6" s="120">
        <v>0</v>
      </c>
      <c r="CE6" s="120">
        <v>0</v>
      </c>
      <c r="CF6" s="120">
        <v>0</v>
      </c>
      <c r="CG6" s="120">
        <v>0</v>
      </c>
      <c r="CH6" s="120">
        <v>0</v>
      </c>
      <c r="CI6" s="120">
        <v>0</v>
      </c>
      <c r="CJ6" s="120">
        <v>0</v>
      </c>
      <c r="CK6" s="120">
        <v>0</v>
      </c>
      <c r="CL6" s="120">
        <v>0</v>
      </c>
      <c r="CM6" s="120">
        <v>0</v>
      </c>
      <c r="CN6" s="120">
        <v>0</v>
      </c>
      <c r="CO6" s="120">
        <v>0</v>
      </c>
      <c r="CP6" s="120">
        <v>0</v>
      </c>
      <c r="CQ6" s="120">
        <v>0</v>
      </c>
      <c r="CR6" s="120">
        <v>0</v>
      </c>
      <c r="CS6" s="120">
        <v>0</v>
      </c>
      <c r="CT6" s="120">
        <v>0</v>
      </c>
      <c r="CU6" s="120">
        <v>0</v>
      </c>
      <c r="CV6" s="120">
        <v>0</v>
      </c>
      <c r="CW6" s="120">
        <v>0</v>
      </c>
      <c r="CX6" s="120">
        <v>0</v>
      </c>
      <c r="CY6" s="120">
        <v>0</v>
      </c>
      <c r="CZ6" s="120">
        <v>0</v>
      </c>
      <c r="DA6" s="120">
        <v>0</v>
      </c>
      <c r="DB6" s="120">
        <v>0</v>
      </c>
      <c r="DC6" s="120">
        <v>0</v>
      </c>
      <c r="DD6" s="120">
        <v>0</v>
      </c>
      <c r="DE6" s="120">
        <v>0</v>
      </c>
      <c r="DF6" s="120">
        <v>0</v>
      </c>
      <c r="DG6" s="120">
        <v>0</v>
      </c>
      <c r="DH6" s="120">
        <v>0</v>
      </c>
      <c r="DI6" s="120">
        <v>0</v>
      </c>
      <c r="DJ6" s="120">
        <v>0</v>
      </c>
      <c r="DK6" s="120">
        <v>0</v>
      </c>
      <c r="DL6" s="120">
        <v>0</v>
      </c>
      <c r="DM6" s="120">
        <v>0</v>
      </c>
      <c r="DN6" s="120">
        <v>33.303084560330362</v>
      </c>
      <c r="DO6" s="120">
        <v>8.8886456019978421</v>
      </c>
      <c r="DP6" s="120">
        <v>4891.2937407549789</v>
      </c>
      <c r="DQ6" s="120">
        <v>-1189.270640375833</v>
      </c>
      <c r="DR6" s="120">
        <v>-16885.742624924678</v>
      </c>
      <c r="DS6" s="120">
        <v>-247.2298407460373</v>
      </c>
      <c r="DT6" s="120">
        <v>-186.66713879232381</v>
      </c>
      <c r="DU6" s="120">
        <v>0</v>
      </c>
      <c r="DV6" s="120">
        <v>0</v>
      </c>
      <c r="DW6" s="120">
        <v>0</v>
      </c>
      <c r="DX6" s="120">
        <v>0</v>
      </c>
      <c r="DY6" s="120">
        <v>0</v>
      </c>
      <c r="DZ6" s="120">
        <v>0</v>
      </c>
      <c r="EA6" s="120">
        <v>0</v>
      </c>
      <c r="EB6" s="120">
        <v>0</v>
      </c>
      <c r="EC6" s="120">
        <v>0</v>
      </c>
      <c r="ED6" s="120">
        <f t="shared" si="0"/>
        <v>-4150.7032326000544</v>
      </c>
    </row>
    <row r="7" spans="1:134">
      <c r="A7" s="120">
        <v>6</v>
      </c>
      <c r="B7" s="120">
        <v>0</v>
      </c>
      <c r="C7" s="120">
        <v>0</v>
      </c>
      <c r="D7" s="120">
        <v>0</v>
      </c>
      <c r="E7" s="120">
        <v>0</v>
      </c>
      <c r="F7" s="120">
        <v>0</v>
      </c>
      <c r="G7" s="120">
        <v>0</v>
      </c>
      <c r="H7" s="120">
        <v>0</v>
      </c>
      <c r="I7" s="120">
        <v>0</v>
      </c>
      <c r="J7" s="120">
        <v>0</v>
      </c>
      <c r="K7" s="120">
        <v>0</v>
      </c>
      <c r="L7" s="120">
        <v>0</v>
      </c>
      <c r="M7" s="120">
        <v>0</v>
      </c>
      <c r="N7" s="120">
        <v>0</v>
      </c>
      <c r="O7" s="120">
        <v>0</v>
      </c>
      <c r="P7" s="120">
        <v>0</v>
      </c>
      <c r="Q7" s="120">
        <v>0</v>
      </c>
      <c r="R7" s="120">
        <v>0</v>
      </c>
      <c r="S7" s="120">
        <v>0</v>
      </c>
      <c r="T7" s="120">
        <v>0</v>
      </c>
      <c r="U7" s="120">
        <v>0</v>
      </c>
      <c r="V7" s="120">
        <v>0</v>
      </c>
      <c r="W7" s="120">
        <v>0</v>
      </c>
      <c r="X7" s="120">
        <v>0</v>
      </c>
      <c r="Y7" s="120">
        <v>0</v>
      </c>
      <c r="Z7" s="120">
        <v>0</v>
      </c>
      <c r="AA7" s="120">
        <v>0</v>
      </c>
      <c r="AB7" s="120">
        <v>0</v>
      </c>
      <c r="AC7" s="120">
        <v>0</v>
      </c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120">
        <v>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20">
        <v>0</v>
      </c>
      <c r="AT7" s="120">
        <v>0</v>
      </c>
      <c r="AU7" s="120">
        <v>0</v>
      </c>
      <c r="AV7" s="120">
        <v>0</v>
      </c>
      <c r="AW7" s="120">
        <v>0</v>
      </c>
      <c r="AX7" s="120">
        <v>0</v>
      </c>
      <c r="AY7" s="120">
        <v>0</v>
      </c>
      <c r="AZ7" s="120">
        <v>0</v>
      </c>
      <c r="BA7" s="120">
        <v>0</v>
      </c>
      <c r="BB7" s="120">
        <v>0</v>
      </c>
      <c r="BC7" s="120">
        <v>343.26292086057691</v>
      </c>
      <c r="BD7" s="120">
        <v>0</v>
      </c>
      <c r="BE7" s="120">
        <v>0</v>
      </c>
      <c r="BF7" s="120">
        <v>0</v>
      </c>
      <c r="BG7" s="120">
        <v>0</v>
      </c>
      <c r="BH7" s="120">
        <v>0</v>
      </c>
      <c r="BI7" s="120">
        <v>0</v>
      </c>
      <c r="BJ7" s="120">
        <v>0</v>
      </c>
      <c r="BK7" s="120">
        <v>0</v>
      </c>
      <c r="BL7" s="120">
        <v>0</v>
      </c>
      <c r="BM7" s="120">
        <v>0</v>
      </c>
      <c r="BN7" s="120">
        <v>0</v>
      </c>
      <c r="BO7" s="120">
        <v>0</v>
      </c>
      <c r="BP7" s="120">
        <v>0</v>
      </c>
      <c r="BQ7" s="120">
        <v>0</v>
      </c>
      <c r="BR7" s="120">
        <v>0</v>
      </c>
      <c r="BS7" s="120">
        <v>0</v>
      </c>
      <c r="BT7" s="120">
        <v>0</v>
      </c>
      <c r="BU7" s="120">
        <v>0</v>
      </c>
      <c r="BV7" s="120">
        <v>0</v>
      </c>
      <c r="BW7" s="120">
        <v>0</v>
      </c>
      <c r="BX7" s="120">
        <v>0</v>
      </c>
      <c r="BY7" s="120">
        <v>0</v>
      </c>
      <c r="BZ7" s="120">
        <v>0</v>
      </c>
      <c r="CA7" s="120">
        <v>0</v>
      </c>
      <c r="CB7" s="120">
        <v>0</v>
      </c>
      <c r="CC7" s="120">
        <v>0</v>
      </c>
      <c r="CD7" s="120">
        <v>0</v>
      </c>
      <c r="CE7" s="120">
        <v>0</v>
      </c>
      <c r="CF7" s="120">
        <v>0</v>
      </c>
      <c r="CG7" s="120">
        <v>0</v>
      </c>
      <c r="CH7" s="120">
        <v>0</v>
      </c>
      <c r="CI7" s="120">
        <v>0</v>
      </c>
      <c r="CJ7" s="120">
        <v>0</v>
      </c>
      <c r="CK7" s="120">
        <v>0</v>
      </c>
      <c r="CL7" s="120">
        <v>0</v>
      </c>
      <c r="CM7" s="120">
        <v>0</v>
      </c>
      <c r="CN7" s="120">
        <v>0</v>
      </c>
      <c r="CO7" s="120">
        <v>0</v>
      </c>
      <c r="CP7" s="120">
        <v>0</v>
      </c>
      <c r="CQ7" s="120">
        <v>0</v>
      </c>
      <c r="CR7" s="120">
        <v>0</v>
      </c>
      <c r="CS7" s="120">
        <v>0</v>
      </c>
      <c r="CT7" s="120">
        <v>0</v>
      </c>
      <c r="CU7" s="120">
        <v>0</v>
      </c>
      <c r="CV7" s="120">
        <v>0</v>
      </c>
      <c r="CW7" s="120">
        <v>0</v>
      </c>
      <c r="CX7" s="120">
        <v>0</v>
      </c>
      <c r="CY7" s="120">
        <v>0</v>
      </c>
      <c r="CZ7" s="120">
        <v>0</v>
      </c>
      <c r="DA7" s="120">
        <v>0</v>
      </c>
      <c r="DB7" s="120">
        <v>0</v>
      </c>
      <c r="DC7" s="120">
        <v>0</v>
      </c>
      <c r="DD7" s="120">
        <v>0</v>
      </c>
      <c r="DE7" s="120">
        <v>0</v>
      </c>
      <c r="DF7" s="120">
        <v>0</v>
      </c>
      <c r="DG7" s="120">
        <v>0</v>
      </c>
      <c r="DH7" s="120">
        <v>0</v>
      </c>
      <c r="DI7" s="120">
        <v>0</v>
      </c>
      <c r="DJ7" s="120">
        <v>0</v>
      </c>
      <c r="DK7" s="120">
        <v>0</v>
      </c>
      <c r="DL7" s="120">
        <v>0</v>
      </c>
      <c r="DM7" s="120">
        <v>0</v>
      </c>
      <c r="DN7" s="120">
        <v>0</v>
      </c>
      <c r="DO7" s="120">
        <v>0</v>
      </c>
      <c r="DP7" s="120">
        <v>73.028429179174182</v>
      </c>
      <c r="DQ7" s="120">
        <v>0</v>
      </c>
      <c r="DR7" s="120">
        <v>-150.2195365012447</v>
      </c>
      <c r="DS7" s="120">
        <v>0</v>
      </c>
      <c r="DT7" s="120">
        <v>0</v>
      </c>
      <c r="DU7" s="120">
        <v>0</v>
      </c>
      <c r="DV7" s="120">
        <v>0</v>
      </c>
      <c r="DW7" s="120">
        <v>0</v>
      </c>
      <c r="DX7" s="120">
        <v>0</v>
      </c>
      <c r="DY7" s="120">
        <v>0</v>
      </c>
      <c r="DZ7" s="120">
        <v>0</v>
      </c>
      <c r="EA7" s="120">
        <v>0</v>
      </c>
      <c r="EB7" s="120">
        <v>0</v>
      </c>
      <c r="EC7" s="120">
        <v>0</v>
      </c>
      <c r="ED7" s="120">
        <f t="shared" si="0"/>
        <v>266.07181353850638</v>
      </c>
    </row>
    <row r="8" spans="1:134">
      <c r="A8" s="120">
        <v>7</v>
      </c>
      <c r="B8" s="120">
        <v>0</v>
      </c>
      <c r="C8" s="120">
        <v>0</v>
      </c>
      <c r="D8" s="120">
        <v>0</v>
      </c>
      <c r="E8" s="120">
        <v>0</v>
      </c>
      <c r="F8" s="120">
        <v>0</v>
      </c>
      <c r="G8" s="120">
        <v>0</v>
      </c>
      <c r="H8" s="120">
        <v>0</v>
      </c>
      <c r="I8" s="120">
        <v>0</v>
      </c>
      <c r="J8" s="120">
        <v>0</v>
      </c>
      <c r="K8" s="120">
        <v>0</v>
      </c>
      <c r="L8" s="120">
        <v>0</v>
      </c>
      <c r="M8" s="120">
        <v>0</v>
      </c>
      <c r="N8" s="120">
        <v>0</v>
      </c>
      <c r="O8" s="120">
        <v>0</v>
      </c>
      <c r="P8" s="120">
        <v>0</v>
      </c>
      <c r="Q8" s="120">
        <v>0</v>
      </c>
      <c r="R8" s="120">
        <v>0</v>
      </c>
      <c r="S8" s="120">
        <v>0</v>
      </c>
      <c r="T8" s="120">
        <v>0</v>
      </c>
      <c r="U8" s="120">
        <v>0</v>
      </c>
      <c r="V8" s="120">
        <v>0</v>
      </c>
      <c r="W8" s="120">
        <v>0</v>
      </c>
      <c r="X8" s="120">
        <v>0</v>
      </c>
      <c r="Y8" s="120">
        <v>0</v>
      </c>
      <c r="Z8" s="120">
        <v>0</v>
      </c>
      <c r="AA8" s="120">
        <v>0</v>
      </c>
      <c r="AB8" s="120">
        <v>0</v>
      </c>
      <c r="AC8" s="120">
        <v>0</v>
      </c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20">
        <v>0</v>
      </c>
      <c r="AT8" s="120">
        <v>0</v>
      </c>
      <c r="AU8" s="120">
        <v>0</v>
      </c>
      <c r="AV8" s="120">
        <v>0</v>
      </c>
      <c r="AW8" s="120">
        <v>0</v>
      </c>
      <c r="AX8" s="120">
        <v>0</v>
      </c>
      <c r="AY8" s="120">
        <v>0</v>
      </c>
      <c r="AZ8" s="120">
        <v>0</v>
      </c>
      <c r="BA8" s="120">
        <v>0</v>
      </c>
      <c r="BB8" s="120">
        <v>0</v>
      </c>
      <c r="BC8" s="120">
        <v>0</v>
      </c>
      <c r="BD8" s="120">
        <v>0</v>
      </c>
      <c r="BE8" s="120">
        <v>0</v>
      </c>
      <c r="BF8" s="120">
        <v>0</v>
      </c>
      <c r="BG8" s="120">
        <v>0</v>
      </c>
      <c r="BH8" s="120">
        <v>0</v>
      </c>
      <c r="BI8" s="120">
        <v>0</v>
      </c>
      <c r="BJ8" s="120">
        <v>0</v>
      </c>
      <c r="BK8" s="120">
        <v>0</v>
      </c>
      <c r="BL8" s="120">
        <v>0</v>
      </c>
      <c r="BM8" s="120">
        <v>0</v>
      </c>
      <c r="BN8" s="120">
        <v>0</v>
      </c>
      <c r="BO8" s="120">
        <v>0</v>
      </c>
      <c r="BP8" s="120">
        <v>0</v>
      </c>
      <c r="BQ8" s="120">
        <v>0</v>
      </c>
      <c r="BR8" s="120">
        <v>0</v>
      </c>
      <c r="BS8" s="120">
        <v>0</v>
      </c>
      <c r="BT8" s="120">
        <v>0</v>
      </c>
      <c r="BU8" s="120">
        <v>0</v>
      </c>
      <c r="BV8" s="120">
        <v>0</v>
      </c>
      <c r="BW8" s="120">
        <v>0</v>
      </c>
      <c r="BX8" s="120">
        <v>0</v>
      </c>
      <c r="BY8" s="120">
        <v>0</v>
      </c>
      <c r="BZ8" s="120">
        <v>0</v>
      </c>
      <c r="CA8" s="120">
        <v>0</v>
      </c>
      <c r="CB8" s="120">
        <v>0</v>
      </c>
      <c r="CC8" s="120">
        <v>0</v>
      </c>
      <c r="CD8" s="120">
        <v>0</v>
      </c>
      <c r="CE8" s="120">
        <v>0</v>
      </c>
      <c r="CF8" s="120">
        <v>0</v>
      </c>
      <c r="CG8" s="120">
        <v>0</v>
      </c>
      <c r="CH8" s="120">
        <v>0</v>
      </c>
      <c r="CI8" s="120">
        <v>0</v>
      </c>
      <c r="CJ8" s="120">
        <v>0</v>
      </c>
      <c r="CK8" s="120">
        <v>0</v>
      </c>
      <c r="CL8" s="120">
        <v>0</v>
      </c>
      <c r="CM8" s="120">
        <v>0</v>
      </c>
      <c r="CN8" s="120">
        <v>0</v>
      </c>
      <c r="CO8" s="120">
        <v>0</v>
      </c>
      <c r="CP8" s="120">
        <v>0</v>
      </c>
      <c r="CQ8" s="120">
        <v>0</v>
      </c>
      <c r="CR8" s="120">
        <v>0</v>
      </c>
      <c r="CS8" s="120">
        <v>0</v>
      </c>
      <c r="CT8" s="120">
        <v>0</v>
      </c>
      <c r="CU8" s="120">
        <v>0</v>
      </c>
      <c r="CV8" s="120">
        <v>0</v>
      </c>
      <c r="CW8" s="120">
        <v>0</v>
      </c>
      <c r="CX8" s="120">
        <v>0</v>
      </c>
      <c r="CY8" s="120">
        <v>0</v>
      </c>
      <c r="CZ8" s="120">
        <v>0</v>
      </c>
      <c r="DA8" s="120">
        <v>0</v>
      </c>
      <c r="DB8" s="120">
        <v>0</v>
      </c>
      <c r="DC8" s="120">
        <v>0</v>
      </c>
      <c r="DD8" s="120">
        <v>0</v>
      </c>
      <c r="DE8" s="120">
        <v>0</v>
      </c>
      <c r="DF8" s="120">
        <v>0</v>
      </c>
      <c r="DG8" s="120">
        <v>0</v>
      </c>
      <c r="DH8" s="120">
        <v>0</v>
      </c>
      <c r="DI8" s="120">
        <v>0</v>
      </c>
      <c r="DJ8" s="120">
        <v>0</v>
      </c>
      <c r="DK8" s="120">
        <v>0</v>
      </c>
      <c r="DL8" s="120">
        <v>0</v>
      </c>
      <c r="DM8" s="120">
        <v>0</v>
      </c>
      <c r="DN8" s="120">
        <v>3454.0536088896802</v>
      </c>
      <c r="DO8" s="120">
        <v>-239.1605723875758</v>
      </c>
      <c r="DP8" s="120">
        <v>163850.51352209391</v>
      </c>
      <c r="DQ8" s="120">
        <v>-22863.011620010209</v>
      </c>
      <c r="DR8" s="120">
        <v>-204128.93530514621</v>
      </c>
      <c r="DS8" s="120">
        <v>-2136.2136574812812</v>
      </c>
      <c r="DT8" s="120">
        <v>-136.61293933194759</v>
      </c>
      <c r="DU8" s="120">
        <v>0</v>
      </c>
      <c r="DV8" s="120">
        <v>0</v>
      </c>
      <c r="DW8" s="120">
        <v>0</v>
      </c>
      <c r="DX8" s="120">
        <v>0</v>
      </c>
      <c r="DY8" s="120">
        <v>0</v>
      </c>
      <c r="DZ8" s="120">
        <v>0</v>
      </c>
      <c r="EA8" s="120">
        <v>0</v>
      </c>
      <c r="EB8" s="120">
        <v>0</v>
      </c>
      <c r="EC8" s="120">
        <v>0</v>
      </c>
      <c r="ED8" s="120">
        <f t="shared" si="0"/>
        <v>-62199.366963373657</v>
      </c>
    </row>
    <row r="9" spans="1:134">
      <c r="A9" s="120">
        <v>8</v>
      </c>
      <c r="B9" s="120">
        <v>0</v>
      </c>
      <c r="C9" s="120">
        <v>0</v>
      </c>
      <c r="D9" s="120">
        <v>0</v>
      </c>
      <c r="E9" s="120">
        <v>0</v>
      </c>
      <c r="F9" s="120">
        <v>0</v>
      </c>
      <c r="G9" s="120">
        <v>0</v>
      </c>
      <c r="H9" s="120">
        <v>0</v>
      </c>
      <c r="I9" s="120">
        <v>0</v>
      </c>
      <c r="J9" s="120">
        <v>0</v>
      </c>
      <c r="K9" s="120">
        <v>0</v>
      </c>
      <c r="L9" s="120">
        <v>0</v>
      </c>
      <c r="M9" s="120">
        <v>0</v>
      </c>
      <c r="N9" s="120">
        <v>0</v>
      </c>
      <c r="O9" s="120">
        <v>0</v>
      </c>
      <c r="P9" s="120">
        <v>0</v>
      </c>
      <c r="Q9" s="120">
        <v>0</v>
      </c>
      <c r="R9" s="120">
        <v>0</v>
      </c>
      <c r="S9" s="120">
        <v>0</v>
      </c>
      <c r="T9" s="120">
        <v>0</v>
      </c>
      <c r="U9" s="120">
        <v>0</v>
      </c>
      <c r="V9" s="120">
        <v>0</v>
      </c>
      <c r="W9" s="120">
        <v>0</v>
      </c>
      <c r="X9" s="120">
        <v>0</v>
      </c>
      <c r="Y9" s="120">
        <v>0</v>
      </c>
      <c r="Z9" s="120">
        <v>0</v>
      </c>
      <c r="AA9" s="120">
        <v>128.54197981533181</v>
      </c>
      <c r="AB9" s="120">
        <v>0</v>
      </c>
      <c r="AC9" s="120">
        <v>0</v>
      </c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20">
        <v>0</v>
      </c>
      <c r="AT9" s="120">
        <v>0</v>
      </c>
      <c r="AU9" s="120">
        <v>0</v>
      </c>
      <c r="AV9" s="120">
        <v>0</v>
      </c>
      <c r="AW9" s="120">
        <v>0</v>
      </c>
      <c r="AX9" s="120">
        <v>0</v>
      </c>
      <c r="AY9" s="120">
        <v>0</v>
      </c>
      <c r="AZ9" s="120">
        <v>0</v>
      </c>
      <c r="BA9" s="120">
        <v>0</v>
      </c>
      <c r="BB9" s="120">
        <v>0</v>
      </c>
      <c r="BC9" s="120">
        <v>0</v>
      </c>
      <c r="BD9" s="120">
        <v>0</v>
      </c>
      <c r="BE9" s="120">
        <v>0</v>
      </c>
      <c r="BF9" s="120">
        <v>0</v>
      </c>
      <c r="BG9" s="120">
        <v>0</v>
      </c>
      <c r="BH9" s="120">
        <v>0</v>
      </c>
      <c r="BI9" s="120">
        <v>0</v>
      </c>
      <c r="BJ9" s="120">
        <v>0</v>
      </c>
      <c r="BK9" s="120">
        <v>0</v>
      </c>
      <c r="BL9" s="120">
        <v>0</v>
      </c>
      <c r="BM9" s="120">
        <v>0</v>
      </c>
      <c r="BN9" s="120">
        <v>0</v>
      </c>
      <c r="BO9" s="120">
        <v>0</v>
      </c>
      <c r="BP9" s="120">
        <v>0</v>
      </c>
      <c r="BQ9" s="120">
        <v>0</v>
      </c>
      <c r="BR9" s="120">
        <v>0</v>
      </c>
      <c r="BS9" s="120">
        <v>0</v>
      </c>
      <c r="BT9" s="120">
        <v>0</v>
      </c>
      <c r="BU9" s="120">
        <v>0</v>
      </c>
      <c r="BV9" s="120">
        <v>0</v>
      </c>
      <c r="BW9" s="120">
        <v>0</v>
      </c>
      <c r="BX9" s="120">
        <v>0</v>
      </c>
      <c r="BY9" s="120">
        <v>0</v>
      </c>
      <c r="BZ9" s="120">
        <v>-29.214086321666311</v>
      </c>
      <c r="CA9" s="120">
        <v>-2.5040645418571121</v>
      </c>
      <c r="CB9" s="120">
        <v>-28.379398141047272</v>
      </c>
      <c r="CC9" s="120">
        <v>0</v>
      </c>
      <c r="CD9" s="120">
        <v>0</v>
      </c>
      <c r="CE9" s="120">
        <v>0</v>
      </c>
      <c r="CF9" s="120">
        <v>0</v>
      </c>
      <c r="CG9" s="120">
        <v>0</v>
      </c>
      <c r="CH9" s="120">
        <v>0</v>
      </c>
      <c r="CI9" s="120">
        <v>0</v>
      </c>
      <c r="CJ9" s="120">
        <v>0</v>
      </c>
      <c r="CK9" s="120">
        <v>0</v>
      </c>
      <c r="CL9" s="120">
        <v>0</v>
      </c>
      <c r="CM9" s="120">
        <v>0</v>
      </c>
      <c r="CN9" s="120">
        <v>0</v>
      </c>
      <c r="CO9" s="120">
        <v>0</v>
      </c>
      <c r="CP9" s="120">
        <v>0</v>
      </c>
      <c r="CQ9" s="120">
        <v>0</v>
      </c>
      <c r="CR9" s="120">
        <v>0</v>
      </c>
      <c r="CS9" s="120">
        <v>0</v>
      </c>
      <c r="CT9" s="120">
        <v>0</v>
      </c>
      <c r="CU9" s="120">
        <v>0</v>
      </c>
      <c r="CV9" s="120">
        <v>0</v>
      </c>
      <c r="CW9" s="120">
        <v>0</v>
      </c>
      <c r="CX9" s="120">
        <v>0</v>
      </c>
      <c r="CY9" s="120">
        <v>0</v>
      </c>
      <c r="CZ9" s="120">
        <v>0</v>
      </c>
      <c r="DA9" s="120">
        <v>0</v>
      </c>
      <c r="DB9" s="120">
        <v>0</v>
      </c>
      <c r="DC9" s="120">
        <v>0</v>
      </c>
      <c r="DD9" s="120">
        <v>0</v>
      </c>
      <c r="DE9" s="120">
        <v>0</v>
      </c>
      <c r="DF9" s="120">
        <v>0</v>
      </c>
      <c r="DG9" s="120">
        <v>0</v>
      </c>
      <c r="DH9" s="120">
        <v>0</v>
      </c>
      <c r="DI9" s="120">
        <v>0</v>
      </c>
      <c r="DJ9" s="120">
        <v>0</v>
      </c>
      <c r="DK9" s="120">
        <v>0</v>
      </c>
      <c r="DL9" s="120">
        <v>0</v>
      </c>
      <c r="DM9" s="120">
        <v>0</v>
      </c>
      <c r="DN9" s="120">
        <v>978.24872652865838</v>
      </c>
      <c r="DO9" s="120">
        <v>-183.36244087436589</v>
      </c>
      <c r="DP9" s="120">
        <v>12751.252509778091</v>
      </c>
      <c r="DQ9" s="120">
        <v>-4857.072735952017</v>
      </c>
      <c r="DR9" s="120">
        <v>-757.14109135781439</v>
      </c>
      <c r="DS9" s="120">
        <v>-5.949703258589726</v>
      </c>
      <c r="DT9" s="120">
        <v>-3.468751111381754E-3</v>
      </c>
      <c r="DU9" s="120">
        <v>0</v>
      </c>
      <c r="DV9" s="120">
        <v>0</v>
      </c>
      <c r="DW9" s="120">
        <v>0</v>
      </c>
      <c r="DX9" s="120">
        <v>0</v>
      </c>
      <c r="DY9" s="120">
        <v>0</v>
      </c>
      <c r="DZ9" s="120">
        <v>0</v>
      </c>
      <c r="EA9" s="120">
        <v>0</v>
      </c>
      <c r="EB9" s="120">
        <v>0</v>
      </c>
      <c r="EC9" s="120">
        <v>0</v>
      </c>
      <c r="ED9" s="120">
        <f t="shared" si="0"/>
        <v>7994.4162269236122</v>
      </c>
    </row>
    <row r="10" spans="1:134">
      <c r="A10" s="120">
        <v>9</v>
      </c>
      <c r="B10" s="120">
        <v>0</v>
      </c>
      <c r="C10" s="120">
        <v>0</v>
      </c>
      <c r="D10" s="120">
        <v>0</v>
      </c>
      <c r="E10" s="120">
        <v>0</v>
      </c>
      <c r="F10" s="120">
        <v>0</v>
      </c>
      <c r="G10" s="120">
        <v>0</v>
      </c>
      <c r="H10" s="120">
        <v>0</v>
      </c>
      <c r="I10" s="120">
        <v>0</v>
      </c>
      <c r="J10" s="120">
        <v>0</v>
      </c>
      <c r="K10" s="120">
        <v>0</v>
      </c>
      <c r="L10" s="120">
        <v>0</v>
      </c>
      <c r="M10" s="120">
        <v>0</v>
      </c>
      <c r="N10" s="120">
        <v>0</v>
      </c>
      <c r="O10" s="120">
        <v>0</v>
      </c>
      <c r="P10" s="120">
        <v>0</v>
      </c>
      <c r="Q10" s="120">
        <v>0</v>
      </c>
      <c r="R10" s="120">
        <v>0</v>
      </c>
      <c r="S10" s="120">
        <v>0</v>
      </c>
      <c r="T10" s="120">
        <v>0</v>
      </c>
      <c r="U10" s="120">
        <v>0</v>
      </c>
      <c r="V10" s="120">
        <v>0</v>
      </c>
      <c r="W10" s="120">
        <v>0</v>
      </c>
      <c r="X10" s="120">
        <v>0</v>
      </c>
      <c r="Y10" s="120">
        <v>0</v>
      </c>
      <c r="Z10" s="120">
        <v>0</v>
      </c>
      <c r="AA10" s="120">
        <v>0</v>
      </c>
      <c r="AB10" s="120">
        <v>0</v>
      </c>
      <c r="AC10" s="120">
        <v>0</v>
      </c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20">
        <v>0</v>
      </c>
      <c r="AT10" s="120">
        <v>0</v>
      </c>
      <c r="AU10" s="120">
        <v>0</v>
      </c>
      <c r="AV10" s="120">
        <v>0</v>
      </c>
      <c r="AW10" s="120">
        <v>0</v>
      </c>
      <c r="AX10" s="120">
        <v>0</v>
      </c>
      <c r="AY10" s="120">
        <v>0</v>
      </c>
      <c r="AZ10" s="120">
        <v>0</v>
      </c>
      <c r="BA10" s="120">
        <v>0</v>
      </c>
      <c r="BB10" s="120">
        <v>0</v>
      </c>
      <c r="BC10" s="120">
        <v>0</v>
      </c>
      <c r="BD10" s="120">
        <v>0</v>
      </c>
      <c r="BE10" s="120">
        <v>0</v>
      </c>
      <c r="BF10" s="120">
        <v>0</v>
      </c>
      <c r="BG10" s="120">
        <v>0</v>
      </c>
      <c r="BH10" s="120">
        <v>0</v>
      </c>
      <c r="BI10" s="120">
        <v>0</v>
      </c>
      <c r="BJ10" s="120">
        <v>0</v>
      </c>
      <c r="BK10" s="120">
        <v>0</v>
      </c>
      <c r="BL10" s="120">
        <v>0</v>
      </c>
      <c r="BM10" s="120">
        <v>0</v>
      </c>
      <c r="BN10" s="120">
        <v>0</v>
      </c>
      <c r="BO10" s="120">
        <v>0</v>
      </c>
      <c r="BP10" s="120">
        <v>0</v>
      </c>
      <c r="BQ10" s="120">
        <v>0</v>
      </c>
      <c r="BR10" s="120">
        <v>0</v>
      </c>
      <c r="BS10" s="120">
        <v>0</v>
      </c>
      <c r="BT10" s="120">
        <v>0</v>
      </c>
      <c r="BU10" s="120">
        <v>0</v>
      </c>
      <c r="BV10" s="120">
        <v>0</v>
      </c>
      <c r="BW10" s="120">
        <v>0</v>
      </c>
      <c r="BX10" s="120">
        <v>0</v>
      </c>
      <c r="BY10" s="120">
        <v>0</v>
      </c>
      <c r="BZ10" s="120">
        <v>0</v>
      </c>
      <c r="CA10" s="120">
        <v>0</v>
      </c>
      <c r="CB10" s="120">
        <v>0</v>
      </c>
      <c r="CC10" s="120">
        <v>0</v>
      </c>
      <c r="CD10" s="120">
        <v>0</v>
      </c>
      <c r="CE10" s="120">
        <v>0</v>
      </c>
      <c r="CF10" s="120">
        <v>0</v>
      </c>
      <c r="CG10" s="120">
        <v>0</v>
      </c>
      <c r="CH10" s="120">
        <v>0</v>
      </c>
      <c r="CI10" s="120">
        <v>103.8402586566541</v>
      </c>
      <c r="CJ10" s="120">
        <v>0</v>
      </c>
      <c r="CK10" s="120">
        <v>0</v>
      </c>
      <c r="CL10" s="120">
        <v>0</v>
      </c>
      <c r="CM10" s="120">
        <v>0</v>
      </c>
      <c r="CN10" s="120">
        <v>0</v>
      </c>
      <c r="CO10" s="120">
        <v>0</v>
      </c>
      <c r="CP10" s="120">
        <v>0</v>
      </c>
      <c r="CQ10" s="120">
        <v>0</v>
      </c>
      <c r="CR10" s="120">
        <v>0</v>
      </c>
      <c r="CS10" s="120">
        <v>0</v>
      </c>
      <c r="CT10" s="120">
        <v>0</v>
      </c>
      <c r="CU10" s="120">
        <v>0</v>
      </c>
      <c r="CV10" s="120">
        <v>0</v>
      </c>
      <c r="CW10" s="120">
        <v>0</v>
      </c>
      <c r="CX10" s="120">
        <v>0</v>
      </c>
      <c r="CY10" s="120">
        <v>0</v>
      </c>
      <c r="CZ10" s="120">
        <v>0</v>
      </c>
      <c r="DA10" s="120">
        <v>0</v>
      </c>
      <c r="DB10" s="120">
        <v>0</v>
      </c>
      <c r="DC10" s="120">
        <v>0</v>
      </c>
      <c r="DD10" s="120">
        <v>0</v>
      </c>
      <c r="DE10" s="120">
        <v>-15.621985815602841</v>
      </c>
      <c r="DF10" s="120">
        <v>-2.7568210262828532</v>
      </c>
      <c r="DG10" s="120">
        <v>0</v>
      </c>
      <c r="DH10" s="120">
        <v>0</v>
      </c>
      <c r="DI10" s="120">
        <v>0</v>
      </c>
      <c r="DJ10" s="120">
        <v>0</v>
      </c>
      <c r="DK10" s="120">
        <v>0</v>
      </c>
      <c r="DL10" s="120">
        <v>0</v>
      </c>
      <c r="DM10" s="120">
        <v>0</v>
      </c>
      <c r="DN10" s="120">
        <v>80.964271734880469</v>
      </c>
      <c r="DO10" s="120">
        <v>9.7533213231045703</v>
      </c>
      <c r="DP10" s="120">
        <v>14356.668594212841</v>
      </c>
      <c r="DQ10" s="120">
        <v>-983.47321373061811</v>
      </c>
      <c r="DR10" s="120">
        <v>-2679.8068317758912</v>
      </c>
      <c r="DS10" s="120">
        <v>-27.687341940802241</v>
      </c>
      <c r="DT10" s="120">
        <v>-0.8579938015502192</v>
      </c>
      <c r="DU10" s="120">
        <v>0</v>
      </c>
      <c r="DV10" s="120">
        <v>0</v>
      </c>
      <c r="DW10" s="120">
        <v>0</v>
      </c>
      <c r="DX10" s="120">
        <v>0</v>
      </c>
      <c r="DY10" s="120">
        <v>0</v>
      </c>
      <c r="DZ10" s="120">
        <v>0</v>
      </c>
      <c r="EA10" s="120">
        <v>0</v>
      </c>
      <c r="EB10" s="120">
        <v>0</v>
      </c>
      <c r="EC10" s="120">
        <v>0</v>
      </c>
      <c r="ED10" s="120">
        <f t="shared" si="0"/>
        <v>10841.022257836732</v>
      </c>
    </row>
    <row r="11" spans="1:134">
      <c r="A11" s="120">
        <v>10</v>
      </c>
      <c r="B11" s="120">
        <v>0</v>
      </c>
      <c r="C11" s="120">
        <v>0</v>
      </c>
      <c r="D11" s="120">
        <v>0</v>
      </c>
      <c r="E11" s="120">
        <v>0</v>
      </c>
      <c r="F11" s="120">
        <v>0</v>
      </c>
      <c r="G11" s="120">
        <v>0</v>
      </c>
      <c r="H11" s="120">
        <v>0</v>
      </c>
      <c r="I11" s="120">
        <v>0</v>
      </c>
      <c r="J11" s="120">
        <v>0</v>
      </c>
      <c r="K11" s="120">
        <v>0</v>
      </c>
      <c r="L11" s="120">
        <v>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120">
        <v>25.892089925344969</v>
      </c>
      <c r="T11" s="120">
        <v>0</v>
      </c>
      <c r="U11" s="120">
        <v>0</v>
      </c>
      <c r="V11" s="120">
        <v>0</v>
      </c>
      <c r="W11" s="120">
        <v>0</v>
      </c>
      <c r="X11" s="120">
        <v>0</v>
      </c>
      <c r="Y11" s="120">
        <v>0</v>
      </c>
      <c r="Z11" s="120">
        <v>0</v>
      </c>
      <c r="AA11" s="120">
        <v>0</v>
      </c>
      <c r="AB11" s="120">
        <v>0</v>
      </c>
      <c r="AC11" s="120">
        <v>71.451517323447618</v>
      </c>
      <c r="AD11" s="120">
        <v>80.804974369999883</v>
      </c>
      <c r="AE11" s="120">
        <v>0</v>
      </c>
      <c r="AF11" s="120">
        <v>0</v>
      </c>
      <c r="AG11" s="120">
        <v>0</v>
      </c>
      <c r="AH11" s="120">
        <v>0</v>
      </c>
      <c r="AI11" s="120">
        <v>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20">
        <v>0</v>
      </c>
      <c r="AT11" s="120">
        <v>0</v>
      </c>
      <c r="AU11" s="120">
        <v>0</v>
      </c>
      <c r="AV11" s="120">
        <v>0</v>
      </c>
      <c r="AW11" s="120">
        <v>0</v>
      </c>
      <c r="AX11" s="120">
        <v>0</v>
      </c>
      <c r="AY11" s="120">
        <v>0</v>
      </c>
      <c r="AZ11" s="120">
        <v>0</v>
      </c>
      <c r="BA11" s="120">
        <v>0</v>
      </c>
      <c r="BB11" s="120">
        <v>0</v>
      </c>
      <c r="BC11" s="120">
        <v>0</v>
      </c>
      <c r="BD11" s="120">
        <v>0</v>
      </c>
      <c r="BE11" s="120">
        <v>0</v>
      </c>
      <c r="BF11" s="120">
        <v>0</v>
      </c>
      <c r="BG11" s="120">
        <v>0</v>
      </c>
      <c r="BH11" s="120">
        <v>0</v>
      </c>
      <c r="BI11" s="120">
        <v>0</v>
      </c>
      <c r="BJ11" s="120">
        <v>0</v>
      </c>
      <c r="BK11" s="120">
        <v>0</v>
      </c>
      <c r="BL11" s="120">
        <v>0</v>
      </c>
      <c r="BM11" s="120">
        <v>0</v>
      </c>
      <c r="BN11" s="120">
        <v>0</v>
      </c>
      <c r="BO11" s="120">
        <v>0</v>
      </c>
      <c r="BP11" s="120">
        <v>0</v>
      </c>
      <c r="BQ11" s="120">
        <v>0</v>
      </c>
      <c r="BR11" s="120">
        <v>0</v>
      </c>
      <c r="BS11" s="120">
        <v>0</v>
      </c>
      <c r="BT11" s="120">
        <v>0</v>
      </c>
      <c r="BU11" s="120">
        <v>0</v>
      </c>
      <c r="BV11" s="120">
        <v>0</v>
      </c>
      <c r="BW11" s="120">
        <v>0</v>
      </c>
      <c r="BX11" s="120">
        <v>0</v>
      </c>
      <c r="BY11" s="120">
        <v>0</v>
      </c>
      <c r="BZ11" s="120">
        <v>-39.821447655965379</v>
      </c>
      <c r="CA11" s="120">
        <v>-5.2396641652586018</v>
      </c>
      <c r="CB11" s="120">
        <v>-56.588372984792898</v>
      </c>
      <c r="CC11" s="120">
        <v>0</v>
      </c>
      <c r="CD11" s="120">
        <v>0</v>
      </c>
      <c r="CE11" s="120">
        <v>0</v>
      </c>
      <c r="CF11" s="120">
        <v>0</v>
      </c>
      <c r="CG11" s="120">
        <v>0</v>
      </c>
      <c r="CH11" s="120">
        <v>0</v>
      </c>
      <c r="CI11" s="120">
        <v>0</v>
      </c>
      <c r="CJ11" s="120">
        <v>0</v>
      </c>
      <c r="CK11" s="120">
        <v>0</v>
      </c>
      <c r="CL11" s="120">
        <v>0</v>
      </c>
      <c r="CM11" s="120">
        <v>0</v>
      </c>
      <c r="CN11" s="120">
        <v>0</v>
      </c>
      <c r="CO11" s="120">
        <v>0</v>
      </c>
      <c r="CP11" s="120">
        <v>0</v>
      </c>
      <c r="CQ11" s="120">
        <v>0</v>
      </c>
      <c r="CR11" s="120">
        <v>0</v>
      </c>
      <c r="CS11" s="120">
        <v>0</v>
      </c>
      <c r="CT11" s="120">
        <v>0</v>
      </c>
      <c r="CU11" s="120">
        <v>0</v>
      </c>
      <c r="CV11" s="120">
        <v>0</v>
      </c>
      <c r="CW11" s="120">
        <v>0</v>
      </c>
      <c r="CX11" s="120">
        <v>0</v>
      </c>
      <c r="CY11" s="120">
        <v>0</v>
      </c>
      <c r="CZ11" s="120">
        <v>0</v>
      </c>
      <c r="DA11" s="120">
        <v>0</v>
      </c>
      <c r="DB11" s="120">
        <v>0</v>
      </c>
      <c r="DC11" s="120">
        <v>0</v>
      </c>
      <c r="DD11" s="120">
        <v>0</v>
      </c>
      <c r="DE11" s="120">
        <v>0</v>
      </c>
      <c r="DF11" s="120">
        <v>0</v>
      </c>
      <c r="DG11" s="120">
        <v>0</v>
      </c>
      <c r="DH11" s="120">
        <v>0</v>
      </c>
      <c r="DI11" s="120">
        <v>0</v>
      </c>
      <c r="DJ11" s="120">
        <v>0</v>
      </c>
      <c r="DK11" s="120">
        <v>0</v>
      </c>
      <c r="DL11" s="120">
        <v>0</v>
      </c>
      <c r="DM11" s="120">
        <v>0</v>
      </c>
      <c r="DN11" s="120">
        <v>388.12769439916917</v>
      </c>
      <c r="DO11" s="120">
        <v>-65.152186438338518</v>
      </c>
      <c r="DP11" s="120">
        <v>2959.3277009709741</v>
      </c>
      <c r="DQ11" s="120">
        <v>-856.95605658738316</v>
      </c>
      <c r="DR11" s="120">
        <v>-2799.6326392777341</v>
      </c>
      <c r="DS11" s="120">
        <v>-143.1667729481494</v>
      </c>
      <c r="DT11" s="120">
        <v>-8.759166977757241</v>
      </c>
      <c r="DU11" s="120">
        <v>0</v>
      </c>
      <c r="DV11" s="120">
        <v>0</v>
      </c>
      <c r="DW11" s="120">
        <v>0</v>
      </c>
      <c r="DX11" s="120">
        <v>0</v>
      </c>
      <c r="DY11" s="120">
        <v>0</v>
      </c>
      <c r="DZ11" s="120">
        <v>0</v>
      </c>
      <c r="EA11" s="120">
        <v>0</v>
      </c>
      <c r="EB11" s="120">
        <v>0</v>
      </c>
      <c r="EC11" s="120">
        <v>0</v>
      </c>
      <c r="ED11" s="120">
        <f t="shared" si="0"/>
        <v>-449.71233004644353</v>
      </c>
    </row>
    <row r="12" spans="1:134">
      <c r="A12" s="120">
        <v>11</v>
      </c>
      <c r="B12" s="120">
        <v>0</v>
      </c>
      <c r="C12" s="120">
        <v>0</v>
      </c>
      <c r="D12" s="120">
        <v>0</v>
      </c>
      <c r="E12" s="120">
        <v>0</v>
      </c>
      <c r="F12" s="120">
        <v>0</v>
      </c>
      <c r="G12" s="120">
        <v>0</v>
      </c>
      <c r="H12" s="120">
        <v>0</v>
      </c>
      <c r="I12" s="120">
        <v>0</v>
      </c>
      <c r="J12" s="120">
        <v>0</v>
      </c>
      <c r="K12" s="120">
        <v>0</v>
      </c>
      <c r="L12" s="120">
        <v>0</v>
      </c>
      <c r="M12" s="120">
        <v>0</v>
      </c>
      <c r="N12" s="120">
        <v>0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120">
        <v>0</v>
      </c>
      <c r="W12" s="120">
        <v>0</v>
      </c>
      <c r="X12" s="120">
        <v>0</v>
      </c>
      <c r="Y12" s="120">
        <v>0</v>
      </c>
      <c r="Z12" s="120">
        <v>0</v>
      </c>
      <c r="AA12" s="120">
        <v>0</v>
      </c>
      <c r="AB12" s="120">
        <v>0</v>
      </c>
      <c r="AC12" s="120">
        <v>0</v>
      </c>
      <c r="AD12" s="120">
        <v>0</v>
      </c>
      <c r="AE12" s="120">
        <v>0</v>
      </c>
      <c r="AF12" s="120">
        <v>0</v>
      </c>
      <c r="AG12" s="120">
        <v>0</v>
      </c>
      <c r="AH12" s="120">
        <v>0</v>
      </c>
      <c r="AI12" s="120">
        <v>0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20">
        <v>0</v>
      </c>
      <c r="AT12" s="120">
        <v>0</v>
      </c>
      <c r="AU12" s="120">
        <v>0</v>
      </c>
      <c r="AV12" s="120">
        <v>0</v>
      </c>
      <c r="AW12" s="120">
        <v>0</v>
      </c>
      <c r="AX12" s="120">
        <v>0</v>
      </c>
      <c r="AY12" s="120">
        <v>0</v>
      </c>
      <c r="AZ12" s="120">
        <v>0</v>
      </c>
      <c r="BA12" s="120">
        <v>0</v>
      </c>
      <c r="BB12" s="120">
        <v>0</v>
      </c>
      <c r="BC12" s="120">
        <v>0</v>
      </c>
      <c r="BD12" s="120">
        <v>0</v>
      </c>
      <c r="BE12" s="120">
        <v>0</v>
      </c>
      <c r="BF12" s="120">
        <v>0</v>
      </c>
      <c r="BG12" s="120">
        <v>0</v>
      </c>
      <c r="BH12" s="120">
        <v>0</v>
      </c>
      <c r="BI12" s="120">
        <v>0</v>
      </c>
      <c r="BJ12" s="120">
        <v>0</v>
      </c>
      <c r="BK12" s="120">
        <v>0</v>
      </c>
      <c r="BL12" s="120">
        <v>0</v>
      </c>
      <c r="BM12" s="120">
        <v>0</v>
      </c>
      <c r="BN12" s="120">
        <v>0</v>
      </c>
      <c r="BO12" s="120">
        <v>0</v>
      </c>
      <c r="BP12" s="120">
        <v>0</v>
      </c>
      <c r="BQ12" s="120">
        <v>0</v>
      </c>
      <c r="BR12" s="120">
        <v>0</v>
      </c>
      <c r="BS12" s="120">
        <v>0</v>
      </c>
      <c r="BT12" s="120">
        <v>0</v>
      </c>
      <c r="BU12" s="120">
        <v>0</v>
      </c>
      <c r="BV12" s="120">
        <v>0</v>
      </c>
      <c r="BW12" s="120">
        <v>0</v>
      </c>
      <c r="BX12" s="120">
        <v>0</v>
      </c>
      <c r="BY12" s="120">
        <v>0</v>
      </c>
      <c r="BZ12" s="120">
        <v>0</v>
      </c>
      <c r="CA12" s="120">
        <v>0</v>
      </c>
      <c r="CB12" s="120">
        <v>0</v>
      </c>
      <c r="CC12" s="120">
        <v>0</v>
      </c>
      <c r="CD12" s="120">
        <v>0</v>
      </c>
      <c r="CE12" s="120">
        <v>0</v>
      </c>
      <c r="CF12" s="120">
        <v>0</v>
      </c>
      <c r="CG12" s="120">
        <v>0</v>
      </c>
      <c r="CH12" s="120">
        <v>0</v>
      </c>
      <c r="CI12" s="120">
        <v>0</v>
      </c>
      <c r="CJ12" s="120">
        <v>0</v>
      </c>
      <c r="CK12" s="120">
        <v>0</v>
      </c>
      <c r="CL12" s="120">
        <v>0</v>
      </c>
      <c r="CM12" s="120">
        <v>0</v>
      </c>
      <c r="CN12" s="120">
        <v>0</v>
      </c>
      <c r="CO12" s="120">
        <v>0</v>
      </c>
      <c r="CP12" s="120">
        <v>0</v>
      </c>
      <c r="CQ12" s="120">
        <v>0</v>
      </c>
      <c r="CR12" s="120">
        <v>0</v>
      </c>
      <c r="CS12" s="120">
        <v>0</v>
      </c>
      <c r="CT12" s="120">
        <v>0</v>
      </c>
      <c r="CU12" s="120">
        <v>0</v>
      </c>
      <c r="CV12" s="120">
        <v>0</v>
      </c>
      <c r="CW12" s="120">
        <v>0</v>
      </c>
      <c r="CX12" s="120">
        <v>0</v>
      </c>
      <c r="CY12" s="120">
        <v>3163.2737390480702</v>
      </c>
      <c r="CZ12" s="120">
        <v>0</v>
      </c>
      <c r="DA12" s="120">
        <v>0</v>
      </c>
      <c r="DB12" s="120">
        <v>0</v>
      </c>
      <c r="DC12" s="120">
        <v>0</v>
      </c>
      <c r="DD12" s="120">
        <v>0</v>
      </c>
      <c r="DE12" s="120">
        <v>0</v>
      </c>
      <c r="DF12" s="120">
        <v>0</v>
      </c>
      <c r="DG12" s="120">
        <v>0</v>
      </c>
      <c r="DH12" s="120">
        <v>0</v>
      </c>
      <c r="DI12" s="120">
        <v>0</v>
      </c>
      <c r="DJ12" s="120">
        <v>92657</v>
      </c>
      <c r="DK12" s="120">
        <v>0</v>
      </c>
      <c r="DL12" s="120">
        <v>0</v>
      </c>
      <c r="DM12" s="120">
        <v>0</v>
      </c>
      <c r="DN12" s="120">
        <v>369.32141812772562</v>
      </c>
      <c r="DO12" s="120">
        <v>0</v>
      </c>
      <c r="DP12" s="120">
        <v>2030.227523235721</v>
      </c>
      <c r="DQ12" s="120">
        <v>0</v>
      </c>
      <c r="DR12" s="120">
        <v>-1779.652821778418</v>
      </c>
      <c r="DS12" s="120">
        <v>0</v>
      </c>
      <c r="DT12" s="120">
        <v>0</v>
      </c>
      <c r="DU12" s="120">
        <v>0</v>
      </c>
      <c r="DV12" s="120">
        <v>0</v>
      </c>
      <c r="DW12" s="120">
        <v>0</v>
      </c>
      <c r="DX12" s="120">
        <v>0</v>
      </c>
      <c r="DY12" s="120">
        <v>0</v>
      </c>
      <c r="DZ12" s="120">
        <v>0</v>
      </c>
      <c r="EA12" s="120">
        <v>0</v>
      </c>
      <c r="EB12" s="120">
        <v>0</v>
      </c>
      <c r="EC12" s="120">
        <v>0</v>
      </c>
      <c r="ED12" s="120">
        <f t="shared" si="0"/>
        <v>96440.169858633104</v>
      </c>
    </row>
    <row r="13" spans="1:134">
      <c r="A13" s="120">
        <v>12</v>
      </c>
      <c r="B13" s="120">
        <v>0</v>
      </c>
      <c r="C13" s="120">
        <v>0</v>
      </c>
      <c r="D13" s="120">
        <v>0</v>
      </c>
      <c r="E13" s="120">
        <v>0</v>
      </c>
      <c r="F13" s="120">
        <v>0</v>
      </c>
      <c r="G13" s="120">
        <v>0</v>
      </c>
      <c r="H13" s="120">
        <v>0</v>
      </c>
      <c r="I13" s="120">
        <v>0</v>
      </c>
      <c r="J13" s="120">
        <v>0</v>
      </c>
      <c r="K13" s="120">
        <v>0</v>
      </c>
      <c r="L13" s="120">
        <v>0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120">
        <v>0</v>
      </c>
      <c r="X13" s="120">
        <v>0</v>
      </c>
      <c r="Y13" s="120">
        <v>0</v>
      </c>
      <c r="Z13" s="120">
        <v>0</v>
      </c>
      <c r="AA13" s="120">
        <v>0</v>
      </c>
      <c r="AB13" s="120">
        <v>0</v>
      </c>
      <c r="AC13" s="120">
        <v>0</v>
      </c>
      <c r="AD13" s="120">
        <v>0</v>
      </c>
      <c r="AE13" s="120">
        <v>0</v>
      </c>
      <c r="AF13" s="120">
        <v>0</v>
      </c>
      <c r="AG13" s="120">
        <v>0</v>
      </c>
      <c r="AH13" s="120">
        <v>0</v>
      </c>
      <c r="AI13" s="120">
        <v>0</v>
      </c>
      <c r="AJ13" s="120">
        <v>0</v>
      </c>
      <c r="AK13" s="120">
        <v>0</v>
      </c>
      <c r="AL13" s="120">
        <v>0</v>
      </c>
      <c r="AM13" s="120">
        <v>0</v>
      </c>
      <c r="AN13" s="120">
        <v>240222</v>
      </c>
      <c r="AO13" s="120">
        <v>0</v>
      </c>
      <c r="AP13" s="120">
        <v>0</v>
      </c>
      <c r="AQ13" s="120">
        <v>0</v>
      </c>
      <c r="AR13" s="120">
        <v>0</v>
      </c>
      <c r="AS13" s="120">
        <v>0</v>
      </c>
      <c r="AT13" s="120">
        <v>0</v>
      </c>
      <c r="AU13" s="120">
        <v>0</v>
      </c>
      <c r="AV13" s="120">
        <v>0</v>
      </c>
      <c r="AW13" s="120">
        <v>0</v>
      </c>
      <c r="AX13" s="120">
        <v>0</v>
      </c>
      <c r="AY13" s="120">
        <v>0</v>
      </c>
      <c r="AZ13" s="120">
        <v>0</v>
      </c>
      <c r="BA13" s="120">
        <v>0</v>
      </c>
      <c r="BB13" s="120">
        <v>0</v>
      </c>
      <c r="BC13" s="120">
        <v>0</v>
      </c>
      <c r="BD13" s="120">
        <v>0</v>
      </c>
      <c r="BE13" s="120">
        <v>0</v>
      </c>
      <c r="BF13" s="120">
        <v>0</v>
      </c>
      <c r="BG13" s="120">
        <v>0</v>
      </c>
      <c r="BH13" s="120">
        <v>0</v>
      </c>
      <c r="BI13" s="120">
        <v>0</v>
      </c>
      <c r="BJ13" s="120">
        <v>0</v>
      </c>
      <c r="BK13" s="120">
        <v>0</v>
      </c>
      <c r="BL13" s="120">
        <v>0</v>
      </c>
      <c r="BM13" s="120">
        <v>0</v>
      </c>
      <c r="BN13" s="120">
        <v>0</v>
      </c>
      <c r="BO13" s="120">
        <v>0</v>
      </c>
      <c r="BP13" s="120">
        <v>0</v>
      </c>
      <c r="BQ13" s="120">
        <v>0</v>
      </c>
      <c r="BR13" s="120">
        <v>0</v>
      </c>
      <c r="BS13" s="120">
        <v>0</v>
      </c>
      <c r="BT13" s="120">
        <v>0</v>
      </c>
      <c r="BU13" s="120">
        <v>0</v>
      </c>
      <c r="BV13" s="120">
        <v>0</v>
      </c>
      <c r="BW13" s="120">
        <v>0</v>
      </c>
      <c r="BX13" s="120">
        <v>0</v>
      </c>
      <c r="BY13" s="120">
        <v>0</v>
      </c>
      <c r="BZ13" s="120">
        <v>0</v>
      </c>
      <c r="CA13" s="120">
        <v>0</v>
      </c>
      <c r="CB13" s="120">
        <v>0</v>
      </c>
      <c r="CC13" s="120">
        <v>0</v>
      </c>
      <c r="CD13" s="120">
        <v>0</v>
      </c>
      <c r="CE13" s="120">
        <v>0</v>
      </c>
      <c r="CF13" s="120">
        <v>0</v>
      </c>
      <c r="CG13" s="120">
        <v>0</v>
      </c>
      <c r="CH13" s="120">
        <v>0</v>
      </c>
      <c r="CI13" s="120">
        <v>0</v>
      </c>
      <c r="CJ13" s="120">
        <v>0</v>
      </c>
      <c r="CK13" s="120">
        <v>0</v>
      </c>
      <c r="CL13" s="120">
        <v>0</v>
      </c>
      <c r="CM13" s="120">
        <v>0</v>
      </c>
      <c r="CN13" s="120">
        <v>0</v>
      </c>
      <c r="CO13" s="120">
        <v>0</v>
      </c>
      <c r="CP13" s="120">
        <v>0</v>
      </c>
      <c r="CQ13" s="120">
        <v>0</v>
      </c>
      <c r="CR13" s="120">
        <v>0</v>
      </c>
      <c r="CS13" s="120">
        <v>0</v>
      </c>
      <c r="CT13" s="120">
        <v>0</v>
      </c>
      <c r="CU13" s="120">
        <v>0</v>
      </c>
      <c r="CV13" s="120">
        <v>0</v>
      </c>
      <c r="CW13" s="120">
        <v>0</v>
      </c>
      <c r="CX13" s="120">
        <v>0</v>
      </c>
      <c r="CY13" s="120">
        <v>0</v>
      </c>
      <c r="CZ13" s="120">
        <v>0</v>
      </c>
      <c r="DA13" s="120">
        <v>0</v>
      </c>
      <c r="DB13" s="120">
        <v>0</v>
      </c>
      <c r="DC13" s="120">
        <v>0</v>
      </c>
      <c r="DD13" s="120">
        <v>0</v>
      </c>
      <c r="DE13" s="120">
        <v>0</v>
      </c>
      <c r="DF13" s="120">
        <v>0</v>
      </c>
      <c r="DG13" s="120">
        <v>0</v>
      </c>
      <c r="DH13" s="120">
        <v>0</v>
      </c>
      <c r="DI13" s="120">
        <v>0</v>
      </c>
      <c r="DJ13" s="120">
        <v>0</v>
      </c>
      <c r="DK13" s="120">
        <v>0</v>
      </c>
      <c r="DL13" s="120">
        <v>0</v>
      </c>
      <c r="DM13" s="120">
        <v>0</v>
      </c>
      <c r="DN13" s="120">
        <v>0</v>
      </c>
      <c r="DO13" s="120">
        <v>0</v>
      </c>
      <c r="DP13" s="120">
        <v>3235.1409783902559</v>
      </c>
      <c r="DQ13" s="120">
        <v>0</v>
      </c>
      <c r="DR13" s="120">
        <v>-4336.9797923128144</v>
      </c>
      <c r="DS13" s="120">
        <v>0</v>
      </c>
      <c r="DT13" s="120">
        <v>0</v>
      </c>
      <c r="DU13" s="120">
        <v>0</v>
      </c>
      <c r="DV13" s="120">
        <v>0</v>
      </c>
      <c r="DW13" s="120">
        <v>0</v>
      </c>
      <c r="DX13" s="120">
        <v>0</v>
      </c>
      <c r="DY13" s="120">
        <v>0</v>
      </c>
      <c r="DZ13" s="120">
        <v>0</v>
      </c>
      <c r="EA13" s="120">
        <v>0</v>
      </c>
      <c r="EB13" s="120">
        <v>0</v>
      </c>
      <c r="EC13" s="120">
        <v>0</v>
      </c>
      <c r="ED13" s="120">
        <f t="shared" si="0"/>
        <v>239120.16118607746</v>
      </c>
    </row>
    <row r="14" spans="1:134">
      <c r="A14" s="120">
        <v>13</v>
      </c>
      <c r="B14" s="120">
        <v>0</v>
      </c>
      <c r="C14" s="120">
        <v>0</v>
      </c>
      <c r="D14" s="120">
        <v>0</v>
      </c>
      <c r="E14" s="120">
        <v>0</v>
      </c>
      <c r="F14" s="120">
        <v>0</v>
      </c>
      <c r="G14" s="120">
        <v>0</v>
      </c>
      <c r="H14" s="120">
        <v>0</v>
      </c>
      <c r="I14" s="120">
        <v>0</v>
      </c>
      <c r="J14" s="120">
        <v>0</v>
      </c>
      <c r="K14" s="120">
        <v>0</v>
      </c>
      <c r="L14" s="120">
        <v>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120">
        <v>0</v>
      </c>
      <c r="T14" s="120">
        <v>0</v>
      </c>
      <c r="U14" s="120">
        <v>0</v>
      </c>
      <c r="V14" s="120">
        <v>0</v>
      </c>
      <c r="W14" s="120">
        <v>0</v>
      </c>
      <c r="X14" s="120">
        <v>0</v>
      </c>
      <c r="Y14" s="120">
        <v>0</v>
      </c>
      <c r="Z14" s="120">
        <v>0</v>
      </c>
      <c r="AA14" s="120">
        <v>0</v>
      </c>
      <c r="AB14" s="120">
        <v>0</v>
      </c>
      <c r="AC14" s="120">
        <v>0</v>
      </c>
      <c r="AD14" s="120">
        <v>0</v>
      </c>
      <c r="AE14" s="120">
        <v>0</v>
      </c>
      <c r="AF14" s="120">
        <v>0</v>
      </c>
      <c r="AG14" s="120">
        <v>0</v>
      </c>
      <c r="AH14" s="120">
        <v>0</v>
      </c>
      <c r="AI14" s="120">
        <v>0</v>
      </c>
      <c r="AJ14" s="120">
        <v>0</v>
      </c>
      <c r="AK14" s="120">
        <v>0</v>
      </c>
      <c r="AL14" s="120">
        <v>0</v>
      </c>
      <c r="AM14" s="120">
        <v>0</v>
      </c>
      <c r="AN14" s="120">
        <v>0</v>
      </c>
      <c r="AO14" s="120">
        <v>68804.540917005215</v>
      </c>
      <c r="AP14" s="120">
        <v>0</v>
      </c>
      <c r="AQ14" s="120">
        <v>0</v>
      </c>
      <c r="AR14" s="120">
        <v>0</v>
      </c>
      <c r="AS14" s="120">
        <v>0</v>
      </c>
      <c r="AT14" s="120">
        <v>0</v>
      </c>
      <c r="AU14" s="120">
        <v>0</v>
      </c>
      <c r="AV14" s="120">
        <v>0</v>
      </c>
      <c r="AW14" s="120">
        <v>0</v>
      </c>
      <c r="AX14" s="120">
        <v>0</v>
      </c>
      <c r="AY14" s="120">
        <v>0</v>
      </c>
      <c r="AZ14" s="120">
        <v>0</v>
      </c>
      <c r="BA14" s="120">
        <v>0</v>
      </c>
      <c r="BB14" s="120">
        <v>0</v>
      </c>
      <c r="BC14" s="120">
        <v>0</v>
      </c>
      <c r="BD14" s="120">
        <v>0</v>
      </c>
      <c r="BE14" s="120">
        <v>0</v>
      </c>
      <c r="BF14" s="120">
        <v>0</v>
      </c>
      <c r="BG14" s="120">
        <v>0</v>
      </c>
      <c r="BH14" s="120">
        <v>0</v>
      </c>
      <c r="BI14" s="120">
        <v>0</v>
      </c>
      <c r="BJ14" s="120">
        <v>0</v>
      </c>
      <c r="BK14" s="120">
        <v>0</v>
      </c>
      <c r="BL14" s="120">
        <v>0</v>
      </c>
      <c r="BM14" s="120">
        <v>0</v>
      </c>
      <c r="BN14" s="120">
        <v>0</v>
      </c>
      <c r="BO14" s="120">
        <v>0</v>
      </c>
      <c r="BP14" s="120">
        <v>0</v>
      </c>
      <c r="BQ14" s="120">
        <v>0</v>
      </c>
      <c r="BR14" s="120">
        <v>0</v>
      </c>
      <c r="BS14" s="120">
        <v>0</v>
      </c>
      <c r="BT14" s="120">
        <v>0</v>
      </c>
      <c r="BU14" s="120">
        <v>0</v>
      </c>
      <c r="BV14" s="120">
        <v>0</v>
      </c>
      <c r="BW14" s="120">
        <v>0</v>
      </c>
      <c r="BX14" s="120">
        <v>0</v>
      </c>
      <c r="BY14" s="120">
        <v>0</v>
      </c>
      <c r="BZ14" s="120">
        <v>0</v>
      </c>
      <c r="CA14" s="120">
        <v>0</v>
      </c>
      <c r="CB14" s="120">
        <v>0</v>
      </c>
      <c r="CC14" s="120">
        <v>0</v>
      </c>
      <c r="CD14" s="120">
        <v>0</v>
      </c>
      <c r="CE14" s="120">
        <v>0</v>
      </c>
      <c r="CF14" s="120">
        <v>0</v>
      </c>
      <c r="CG14" s="120">
        <v>0</v>
      </c>
      <c r="CH14" s="120">
        <v>0</v>
      </c>
      <c r="CI14" s="120">
        <v>0</v>
      </c>
      <c r="CJ14" s="120">
        <v>0</v>
      </c>
      <c r="CK14" s="120">
        <v>0</v>
      </c>
      <c r="CL14" s="120">
        <v>0</v>
      </c>
      <c r="CM14" s="120">
        <v>0</v>
      </c>
      <c r="CN14" s="120">
        <v>0</v>
      </c>
      <c r="CO14" s="120">
        <v>0</v>
      </c>
      <c r="CP14" s="120">
        <v>0</v>
      </c>
      <c r="CQ14" s="120">
        <v>0</v>
      </c>
      <c r="CR14" s="120">
        <v>0</v>
      </c>
      <c r="CS14" s="120">
        <v>0</v>
      </c>
      <c r="CT14" s="120">
        <v>0</v>
      </c>
      <c r="CU14" s="120">
        <v>0</v>
      </c>
      <c r="CV14" s="120">
        <v>0</v>
      </c>
      <c r="CW14" s="120">
        <v>0</v>
      </c>
      <c r="CX14" s="120">
        <v>0</v>
      </c>
      <c r="CY14" s="120">
        <v>0</v>
      </c>
      <c r="CZ14" s="120">
        <v>0</v>
      </c>
      <c r="DA14" s="120">
        <v>0</v>
      </c>
      <c r="DB14" s="120">
        <v>0</v>
      </c>
      <c r="DC14" s="120">
        <v>0</v>
      </c>
      <c r="DD14" s="120">
        <v>0</v>
      </c>
      <c r="DE14" s="120">
        <v>0</v>
      </c>
      <c r="DF14" s="120">
        <v>0</v>
      </c>
      <c r="DG14" s="120">
        <v>0</v>
      </c>
      <c r="DH14" s="120">
        <v>0</v>
      </c>
      <c r="DI14" s="120">
        <v>0</v>
      </c>
      <c r="DJ14" s="120">
        <v>0</v>
      </c>
      <c r="DK14" s="120">
        <v>0</v>
      </c>
      <c r="DL14" s="120">
        <v>0</v>
      </c>
      <c r="DM14" s="120">
        <v>0</v>
      </c>
      <c r="DN14" s="120">
        <v>0</v>
      </c>
      <c r="DO14" s="120">
        <v>0</v>
      </c>
      <c r="DP14" s="120">
        <v>659.05386549568266</v>
      </c>
      <c r="DQ14" s="120">
        <v>0</v>
      </c>
      <c r="DR14" s="120">
        <v>0</v>
      </c>
      <c r="DS14" s="120">
        <v>0</v>
      </c>
      <c r="DT14" s="120">
        <v>0</v>
      </c>
      <c r="DU14" s="120">
        <v>0</v>
      </c>
      <c r="DV14" s="120">
        <v>0</v>
      </c>
      <c r="DW14" s="120">
        <v>0</v>
      </c>
      <c r="DX14" s="120">
        <v>0</v>
      </c>
      <c r="DY14" s="120">
        <v>0</v>
      </c>
      <c r="DZ14" s="120">
        <v>0</v>
      </c>
      <c r="EA14" s="120">
        <v>0</v>
      </c>
      <c r="EB14" s="120">
        <v>0</v>
      </c>
      <c r="EC14" s="120">
        <v>0</v>
      </c>
      <c r="ED14" s="120">
        <f t="shared" si="0"/>
        <v>69463.594782500892</v>
      </c>
    </row>
    <row r="15" spans="1:134">
      <c r="A15" s="120">
        <v>14</v>
      </c>
      <c r="B15" s="120">
        <v>0</v>
      </c>
      <c r="C15" s="120">
        <v>0</v>
      </c>
      <c r="D15" s="120">
        <v>0</v>
      </c>
      <c r="E15" s="120">
        <v>0</v>
      </c>
      <c r="F15" s="120">
        <v>0</v>
      </c>
      <c r="G15" s="120">
        <v>0</v>
      </c>
      <c r="H15" s="120">
        <v>0</v>
      </c>
      <c r="I15" s="120">
        <v>0</v>
      </c>
      <c r="J15" s="120">
        <v>0</v>
      </c>
      <c r="K15" s="120">
        <v>0</v>
      </c>
      <c r="L15" s="120">
        <v>0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120">
        <v>0</v>
      </c>
      <c r="Z15" s="120">
        <v>0</v>
      </c>
      <c r="AA15" s="120">
        <v>0</v>
      </c>
      <c r="AB15" s="120">
        <v>0</v>
      </c>
      <c r="AC15" s="120">
        <v>0</v>
      </c>
      <c r="AD15" s="120">
        <v>0</v>
      </c>
      <c r="AE15" s="120">
        <v>0</v>
      </c>
      <c r="AF15" s="120">
        <v>0</v>
      </c>
      <c r="AG15" s="120">
        <v>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47370.136584958353</v>
      </c>
      <c r="AN15" s="120">
        <v>0</v>
      </c>
      <c r="AO15" s="120">
        <v>131.45908299477659</v>
      </c>
      <c r="AP15" s="120">
        <v>0</v>
      </c>
      <c r="AQ15" s="120">
        <v>0</v>
      </c>
      <c r="AR15" s="120">
        <v>0</v>
      </c>
      <c r="AS15" s="120">
        <v>0</v>
      </c>
      <c r="AT15" s="120">
        <v>0</v>
      </c>
      <c r="AU15" s="120">
        <v>0</v>
      </c>
      <c r="AV15" s="120">
        <v>0</v>
      </c>
      <c r="AW15" s="120">
        <v>0</v>
      </c>
      <c r="AX15" s="120">
        <v>0</v>
      </c>
      <c r="AY15" s="120">
        <v>0</v>
      </c>
      <c r="AZ15" s="120">
        <v>0</v>
      </c>
      <c r="BA15" s="120">
        <v>0</v>
      </c>
      <c r="BB15" s="120">
        <v>0</v>
      </c>
      <c r="BC15" s="120">
        <v>0</v>
      </c>
      <c r="BD15" s="120">
        <v>0</v>
      </c>
      <c r="BE15" s="120">
        <v>0</v>
      </c>
      <c r="BF15" s="120">
        <v>0</v>
      </c>
      <c r="BG15" s="120">
        <v>0</v>
      </c>
      <c r="BH15" s="120">
        <v>0</v>
      </c>
      <c r="BI15" s="120">
        <v>0</v>
      </c>
      <c r="BJ15" s="120">
        <v>0</v>
      </c>
      <c r="BK15" s="120">
        <v>0</v>
      </c>
      <c r="BL15" s="120">
        <v>0</v>
      </c>
      <c r="BM15" s="120">
        <v>0</v>
      </c>
      <c r="BN15" s="120">
        <v>0</v>
      </c>
      <c r="BO15" s="120">
        <v>0</v>
      </c>
      <c r="BP15" s="120">
        <v>0</v>
      </c>
      <c r="BQ15" s="120">
        <v>0</v>
      </c>
      <c r="BR15" s="120">
        <v>0</v>
      </c>
      <c r="BS15" s="120">
        <v>0</v>
      </c>
      <c r="BT15" s="120">
        <v>0</v>
      </c>
      <c r="BU15" s="120">
        <v>0</v>
      </c>
      <c r="BV15" s="120">
        <v>0</v>
      </c>
      <c r="BW15" s="120">
        <v>0</v>
      </c>
      <c r="BX15" s="120">
        <v>0</v>
      </c>
      <c r="BY15" s="120">
        <v>0</v>
      </c>
      <c r="BZ15" s="120">
        <v>0</v>
      </c>
      <c r="CA15" s="120">
        <v>0</v>
      </c>
      <c r="CB15" s="120">
        <v>0</v>
      </c>
      <c r="CC15" s="120">
        <v>0</v>
      </c>
      <c r="CD15" s="120">
        <v>0</v>
      </c>
      <c r="CE15" s="120">
        <v>0</v>
      </c>
      <c r="CF15" s="120">
        <v>0</v>
      </c>
      <c r="CG15" s="120">
        <v>0</v>
      </c>
      <c r="CH15" s="120">
        <v>0</v>
      </c>
      <c r="CI15" s="120">
        <v>0</v>
      </c>
      <c r="CJ15" s="120">
        <v>0</v>
      </c>
      <c r="CK15" s="120">
        <v>0</v>
      </c>
      <c r="CL15" s="120">
        <v>0</v>
      </c>
      <c r="CM15" s="120">
        <v>0</v>
      </c>
      <c r="CN15" s="120">
        <v>0</v>
      </c>
      <c r="CO15" s="120">
        <v>0</v>
      </c>
      <c r="CP15" s="120">
        <v>0</v>
      </c>
      <c r="CQ15" s="120">
        <v>0</v>
      </c>
      <c r="CR15" s="120">
        <v>0</v>
      </c>
      <c r="CS15" s="120">
        <v>0</v>
      </c>
      <c r="CT15" s="120">
        <v>0</v>
      </c>
      <c r="CU15" s="120">
        <v>0</v>
      </c>
      <c r="CV15" s="120">
        <v>0</v>
      </c>
      <c r="CW15" s="120">
        <v>0</v>
      </c>
      <c r="CX15" s="120">
        <v>0</v>
      </c>
      <c r="CY15" s="120">
        <v>0</v>
      </c>
      <c r="CZ15" s="120">
        <v>0</v>
      </c>
      <c r="DA15" s="120">
        <v>0</v>
      </c>
      <c r="DB15" s="120">
        <v>0</v>
      </c>
      <c r="DC15" s="120">
        <v>0</v>
      </c>
      <c r="DD15" s="120">
        <v>0</v>
      </c>
      <c r="DE15" s="120">
        <v>0</v>
      </c>
      <c r="DF15" s="120">
        <v>0</v>
      </c>
      <c r="DG15" s="120">
        <v>0</v>
      </c>
      <c r="DH15" s="120">
        <v>0</v>
      </c>
      <c r="DI15" s="120">
        <v>0</v>
      </c>
      <c r="DJ15" s="120">
        <v>0</v>
      </c>
      <c r="DK15" s="120">
        <v>0</v>
      </c>
      <c r="DL15" s="120">
        <v>0</v>
      </c>
      <c r="DM15" s="120">
        <v>0</v>
      </c>
      <c r="DN15" s="120">
        <v>0</v>
      </c>
      <c r="DO15" s="120">
        <v>0</v>
      </c>
      <c r="DP15" s="120">
        <v>756.18600210099555</v>
      </c>
      <c r="DQ15" s="120">
        <v>0</v>
      </c>
      <c r="DR15" s="120">
        <v>0</v>
      </c>
      <c r="DS15" s="120">
        <v>0</v>
      </c>
      <c r="DT15" s="120">
        <v>0</v>
      </c>
      <c r="DU15" s="120">
        <v>0</v>
      </c>
      <c r="DV15" s="120">
        <v>0</v>
      </c>
      <c r="DW15" s="120">
        <v>0</v>
      </c>
      <c r="DX15" s="120">
        <v>0</v>
      </c>
      <c r="DY15" s="120">
        <v>0</v>
      </c>
      <c r="DZ15" s="120">
        <v>0</v>
      </c>
      <c r="EA15" s="120">
        <v>0</v>
      </c>
      <c r="EB15" s="120">
        <v>0</v>
      </c>
      <c r="EC15" s="120">
        <v>0</v>
      </c>
      <c r="ED15" s="120">
        <f t="shared" si="0"/>
        <v>48257.781670054123</v>
      </c>
    </row>
    <row r="16" spans="1:134">
      <c r="A16" s="120">
        <v>15</v>
      </c>
      <c r="B16" s="120">
        <v>0</v>
      </c>
      <c r="C16" s="120">
        <v>0</v>
      </c>
      <c r="D16" s="120">
        <v>0</v>
      </c>
      <c r="E16" s="120">
        <v>0</v>
      </c>
      <c r="F16" s="120">
        <v>0</v>
      </c>
      <c r="G16" s="120">
        <v>0</v>
      </c>
      <c r="H16" s="120">
        <v>0</v>
      </c>
      <c r="I16" s="120">
        <v>0</v>
      </c>
      <c r="J16" s="120">
        <v>0</v>
      </c>
      <c r="K16" s="120">
        <v>0</v>
      </c>
      <c r="L16" s="120">
        <v>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120">
        <v>0</v>
      </c>
      <c r="T16" s="120">
        <v>0</v>
      </c>
      <c r="U16" s="120">
        <v>0</v>
      </c>
      <c r="V16" s="120">
        <v>0</v>
      </c>
      <c r="W16" s="120">
        <v>0</v>
      </c>
      <c r="X16" s="120">
        <v>0</v>
      </c>
      <c r="Y16" s="120">
        <v>0</v>
      </c>
      <c r="Z16" s="120">
        <v>0</v>
      </c>
      <c r="AA16" s="120">
        <v>0</v>
      </c>
      <c r="AB16" s="120">
        <v>0</v>
      </c>
      <c r="AC16" s="120">
        <v>0</v>
      </c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120">
        <v>0</v>
      </c>
      <c r="AV16" s="120">
        <v>0</v>
      </c>
      <c r="AW16" s="120">
        <v>0</v>
      </c>
      <c r="AX16" s="120">
        <v>0</v>
      </c>
      <c r="AY16" s="120">
        <v>0</v>
      </c>
      <c r="AZ16" s="120">
        <v>0</v>
      </c>
      <c r="BA16" s="120">
        <v>0</v>
      </c>
      <c r="BB16" s="120">
        <v>0</v>
      </c>
      <c r="BC16" s="120">
        <v>0</v>
      </c>
      <c r="BD16" s="120">
        <v>0</v>
      </c>
      <c r="BE16" s="120">
        <v>0</v>
      </c>
      <c r="BF16" s="120">
        <v>0</v>
      </c>
      <c r="BG16" s="120">
        <v>0</v>
      </c>
      <c r="BH16" s="120">
        <v>0</v>
      </c>
      <c r="BI16" s="120">
        <v>0</v>
      </c>
      <c r="BJ16" s="120">
        <v>0</v>
      </c>
      <c r="BK16" s="120">
        <v>0</v>
      </c>
      <c r="BL16" s="120">
        <v>0</v>
      </c>
      <c r="BM16" s="120">
        <v>0</v>
      </c>
      <c r="BN16" s="120">
        <v>0</v>
      </c>
      <c r="BO16" s="120">
        <v>0</v>
      </c>
      <c r="BP16" s="120">
        <v>0</v>
      </c>
      <c r="BQ16" s="120">
        <v>0</v>
      </c>
      <c r="BR16" s="120">
        <v>0</v>
      </c>
      <c r="BS16" s="120">
        <v>0</v>
      </c>
      <c r="BT16" s="120">
        <v>0</v>
      </c>
      <c r="BU16" s="120">
        <v>0</v>
      </c>
      <c r="BV16" s="120">
        <v>0</v>
      </c>
      <c r="BW16" s="120">
        <v>0</v>
      </c>
      <c r="BX16" s="120">
        <v>0</v>
      </c>
      <c r="BY16" s="120">
        <v>0</v>
      </c>
      <c r="BZ16" s="120">
        <v>0</v>
      </c>
      <c r="CA16" s="120">
        <v>0</v>
      </c>
      <c r="CB16" s="120">
        <v>0</v>
      </c>
      <c r="CC16" s="120">
        <v>0</v>
      </c>
      <c r="CD16" s="120">
        <v>0</v>
      </c>
      <c r="CE16" s="120">
        <v>0</v>
      </c>
      <c r="CF16" s="120">
        <v>0</v>
      </c>
      <c r="CG16" s="120">
        <v>0</v>
      </c>
      <c r="CH16" s="120">
        <v>0</v>
      </c>
      <c r="CI16" s="120">
        <v>0</v>
      </c>
      <c r="CJ16" s="120">
        <v>0</v>
      </c>
      <c r="CK16" s="120">
        <v>0</v>
      </c>
      <c r="CL16" s="120">
        <v>0</v>
      </c>
      <c r="CM16" s="120">
        <v>0</v>
      </c>
      <c r="CN16" s="120">
        <v>0</v>
      </c>
      <c r="CO16" s="120">
        <v>0</v>
      </c>
      <c r="CP16" s="120">
        <v>0</v>
      </c>
      <c r="CQ16" s="120">
        <v>0</v>
      </c>
      <c r="CR16" s="120">
        <v>0</v>
      </c>
      <c r="CS16" s="120">
        <v>0</v>
      </c>
      <c r="CT16" s="120">
        <v>0</v>
      </c>
      <c r="CU16" s="120">
        <v>0</v>
      </c>
      <c r="CV16" s="120">
        <v>0</v>
      </c>
      <c r="CW16" s="120">
        <v>0</v>
      </c>
      <c r="CX16" s="120">
        <v>0</v>
      </c>
      <c r="CY16" s="120">
        <v>0</v>
      </c>
      <c r="CZ16" s="120">
        <v>0</v>
      </c>
      <c r="DA16" s="120">
        <v>0</v>
      </c>
      <c r="DB16" s="120">
        <v>0</v>
      </c>
      <c r="DC16" s="120">
        <v>0</v>
      </c>
      <c r="DD16" s="120">
        <v>0</v>
      </c>
      <c r="DE16" s="120">
        <v>0</v>
      </c>
      <c r="DF16" s="120">
        <v>0</v>
      </c>
      <c r="DG16" s="120">
        <v>0</v>
      </c>
      <c r="DH16" s="120">
        <v>0</v>
      </c>
      <c r="DI16" s="120">
        <v>0</v>
      </c>
      <c r="DJ16" s="120">
        <v>697597.18170360103</v>
      </c>
      <c r="DK16" s="120">
        <v>0</v>
      </c>
      <c r="DL16" s="120">
        <v>865808</v>
      </c>
      <c r="DM16" s="120">
        <v>0</v>
      </c>
      <c r="DN16" s="120">
        <v>0</v>
      </c>
      <c r="DO16" s="120">
        <v>0</v>
      </c>
      <c r="DP16" s="120">
        <v>119.7069428566892</v>
      </c>
      <c r="DQ16" s="120">
        <v>0</v>
      </c>
      <c r="DR16" s="120">
        <v>0</v>
      </c>
      <c r="DS16" s="120">
        <v>0</v>
      </c>
      <c r="DT16" s="120">
        <v>0</v>
      </c>
      <c r="DU16" s="120">
        <v>0</v>
      </c>
      <c r="DV16" s="120">
        <v>13733.574382533099</v>
      </c>
      <c r="DW16" s="120">
        <v>0</v>
      </c>
      <c r="DX16" s="120">
        <v>0</v>
      </c>
      <c r="DY16" s="120">
        <v>17260.585153351989</v>
      </c>
      <c r="DZ16" s="120">
        <v>0</v>
      </c>
      <c r="EA16" s="120">
        <v>0</v>
      </c>
      <c r="EB16" s="120">
        <v>409896.43530620151</v>
      </c>
      <c r="EC16" s="120">
        <v>0</v>
      </c>
      <c r="ED16" s="120">
        <f t="shared" si="0"/>
        <v>2004415.4834885444</v>
      </c>
    </row>
    <row r="17" spans="1:134">
      <c r="A17" s="120">
        <v>16</v>
      </c>
      <c r="B17" s="120">
        <v>0</v>
      </c>
      <c r="C17" s="120">
        <v>0</v>
      </c>
      <c r="D17" s="120">
        <v>0</v>
      </c>
      <c r="E17" s="120">
        <v>0</v>
      </c>
      <c r="F17" s="120">
        <v>0</v>
      </c>
      <c r="G17" s="120">
        <v>0</v>
      </c>
      <c r="H17" s="120">
        <v>0</v>
      </c>
      <c r="I17" s="120">
        <v>0</v>
      </c>
      <c r="J17" s="120">
        <v>0</v>
      </c>
      <c r="K17" s="120">
        <v>0</v>
      </c>
      <c r="L17" s="120">
        <v>0</v>
      </c>
      <c r="M17" s="120">
        <v>0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120">
        <v>0</v>
      </c>
      <c r="Z17" s="120">
        <v>0</v>
      </c>
      <c r="AA17" s="120">
        <v>0</v>
      </c>
      <c r="AB17" s="120">
        <v>0</v>
      </c>
      <c r="AC17" s="120">
        <v>68392.224325694217</v>
      </c>
      <c r="AD17" s="120">
        <v>0</v>
      </c>
      <c r="AE17" s="120">
        <v>0</v>
      </c>
      <c r="AF17" s="120">
        <v>0</v>
      </c>
      <c r="AG17" s="120">
        <v>0</v>
      </c>
      <c r="AH17" s="120">
        <v>0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20">
        <v>0</v>
      </c>
      <c r="AT17" s="120">
        <v>0</v>
      </c>
      <c r="AU17" s="120">
        <v>0</v>
      </c>
      <c r="AV17" s="120">
        <v>0</v>
      </c>
      <c r="AW17" s="120">
        <v>0</v>
      </c>
      <c r="AX17" s="120">
        <v>0</v>
      </c>
      <c r="AY17" s="120">
        <v>0</v>
      </c>
      <c r="AZ17" s="120">
        <v>0</v>
      </c>
      <c r="BA17" s="120">
        <v>0</v>
      </c>
      <c r="BB17" s="120">
        <v>0</v>
      </c>
      <c r="BC17" s="120">
        <v>0</v>
      </c>
      <c r="BD17" s="120">
        <v>0</v>
      </c>
      <c r="BE17" s="120">
        <v>0</v>
      </c>
      <c r="BF17" s="120">
        <v>0</v>
      </c>
      <c r="BG17" s="120">
        <v>0</v>
      </c>
      <c r="BH17" s="120">
        <v>0</v>
      </c>
      <c r="BI17" s="120">
        <v>0</v>
      </c>
      <c r="BJ17" s="120">
        <v>0</v>
      </c>
      <c r="BK17" s="120">
        <v>0</v>
      </c>
      <c r="BL17" s="120">
        <v>0</v>
      </c>
      <c r="BM17" s="120">
        <v>0</v>
      </c>
      <c r="BN17" s="120">
        <v>0</v>
      </c>
      <c r="BO17" s="120">
        <v>0</v>
      </c>
      <c r="BP17" s="120">
        <v>0</v>
      </c>
      <c r="BQ17" s="120">
        <v>0</v>
      </c>
      <c r="BR17" s="120">
        <v>0</v>
      </c>
      <c r="BS17" s="120">
        <v>0</v>
      </c>
      <c r="BT17" s="120">
        <v>0</v>
      </c>
      <c r="BU17" s="120">
        <v>0</v>
      </c>
      <c r="BV17" s="120">
        <v>0</v>
      </c>
      <c r="BW17" s="120">
        <v>0</v>
      </c>
      <c r="BX17" s="120">
        <v>0</v>
      </c>
      <c r="BY17" s="120">
        <v>0</v>
      </c>
      <c r="BZ17" s="120">
        <v>-680.120699639024</v>
      </c>
      <c r="CA17" s="120">
        <v>-7260.0520183244435</v>
      </c>
      <c r="CB17" s="120">
        <v>-32974.007174705148</v>
      </c>
      <c r="CC17" s="120">
        <v>0</v>
      </c>
      <c r="CD17" s="120">
        <v>0</v>
      </c>
      <c r="CE17" s="120">
        <v>0</v>
      </c>
      <c r="CF17" s="120">
        <v>0</v>
      </c>
      <c r="CG17" s="120">
        <v>0</v>
      </c>
      <c r="CH17" s="120">
        <v>0</v>
      </c>
      <c r="CI17" s="120">
        <v>0</v>
      </c>
      <c r="CJ17" s="120">
        <v>0</v>
      </c>
      <c r="CK17" s="120">
        <v>0</v>
      </c>
      <c r="CL17" s="120">
        <v>0</v>
      </c>
      <c r="CM17" s="120">
        <v>0</v>
      </c>
      <c r="CN17" s="120">
        <v>0</v>
      </c>
      <c r="CO17" s="120">
        <v>0</v>
      </c>
      <c r="CP17" s="120">
        <v>0</v>
      </c>
      <c r="CQ17" s="120">
        <v>0</v>
      </c>
      <c r="CR17" s="120">
        <v>0</v>
      </c>
      <c r="CS17" s="120">
        <v>0</v>
      </c>
      <c r="CT17" s="120">
        <v>0</v>
      </c>
      <c r="CU17" s="120">
        <v>0</v>
      </c>
      <c r="CV17" s="120">
        <v>0</v>
      </c>
      <c r="CW17" s="120">
        <v>0</v>
      </c>
      <c r="CX17" s="120">
        <v>0</v>
      </c>
      <c r="CY17" s="120">
        <v>0</v>
      </c>
      <c r="CZ17" s="120">
        <v>0</v>
      </c>
      <c r="DA17" s="120">
        <v>0</v>
      </c>
      <c r="DB17" s="120">
        <v>0</v>
      </c>
      <c r="DC17" s="120">
        <v>0</v>
      </c>
      <c r="DD17" s="120">
        <v>0</v>
      </c>
      <c r="DE17" s="120">
        <v>0</v>
      </c>
      <c r="DF17" s="120">
        <v>0</v>
      </c>
      <c r="DG17" s="120">
        <v>0</v>
      </c>
      <c r="DH17" s="120">
        <v>0</v>
      </c>
      <c r="DI17" s="120">
        <v>0</v>
      </c>
      <c r="DJ17" s="120">
        <v>0</v>
      </c>
      <c r="DK17" s="120">
        <v>0</v>
      </c>
      <c r="DL17" s="120">
        <v>0</v>
      </c>
      <c r="DM17" s="120">
        <v>0</v>
      </c>
      <c r="DN17" s="120">
        <v>295.82194842958108</v>
      </c>
      <c r="DO17" s="120">
        <v>-128.91482176909969</v>
      </c>
      <c r="DP17" s="120">
        <v>5829.7245948964119</v>
      </c>
      <c r="DQ17" s="120">
        <v>-1912.9881498827681</v>
      </c>
      <c r="DR17" s="120">
        <v>-1937.5691837829199</v>
      </c>
      <c r="DS17" s="120">
        <v>-70.719135747847687</v>
      </c>
      <c r="DT17" s="120">
        <v>-93.163072016295018</v>
      </c>
      <c r="DU17" s="120">
        <v>0</v>
      </c>
      <c r="DV17" s="120">
        <v>0</v>
      </c>
      <c r="DW17" s="120">
        <v>0</v>
      </c>
      <c r="DX17" s="120">
        <v>0</v>
      </c>
      <c r="DY17" s="120">
        <v>0</v>
      </c>
      <c r="DZ17" s="120">
        <v>0</v>
      </c>
      <c r="EA17" s="120">
        <v>0</v>
      </c>
      <c r="EB17" s="120">
        <v>0</v>
      </c>
      <c r="EC17" s="120">
        <v>0</v>
      </c>
      <c r="ED17" s="120">
        <f t="shared" si="0"/>
        <v>29460.236613152661</v>
      </c>
    </row>
    <row r="18" spans="1:134">
      <c r="A18" s="120">
        <v>17</v>
      </c>
      <c r="B18" s="120">
        <v>0</v>
      </c>
      <c r="C18" s="120">
        <v>0</v>
      </c>
      <c r="D18" s="120">
        <v>0</v>
      </c>
      <c r="E18" s="120">
        <v>0</v>
      </c>
      <c r="F18" s="120">
        <v>0</v>
      </c>
      <c r="G18" s="120">
        <v>0</v>
      </c>
      <c r="H18" s="120">
        <v>0</v>
      </c>
      <c r="I18" s="120">
        <v>0</v>
      </c>
      <c r="J18" s="120">
        <v>0</v>
      </c>
      <c r="K18" s="120">
        <v>0</v>
      </c>
      <c r="L18" s="120">
        <v>0</v>
      </c>
      <c r="M18" s="120">
        <v>0</v>
      </c>
      <c r="N18" s="120">
        <v>0</v>
      </c>
      <c r="O18" s="120">
        <v>0</v>
      </c>
      <c r="P18" s="120">
        <v>0</v>
      </c>
      <c r="Q18" s="120">
        <v>0</v>
      </c>
      <c r="R18" s="120">
        <v>0</v>
      </c>
      <c r="S18" s="120">
        <v>46814.995582456613</v>
      </c>
      <c r="T18" s="120">
        <v>0</v>
      </c>
      <c r="U18" s="120">
        <v>0</v>
      </c>
      <c r="V18" s="120">
        <v>0</v>
      </c>
      <c r="W18" s="120">
        <v>0</v>
      </c>
      <c r="X18" s="120">
        <v>0</v>
      </c>
      <c r="Y18" s="120">
        <v>0</v>
      </c>
      <c r="Z18" s="120">
        <v>0</v>
      </c>
      <c r="AA18" s="120">
        <v>0</v>
      </c>
      <c r="AB18" s="120">
        <v>0</v>
      </c>
      <c r="AC18" s="120">
        <v>783.29128202340814</v>
      </c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20">
        <v>0</v>
      </c>
      <c r="AT18" s="120">
        <v>0</v>
      </c>
      <c r="AU18" s="120">
        <v>0</v>
      </c>
      <c r="AV18" s="120">
        <v>0</v>
      </c>
      <c r="AW18" s="120">
        <v>0</v>
      </c>
      <c r="AX18" s="120">
        <v>0</v>
      </c>
      <c r="AY18" s="120">
        <v>0</v>
      </c>
      <c r="AZ18" s="120">
        <v>0</v>
      </c>
      <c r="BA18" s="120">
        <v>0</v>
      </c>
      <c r="BB18" s="120">
        <v>0</v>
      </c>
      <c r="BC18" s="120">
        <v>0</v>
      </c>
      <c r="BD18" s="120">
        <v>0</v>
      </c>
      <c r="BE18" s="120">
        <v>2265.3322824527668</v>
      </c>
      <c r="BF18" s="120">
        <v>0</v>
      </c>
      <c r="BG18" s="120">
        <v>0</v>
      </c>
      <c r="BH18" s="120">
        <v>0</v>
      </c>
      <c r="BI18" s="120">
        <v>0</v>
      </c>
      <c r="BJ18" s="120">
        <v>0</v>
      </c>
      <c r="BK18" s="120">
        <v>0</v>
      </c>
      <c r="BL18" s="120">
        <v>0</v>
      </c>
      <c r="BM18" s="120">
        <v>0</v>
      </c>
      <c r="BN18" s="120">
        <v>0</v>
      </c>
      <c r="BO18" s="120">
        <v>0</v>
      </c>
      <c r="BP18" s="120">
        <v>0</v>
      </c>
      <c r="BQ18" s="120">
        <v>0</v>
      </c>
      <c r="BR18" s="120">
        <v>0</v>
      </c>
      <c r="BS18" s="120">
        <v>0</v>
      </c>
      <c r="BT18" s="120">
        <v>0</v>
      </c>
      <c r="BU18" s="120">
        <v>0</v>
      </c>
      <c r="BV18" s="120">
        <v>0</v>
      </c>
      <c r="BW18" s="120">
        <v>0</v>
      </c>
      <c r="BX18" s="120">
        <v>0</v>
      </c>
      <c r="BY18" s="120">
        <v>0</v>
      </c>
      <c r="BZ18" s="120">
        <v>-1150.4436510373901</v>
      </c>
      <c r="CA18" s="120">
        <v>-6318.9983232686091</v>
      </c>
      <c r="CB18" s="120">
        <v>-15148.0758146071</v>
      </c>
      <c r="CC18" s="120">
        <v>0</v>
      </c>
      <c r="CD18" s="120">
        <v>0</v>
      </c>
      <c r="CE18" s="120">
        <v>0</v>
      </c>
      <c r="CF18" s="120">
        <v>0</v>
      </c>
      <c r="CG18" s="120">
        <v>0</v>
      </c>
      <c r="CH18" s="120">
        <v>0</v>
      </c>
      <c r="CI18" s="120">
        <v>0</v>
      </c>
      <c r="CJ18" s="120">
        <v>0</v>
      </c>
      <c r="CK18" s="120">
        <v>0</v>
      </c>
      <c r="CL18" s="120">
        <v>0</v>
      </c>
      <c r="CM18" s="120">
        <v>0</v>
      </c>
      <c r="CN18" s="120">
        <v>0</v>
      </c>
      <c r="CO18" s="120">
        <v>0</v>
      </c>
      <c r="CP18" s="120">
        <v>0</v>
      </c>
      <c r="CQ18" s="120">
        <v>0</v>
      </c>
      <c r="CR18" s="120">
        <v>0</v>
      </c>
      <c r="CS18" s="120">
        <v>0</v>
      </c>
      <c r="CT18" s="120">
        <v>0</v>
      </c>
      <c r="CU18" s="120">
        <v>0</v>
      </c>
      <c r="CV18" s="120">
        <v>0</v>
      </c>
      <c r="CW18" s="120">
        <v>0</v>
      </c>
      <c r="CX18" s="120">
        <v>0</v>
      </c>
      <c r="CY18" s="120">
        <v>0</v>
      </c>
      <c r="CZ18" s="120">
        <v>0</v>
      </c>
      <c r="DA18" s="120">
        <v>0</v>
      </c>
      <c r="DB18" s="120">
        <v>0</v>
      </c>
      <c r="DC18" s="120">
        <v>0</v>
      </c>
      <c r="DD18" s="120">
        <v>0</v>
      </c>
      <c r="DE18" s="120">
        <v>0</v>
      </c>
      <c r="DF18" s="120">
        <v>0</v>
      </c>
      <c r="DG18" s="120">
        <v>0</v>
      </c>
      <c r="DH18" s="120">
        <v>0</v>
      </c>
      <c r="DI18" s="120">
        <v>0</v>
      </c>
      <c r="DJ18" s="120">
        <v>0</v>
      </c>
      <c r="DK18" s="120">
        <v>0</v>
      </c>
      <c r="DL18" s="120">
        <v>0</v>
      </c>
      <c r="DM18" s="120">
        <v>0</v>
      </c>
      <c r="DN18" s="120">
        <v>383.88736399825569</v>
      </c>
      <c r="DO18" s="120">
        <v>-115.154250906106</v>
      </c>
      <c r="DP18" s="120">
        <v>15548.69580327278</v>
      </c>
      <c r="DQ18" s="120">
        <v>-4324.3975298838741</v>
      </c>
      <c r="DR18" s="120">
        <v>-16738.237421152291</v>
      </c>
      <c r="DS18" s="120">
        <v>-291.93336433600069</v>
      </c>
      <c r="DT18" s="120">
        <v>-211.50759311621789</v>
      </c>
      <c r="DU18" s="120">
        <v>0</v>
      </c>
      <c r="DV18" s="120">
        <v>0</v>
      </c>
      <c r="DW18" s="120">
        <v>0</v>
      </c>
      <c r="DX18" s="120">
        <v>0</v>
      </c>
      <c r="DY18" s="120">
        <v>0</v>
      </c>
      <c r="DZ18" s="120">
        <v>0</v>
      </c>
      <c r="EA18" s="120">
        <v>0</v>
      </c>
      <c r="EB18" s="120">
        <v>0</v>
      </c>
      <c r="EC18" s="120">
        <v>0</v>
      </c>
      <c r="ED18" s="120">
        <f t="shared" si="0"/>
        <v>21497.454365896225</v>
      </c>
    </row>
    <row r="19" spans="1:134">
      <c r="A19" s="120">
        <v>18</v>
      </c>
      <c r="B19" s="120">
        <v>0</v>
      </c>
      <c r="C19" s="120">
        <v>0</v>
      </c>
      <c r="D19" s="120">
        <v>0</v>
      </c>
      <c r="E19" s="120">
        <v>0</v>
      </c>
      <c r="F19" s="120">
        <v>0</v>
      </c>
      <c r="G19" s="120">
        <v>0</v>
      </c>
      <c r="H19" s="120">
        <v>0</v>
      </c>
      <c r="I19" s="120">
        <v>0</v>
      </c>
      <c r="J19" s="120">
        <v>0</v>
      </c>
      <c r="K19" s="120">
        <v>0</v>
      </c>
      <c r="L19" s="120">
        <v>0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65605.022002912927</v>
      </c>
      <c r="T19" s="120">
        <v>0</v>
      </c>
      <c r="U19" s="120">
        <v>0</v>
      </c>
      <c r="V19" s="120">
        <v>0</v>
      </c>
      <c r="W19" s="120">
        <v>0</v>
      </c>
      <c r="X19" s="120">
        <v>0</v>
      </c>
      <c r="Y19" s="120">
        <v>0</v>
      </c>
      <c r="Z19" s="120">
        <v>0</v>
      </c>
      <c r="AA19" s="120">
        <v>0</v>
      </c>
      <c r="AB19" s="120">
        <v>0</v>
      </c>
      <c r="AC19" s="120">
        <v>0</v>
      </c>
      <c r="AD19" s="120">
        <v>0</v>
      </c>
      <c r="AE19" s="120">
        <v>0</v>
      </c>
      <c r="AF19" s="120">
        <v>0</v>
      </c>
      <c r="AG19" s="120">
        <v>0</v>
      </c>
      <c r="AH19" s="120">
        <v>0</v>
      </c>
      <c r="AI19" s="120">
        <v>0</v>
      </c>
      <c r="AJ19" s="120">
        <v>0</v>
      </c>
      <c r="AK19" s="120">
        <v>0</v>
      </c>
      <c r="AL19" s="120">
        <v>0</v>
      </c>
      <c r="AM19" s="120">
        <v>0</v>
      </c>
      <c r="AN19" s="120">
        <v>0</v>
      </c>
      <c r="AO19" s="120">
        <v>0</v>
      </c>
      <c r="AP19" s="120">
        <v>0</v>
      </c>
      <c r="AQ19" s="120">
        <v>0</v>
      </c>
      <c r="AR19" s="120">
        <v>0</v>
      </c>
      <c r="AS19" s="120">
        <v>0</v>
      </c>
      <c r="AT19" s="120">
        <v>0</v>
      </c>
      <c r="AU19" s="120">
        <v>0</v>
      </c>
      <c r="AV19" s="120">
        <v>0</v>
      </c>
      <c r="AW19" s="120">
        <v>0</v>
      </c>
      <c r="AX19" s="120">
        <v>0</v>
      </c>
      <c r="AY19" s="120">
        <v>0</v>
      </c>
      <c r="AZ19" s="120">
        <v>0</v>
      </c>
      <c r="BA19" s="120">
        <v>0</v>
      </c>
      <c r="BB19" s="120">
        <v>0</v>
      </c>
      <c r="BC19" s="120">
        <v>0</v>
      </c>
      <c r="BD19" s="120">
        <v>0</v>
      </c>
      <c r="BE19" s="120">
        <v>862.49478402734235</v>
      </c>
      <c r="BF19" s="120">
        <v>0</v>
      </c>
      <c r="BG19" s="120">
        <v>0</v>
      </c>
      <c r="BH19" s="120">
        <v>0</v>
      </c>
      <c r="BI19" s="120">
        <v>0</v>
      </c>
      <c r="BJ19" s="120">
        <v>0</v>
      </c>
      <c r="BK19" s="120">
        <v>0</v>
      </c>
      <c r="BL19" s="120">
        <v>0</v>
      </c>
      <c r="BM19" s="120">
        <v>0</v>
      </c>
      <c r="BN19" s="120">
        <v>0</v>
      </c>
      <c r="BO19" s="120">
        <v>0</v>
      </c>
      <c r="BP19" s="120">
        <v>0</v>
      </c>
      <c r="BQ19" s="120">
        <v>0</v>
      </c>
      <c r="BR19" s="120">
        <v>0</v>
      </c>
      <c r="BS19" s="120">
        <v>0</v>
      </c>
      <c r="BT19" s="120">
        <v>0</v>
      </c>
      <c r="BU19" s="120">
        <v>0</v>
      </c>
      <c r="BV19" s="120">
        <v>0</v>
      </c>
      <c r="BW19" s="120">
        <v>0</v>
      </c>
      <c r="BX19" s="120">
        <v>0</v>
      </c>
      <c r="BY19" s="120">
        <v>0</v>
      </c>
      <c r="BZ19" s="120">
        <v>-868.10686121108085</v>
      </c>
      <c r="CA19" s="120">
        <v>-6163.5384261043982</v>
      </c>
      <c r="CB19" s="120">
        <v>-21656.802919898269</v>
      </c>
      <c r="CC19" s="120">
        <v>0</v>
      </c>
      <c r="CD19" s="120">
        <v>0</v>
      </c>
      <c r="CE19" s="120">
        <v>0</v>
      </c>
      <c r="CF19" s="120">
        <v>0</v>
      </c>
      <c r="CG19" s="120">
        <v>0</v>
      </c>
      <c r="CH19" s="120">
        <v>0</v>
      </c>
      <c r="CI19" s="120">
        <v>0</v>
      </c>
      <c r="CJ19" s="120">
        <v>0</v>
      </c>
      <c r="CK19" s="120">
        <v>0</v>
      </c>
      <c r="CL19" s="120">
        <v>0</v>
      </c>
      <c r="CM19" s="120">
        <v>0</v>
      </c>
      <c r="CN19" s="120">
        <v>0</v>
      </c>
      <c r="CO19" s="120">
        <v>0</v>
      </c>
      <c r="CP19" s="120">
        <v>0</v>
      </c>
      <c r="CQ19" s="120">
        <v>0</v>
      </c>
      <c r="CR19" s="120">
        <v>0</v>
      </c>
      <c r="CS19" s="120">
        <v>0</v>
      </c>
      <c r="CT19" s="120">
        <v>0</v>
      </c>
      <c r="CU19" s="120">
        <v>0</v>
      </c>
      <c r="CV19" s="120">
        <v>0</v>
      </c>
      <c r="CW19" s="120">
        <v>0</v>
      </c>
      <c r="CX19" s="120">
        <v>0</v>
      </c>
      <c r="CY19" s="120">
        <v>0</v>
      </c>
      <c r="CZ19" s="120">
        <v>0</v>
      </c>
      <c r="DA19" s="120">
        <v>0</v>
      </c>
      <c r="DB19" s="120">
        <v>0</v>
      </c>
      <c r="DC19" s="120">
        <v>0</v>
      </c>
      <c r="DD19" s="120">
        <v>0</v>
      </c>
      <c r="DE19" s="120">
        <v>0</v>
      </c>
      <c r="DF19" s="120">
        <v>0</v>
      </c>
      <c r="DG19" s="120">
        <v>0</v>
      </c>
      <c r="DH19" s="120">
        <v>0</v>
      </c>
      <c r="DI19" s="120">
        <v>0</v>
      </c>
      <c r="DJ19" s="120">
        <v>0</v>
      </c>
      <c r="DK19" s="120">
        <v>0</v>
      </c>
      <c r="DL19" s="120">
        <v>0</v>
      </c>
      <c r="DM19" s="120">
        <v>0</v>
      </c>
      <c r="DN19" s="120">
        <v>87.092317054103617</v>
      </c>
      <c r="DO19" s="120">
        <v>-35.487788015089272</v>
      </c>
      <c r="DP19" s="120">
        <v>4009.7451737079</v>
      </c>
      <c r="DQ19" s="120">
        <v>-667.72621939663179</v>
      </c>
      <c r="DR19" s="120">
        <v>-12746.317632535211</v>
      </c>
      <c r="DS19" s="120">
        <v>-117.2778695876934</v>
      </c>
      <c r="DT19" s="120">
        <v>-219.6850526263776</v>
      </c>
      <c r="DU19" s="120">
        <v>0</v>
      </c>
      <c r="DV19" s="120">
        <v>0</v>
      </c>
      <c r="DW19" s="120">
        <v>0</v>
      </c>
      <c r="DX19" s="120">
        <v>0</v>
      </c>
      <c r="DY19" s="120">
        <v>0</v>
      </c>
      <c r="DZ19" s="120">
        <v>0</v>
      </c>
      <c r="EA19" s="120">
        <v>0</v>
      </c>
      <c r="EB19" s="120">
        <v>0</v>
      </c>
      <c r="EC19" s="120">
        <v>0</v>
      </c>
      <c r="ED19" s="120">
        <f t="shared" si="0"/>
        <v>28089.411508327525</v>
      </c>
    </row>
    <row r="20" spans="1:134">
      <c r="A20" s="120">
        <v>19</v>
      </c>
      <c r="B20" s="120">
        <v>0</v>
      </c>
      <c r="C20" s="120">
        <v>0</v>
      </c>
      <c r="D20" s="120">
        <v>0</v>
      </c>
      <c r="E20" s="120">
        <v>0</v>
      </c>
      <c r="F20" s="120">
        <v>0</v>
      </c>
      <c r="G20" s="120">
        <v>0</v>
      </c>
      <c r="H20" s="120">
        <v>0</v>
      </c>
      <c r="I20" s="120">
        <v>0</v>
      </c>
      <c r="J20" s="120">
        <v>0</v>
      </c>
      <c r="K20" s="120">
        <v>0</v>
      </c>
      <c r="L20" s="120">
        <v>0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131556.86335464171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120">
        <v>0</v>
      </c>
      <c r="Z20" s="120">
        <v>0</v>
      </c>
      <c r="AA20" s="120">
        <v>0</v>
      </c>
      <c r="AB20" s="120">
        <v>0</v>
      </c>
      <c r="AC20" s="120">
        <v>0</v>
      </c>
      <c r="AD20" s="120">
        <v>0</v>
      </c>
      <c r="AE20" s="120">
        <v>0</v>
      </c>
      <c r="AF20" s="120">
        <v>0</v>
      </c>
      <c r="AG20" s="120">
        <v>0</v>
      </c>
      <c r="AH20" s="120">
        <v>0</v>
      </c>
      <c r="AI20" s="120">
        <v>0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20">
        <v>0</v>
      </c>
      <c r="AT20" s="120">
        <v>0</v>
      </c>
      <c r="AU20" s="120">
        <v>0</v>
      </c>
      <c r="AV20" s="120">
        <v>0</v>
      </c>
      <c r="AW20" s="120">
        <v>0</v>
      </c>
      <c r="AX20" s="120">
        <v>0</v>
      </c>
      <c r="AY20" s="120">
        <v>0</v>
      </c>
      <c r="AZ20" s="120">
        <v>0</v>
      </c>
      <c r="BA20" s="120">
        <v>0</v>
      </c>
      <c r="BB20" s="120">
        <v>0</v>
      </c>
      <c r="BC20" s="120">
        <v>0</v>
      </c>
      <c r="BD20" s="120">
        <v>0</v>
      </c>
      <c r="BE20" s="120">
        <v>2964.8258200939899</v>
      </c>
      <c r="BF20" s="120">
        <v>0</v>
      </c>
      <c r="BG20" s="120">
        <v>0</v>
      </c>
      <c r="BH20" s="120">
        <v>0</v>
      </c>
      <c r="BI20" s="120">
        <v>0</v>
      </c>
      <c r="BJ20" s="120">
        <v>0</v>
      </c>
      <c r="BK20" s="120">
        <v>0</v>
      </c>
      <c r="BL20" s="120">
        <v>0</v>
      </c>
      <c r="BM20" s="120">
        <v>0</v>
      </c>
      <c r="BN20" s="120">
        <v>0</v>
      </c>
      <c r="BO20" s="120">
        <v>0</v>
      </c>
      <c r="BP20" s="120">
        <v>0</v>
      </c>
      <c r="BQ20" s="120">
        <v>0</v>
      </c>
      <c r="BR20" s="120">
        <v>0</v>
      </c>
      <c r="BS20" s="120">
        <v>0</v>
      </c>
      <c r="BT20" s="120">
        <v>0</v>
      </c>
      <c r="BU20" s="120">
        <v>0</v>
      </c>
      <c r="BV20" s="120">
        <v>0</v>
      </c>
      <c r="BW20" s="120">
        <v>0</v>
      </c>
      <c r="BX20" s="120">
        <v>0</v>
      </c>
      <c r="BY20" s="120">
        <v>0</v>
      </c>
      <c r="BZ20" s="120">
        <v>-2205.015797261442</v>
      </c>
      <c r="CA20" s="120">
        <v>-17098.617792003621</v>
      </c>
      <c r="CB20" s="120">
        <v>-41663.67573958003</v>
      </c>
      <c r="CC20" s="120">
        <v>0</v>
      </c>
      <c r="CD20" s="120">
        <v>0</v>
      </c>
      <c r="CE20" s="120">
        <v>0</v>
      </c>
      <c r="CF20" s="120">
        <v>0</v>
      </c>
      <c r="CG20" s="120">
        <v>0</v>
      </c>
      <c r="CH20" s="120">
        <v>0</v>
      </c>
      <c r="CI20" s="120">
        <v>0</v>
      </c>
      <c r="CJ20" s="120">
        <v>0</v>
      </c>
      <c r="CK20" s="120">
        <v>0</v>
      </c>
      <c r="CL20" s="120">
        <v>0</v>
      </c>
      <c r="CM20" s="120">
        <v>0</v>
      </c>
      <c r="CN20" s="120">
        <v>0</v>
      </c>
      <c r="CO20" s="120">
        <v>0</v>
      </c>
      <c r="CP20" s="120">
        <v>0</v>
      </c>
      <c r="CQ20" s="120">
        <v>0</v>
      </c>
      <c r="CR20" s="120">
        <v>0</v>
      </c>
      <c r="CS20" s="120">
        <v>0</v>
      </c>
      <c r="CT20" s="120">
        <v>0</v>
      </c>
      <c r="CU20" s="120">
        <v>0</v>
      </c>
      <c r="CV20" s="120">
        <v>0</v>
      </c>
      <c r="CW20" s="120">
        <v>0</v>
      </c>
      <c r="CX20" s="120">
        <v>0</v>
      </c>
      <c r="CY20" s="120">
        <v>0</v>
      </c>
      <c r="CZ20" s="120">
        <v>0</v>
      </c>
      <c r="DA20" s="120">
        <v>0</v>
      </c>
      <c r="DB20" s="120">
        <v>0</v>
      </c>
      <c r="DC20" s="120">
        <v>0</v>
      </c>
      <c r="DD20" s="120">
        <v>0</v>
      </c>
      <c r="DE20" s="120">
        <v>0</v>
      </c>
      <c r="DF20" s="120">
        <v>0</v>
      </c>
      <c r="DG20" s="120">
        <v>0</v>
      </c>
      <c r="DH20" s="120">
        <v>0</v>
      </c>
      <c r="DI20" s="120">
        <v>0</v>
      </c>
      <c r="DJ20" s="120">
        <v>0</v>
      </c>
      <c r="DK20" s="120">
        <v>0</v>
      </c>
      <c r="DL20" s="120">
        <v>0</v>
      </c>
      <c r="DM20" s="120">
        <v>0</v>
      </c>
      <c r="DN20" s="120">
        <v>242.78807938546211</v>
      </c>
      <c r="DO20" s="120">
        <v>-91.254312038800961</v>
      </c>
      <c r="DP20" s="120">
        <v>8148.0465806358961</v>
      </c>
      <c r="DQ20" s="120">
        <v>-2011.0901062870121</v>
      </c>
      <c r="DR20" s="120">
        <v>-17327.5482096419</v>
      </c>
      <c r="DS20" s="120">
        <v>-412.96938153627428</v>
      </c>
      <c r="DT20" s="120">
        <v>-784.24248072153057</v>
      </c>
      <c r="DU20" s="120">
        <v>0</v>
      </c>
      <c r="DV20" s="120">
        <v>0</v>
      </c>
      <c r="DW20" s="120">
        <v>0</v>
      </c>
      <c r="DX20" s="120">
        <v>0</v>
      </c>
      <c r="DY20" s="120">
        <v>0</v>
      </c>
      <c r="DZ20" s="120">
        <v>0</v>
      </c>
      <c r="EA20" s="120">
        <v>0</v>
      </c>
      <c r="EB20" s="120">
        <v>0</v>
      </c>
      <c r="EC20" s="120">
        <v>0</v>
      </c>
      <c r="ED20" s="120">
        <f t="shared" si="0"/>
        <v>61318.110015686463</v>
      </c>
    </row>
    <row r="21" spans="1:134">
      <c r="A21" s="120">
        <v>20</v>
      </c>
      <c r="B21" s="120">
        <v>0</v>
      </c>
      <c r="C21" s="120">
        <v>0</v>
      </c>
      <c r="D21" s="120">
        <v>0</v>
      </c>
      <c r="E21" s="120">
        <v>0</v>
      </c>
      <c r="F21" s="120">
        <v>0</v>
      </c>
      <c r="G21" s="120">
        <v>0</v>
      </c>
      <c r="H21" s="120">
        <v>0</v>
      </c>
      <c r="I21" s="120">
        <v>0</v>
      </c>
      <c r="J21" s="120">
        <v>0</v>
      </c>
      <c r="K21" s="120">
        <v>0</v>
      </c>
      <c r="L21" s="120">
        <v>0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122350.0031514633</v>
      </c>
      <c r="T21" s="120">
        <v>0</v>
      </c>
      <c r="U21" s="120">
        <v>0</v>
      </c>
      <c r="V21" s="120">
        <v>0</v>
      </c>
      <c r="W21" s="120">
        <v>0</v>
      </c>
      <c r="X21" s="120">
        <v>0</v>
      </c>
      <c r="Y21" s="120">
        <v>0</v>
      </c>
      <c r="Z21" s="120">
        <v>0</v>
      </c>
      <c r="AA21" s="120">
        <v>0</v>
      </c>
      <c r="AB21" s="120">
        <v>0</v>
      </c>
      <c r="AC21" s="120">
        <v>0</v>
      </c>
      <c r="AD21" s="120">
        <v>0</v>
      </c>
      <c r="AE21" s="120">
        <v>0</v>
      </c>
      <c r="AF21" s="120">
        <v>0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20">
        <v>0</v>
      </c>
      <c r="AT21" s="120">
        <v>0</v>
      </c>
      <c r="AU21" s="120">
        <v>0</v>
      </c>
      <c r="AV21" s="120">
        <v>0</v>
      </c>
      <c r="AW21" s="120">
        <v>0</v>
      </c>
      <c r="AX21" s="120">
        <v>0</v>
      </c>
      <c r="AY21" s="120">
        <v>0</v>
      </c>
      <c r="AZ21" s="120">
        <v>0</v>
      </c>
      <c r="BA21" s="120">
        <v>0</v>
      </c>
      <c r="BB21" s="120">
        <v>0</v>
      </c>
      <c r="BC21" s="120">
        <v>0</v>
      </c>
      <c r="BD21" s="120">
        <v>0</v>
      </c>
      <c r="BE21" s="120">
        <v>3265.1588252463671</v>
      </c>
      <c r="BF21" s="120">
        <v>0</v>
      </c>
      <c r="BG21" s="120">
        <v>0</v>
      </c>
      <c r="BH21" s="120">
        <v>0</v>
      </c>
      <c r="BI21" s="120">
        <v>0</v>
      </c>
      <c r="BJ21" s="120">
        <v>0</v>
      </c>
      <c r="BK21" s="120">
        <v>0</v>
      </c>
      <c r="BL21" s="120">
        <v>0</v>
      </c>
      <c r="BM21" s="120">
        <v>0</v>
      </c>
      <c r="BN21" s="120">
        <v>0</v>
      </c>
      <c r="BO21" s="120">
        <v>0</v>
      </c>
      <c r="BP21" s="120">
        <v>0</v>
      </c>
      <c r="BQ21" s="120">
        <v>0</v>
      </c>
      <c r="BR21" s="120">
        <v>0</v>
      </c>
      <c r="BS21" s="120">
        <v>0</v>
      </c>
      <c r="BT21" s="120">
        <v>0</v>
      </c>
      <c r="BU21" s="120">
        <v>0</v>
      </c>
      <c r="BV21" s="120">
        <v>0</v>
      </c>
      <c r="BW21" s="120">
        <v>0</v>
      </c>
      <c r="BX21" s="120">
        <v>0</v>
      </c>
      <c r="BY21" s="120">
        <v>0</v>
      </c>
      <c r="BZ21" s="120">
        <v>-1515.903134813095</v>
      </c>
      <c r="CA21" s="120">
        <v>-9652.2749300677606</v>
      </c>
      <c r="CB21" s="120">
        <v>-41190.59341491021</v>
      </c>
      <c r="CC21" s="120">
        <v>0</v>
      </c>
      <c r="CD21" s="120">
        <v>0</v>
      </c>
      <c r="CE21" s="120">
        <v>0</v>
      </c>
      <c r="CF21" s="120">
        <v>0</v>
      </c>
      <c r="CG21" s="120">
        <v>0</v>
      </c>
      <c r="CH21" s="120">
        <v>0</v>
      </c>
      <c r="CI21" s="120">
        <v>0</v>
      </c>
      <c r="CJ21" s="120">
        <v>0</v>
      </c>
      <c r="CK21" s="120">
        <v>0</v>
      </c>
      <c r="CL21" s="120">
        <v>0</v>
      </c>
      <c r="CM21" s="120">
        <v>0</v>
      </c>
      <c r="CN21" s="120">
        <v>0</v>
      </c>
      <c r="CO21" s="120">
        <v>0</v>
      </c>
      <c r="CP21" s="120">
        <v>0</v>
      </c>
      <c r="CQ21" s="120">
        <v>0</v>
      </c>
      <c r="CR21" s="120">
        <v>0</v>
      </c>
      <c r="CS21" s="120">
        <v>0</v>
      </c>
      <c r="CT21" s="120">
        <v>0</v>
      </c>
      <c r="CU21" s="120">
        <v>0</v>
      </c>
      <c r="CV21" s="120">
        <v>0</v>
      </c>
      <c r="CW21" s="120">
        <v>0</v>
      </c>
      <c r="CX21" s="120">
        <v>0</v>
      </c>
      <c r="CY21" s="120">
        <v>0</v>
      </c>
      <c r="CZ21" s="120">
        <v>0</v>
      </c>
      <c r="DA21" s="120">
        <v>0</v>
      </c>
      <c r="DB21" s="120">
        <v>0</v>
      </c>
      <c r="DC21" s="120">
        <v>0</v>
      </c>
      <c r="DD21" s="120">
        <v>0</v>
      </c>
      <c r="DE21" s="120">
        <v>0</v>
      </c>
      <c r="DF21" s="120">
        <v>0</v>
      </c>
      <c r="DG21" s="120">
        <v>0</v>
      </c>
      <c r="DH21" s="120">
        <v>0</v>
      </c>
      <c r="DI21" s="120">
        <v>0</v>
      </c>
      <c r="DJ21" s="120">
        <v>0</v>
      </c>
      <c r="DK21" s="120">
        <v>0</v>
      </c>
      <c r="DL21" s="120">
        <v>0</v>
      </c>
      <c r="DM21" s="120">
        <v>0</v>
      </c>
      <c r="DN21" s="120">
        <v>253.00561378845751</v>
      </c>
      <c r="DO21" s="120">
        <v>-58.663486310657781</v>
      </c>
      <c r="DP21" s="120">
        <v>7220.8882133451098</v>
      </c>
      <c r="DQ21" s="120">
        <v>-1496.845979974441</v>
      </c>
      <c r="DR21" s="120">
        <v>-4960.0242856627692</v>
      </c>
      <c r="DS21" s="120">
        <v>-69.692526501813575</v>
      </c>
      <c r="DT21" s="120">
        <v>-368.63245303442341</v>
      </c>
      <c r="DU21" s="120">
        <v>0</v>
      </c>
      <c r="DV21" s="120">
        <v>0</v>
      </c>
      <c r="DW21" s="120">
        <v>0</v>
      </c>
      <c r="DX21" s="120">
        <v>0</v>
      </c>
      <c r="DY21" s="120">
        <v>0</v>
      </c>
      <c r="DZ21" s="120">
        <v>0</v>
      </c>
      <c r="EA21" s="120">
        <v>0</v>
      </c>
      <c r="EB21" s="120">
        <v>0</v>
      </c>
      <c r="EC21" s="120">
        <v>0</v>
      </c>
      <c r="ED21" s="120">
        <f t="shared" si="0"/>
        <v>73776.425592568048</v>
      </c>
    </row>
    <row r="22" spans="1:134">
      <c r="A22" s="120">
        <v>21</v>
      </c>
      <c r="B22" s="120">
        <v>0</v>
      </c>
      <c r="C22" s="120">
        <v>0</v>
      </c>
      <c r="D22" s="120">
        <v>0</v>
      </c>
      <c r="E22" s="120">
        <v>0</v>
      </c>
      <c r="F22" s="120">
        <v>0</v>
      </c>
      <c r="G22" s="120">
        <v>0</v>
      </c>
      <c r="H22" s="120">
        <v>0</v>
      </c>
      <c r="I22" s="120">
        <v>0</v>
      </c>
      <c r="J22" s="120">
        <v>0</v>
      </c>
      <c r="K22" s="120">
        <v>0</v>
      </c>
      <c r="L22" s="120">
        <v>0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237221.62633615421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120">
        <v>0</v>
      </c>
      <c r="Z22" s="120">
        <v>0</v>
      </c>
      <c r="AA22" s="120">
        <v>0</v>
      </c>
      <c r="AB22" s="120">
        <v>0</v>
      </c>
      <c r="AC22" s="120">
        <v>1428.181472862228</v>
      </c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20">
        <v>0</v>
      </c>
      <c r="AT22" s="120">
        <v>0</v>
      </c>
      <c r="AU22" s="120">
        <v>0</v>
      </c>
      <c r="AV22" s="120">
        <v>0</v>
      </c>
      <c r="AW22" s="120">
        <v>0</v>
      </c>
      <c r="AX22" s="120">
        <v>0</v>
      </c>
      <c r="AY22" s="120">
        <v>0</v>
      </c>
      <c r="AZ22" s="120">
        <v>0</v>
      </c>
      <c r="BA22" s="120">
        <v>0</v>
      </c>
      <c r="BB22" s="120">
        <v>0</v>
      </c>
      <c r="BC22" s="120">
        <v>0</v>
      </c>
      <c r="BD22" s="120">
        <v>0</v>
      </c>
      <c r="BE22" s="120">
        <v>7065.5264673668444</v>
      </c>
      <c r="BF22" s="120">
        <v>0</v>
      </c>
      <c r="BG22" s="120">
        <v>0</v>
      </c>
      <c r="BH22" s="120">
        <v>0</v>
      </c>
      <c r="BI22" s="120">
        <v>0</v>
      </c>
      <c r="BJ22" s="120">
        <v>0</v>
      </c>
      <c r="BK22" s="120">
        <v>0</v>
      </c>
      <c r="BL22" s="120">
        <v>0</v>
      </c>
      <c r="BM22" s="120">
        <v>0</v>
      </c>
      <c r="BN22" s="120">
        <v>0</v>
      </c>
      <c r="BO22" s="120">
        <v>0</v>
      </c>
      <c r="BP22" s="120">
        <v>0</v>
      </c>
      <c r="BQ22" s="120">
        <v>0</v>
      </c>
      <c r="BR22" s="120">
        <v>0</v>
      </c>
      <c r="BS22" s="120">
        <v>0</v>
      </c>
      <c r="BT22" s="120">
        <v>0</v>
      </c>
      <c r="BU22" s="120">
        <v>0</v>
      </c>
      <c r="BV22" s="120">
        <v>0</v>
      </c>
      <c r="BW22" s="120">
        <v>0</v>
      </c>
      <c r="BX22" s="120">
        <v>0</v>
      </c>
      <c r="BY22" s="120">
        <v>0</v>
      </c>
      <c r="BZ22" s="120">
        <v>-3231.588463173714</v>
      </c>
      <c r="CA22" s="120">
        <v>-11921.757138501671</v>
      </c>
      <c r="CB22" s="120">
        <v>-83008.326425016247</v>
      </c>
      <c r="CC22" s="120">
        <v>0</v>
      </c>
      <c r="CD22" s="120">
        <v>0</v>
      </c>
      <c r="CE22" s="120">
        <v>0</v>
      </c>
      <c r="CF22" s="120">
        <v>0</v>
      </c>
      <c r="CG22" s="120">
        <v>0</v>
      </c>
      <c r="CH22" s="120">
        <v>0</v>
      </c>
      <c r="CI22" s="120">
        <v>0</v>
      </c>
      <c r="CJ22" s="120">
        <v>0</v>
      </c>
      <c r="CK22" s="120">
        <v>0</v>
      </c>
      <c r="CL22" s="120">
        <v>0</v>
      </c>
      <c r="CM22" s="120">
        <v>0</v>
      </c>
      <c r="CN22" s="120">
        <v>0</v>
      </c>
      <c r="CO22" s="120">
        <v>0</v>
      </c>
      <c r="CP22" s="120">
        <v>0</v>
      </c>
      <c r="CQ22" s="120">
        <v>0</v>
      </c>
      <c r="CR22" s="120">
        <v>0</v>
      </c>
      <c r="CS22" s="120">
        <v>0</v>
      </c>
      <c r="CT22" s="120">
        <v>0</v>
      </c>
      <c r="CU22" s="120">
        <v>0</v>
      </c>
      <c r="CV22" s="120">
        <v>0</v>
      </c>
      <c r="CW22" s="120">
        <v>0</v>
      </c>
      <c r="CX22" s="120">
        <v>0</v>
      </c>
      <c r="CY22" s="120">
        <v>0</v>
      </c>
      <c r="CZ22" s="120">
        <v>0</v>
      </c>
      <c r="DA22" s="120">
        <v>0</v>
      </c>
      <c r="DB22" s="120">
        <v>0</v>
      </c>
      <c r="DC22" s="120">
        <v>0</v>
      </c>
      <c r="DD22" s="120">
        <v>0</v>
      </c>
      <c r="DE22" s="120">
        <v>0</v>
      </c>
      <c r="DF22" s="120">
        <v>0</v>
      </c>
      <c r="DG22" s="120">
        <v>0</v>
      </c>
      <c r="DH22" s="120">
        <v>0</v>
      </c>
      <c r="DI22" s="120">
        <v>0</v>
      </c>
      <c r="DJ22" s="120">
        <v>0</v>
      </c>
      <c r="DK22" s="120">
        <v>0</v>
      </c>
      <c r="DL22" s="120">
        <v>0</v>
      </c>
      <c r="DM22" s="120">
        <v>0</v>
      </c>
      <c r="DN22" s="120">
        <v>465.62763922221859</v>
      </c>
      <c r="DO22" s="120">
        <v>-52.145321165029102</v>
      </c>
      <c r="DP22" s="120">
        <v>26836.221975043511</v>
      </c>
      <c r="DQ22" s="120">
        <v>-3590.215146471463</v>
      </c>
      <c r="DR22" s="120">
        <v>-15751.5221577172</v>
      </c>
      <c r="DS22" s="120">
        <v>-94.88257011233209</v>
      </c>
      <c r="DT22" s="120">
        <v>-162.7609590052237</v>
      </c>
      <c r="DU22" s="120">
        <v>0</v>
      </c>
      <c r="DV22" s="120">
        <v>0</v>
      </c>
      <c r="DW22" s="120">
        <v>0</v>
      </c>
      <c r="DX22" s="120">
        <v>0</v>
      </c>
      <c r="DY22" s="120">
        <v>0</v>
      </c>
      <c r="DZ22" s="120">
        <v>0</v>
      </c>
      <c r="EA22" s="120">
        <v>0</v>
      </c>
      <c r="EB22" s="120">
        <v>0</v>
      </c>
      <c r="EC22" s="120">
        <v>0</v>
      </c>
      <c r="ED22" s="120">
        <f t="shared" si="0"/>
        <v>155203.98570948612</v>
      </c>
    </row>
    <row r="23" spans="1:134">
      <c r="A23" s="120">
        <v>22</v>
      </c>
      <c r="B23" s="120">
        <v>0</v>
      </c>
      <c r="C23" s="120">
        <v>0</v>
      </c>
      <c r="D23" s="120">
        <v>0</v>
      </c>
      <c r="E23" s="120">
        <v>0</v>
      </c>
      <c r="F23" s="120">
        <v>0</v>
      </c>
      <c r="G23" s="120">
        <v>0</v>
      </c>
      <c r="H23" s="120">
        <v>0</v>
      </c>
      <c r="I23" s="120">
        <v>0</v>
      </c>
      <c r="J23" s="120">
        <v>0</v>
      </c>
      <c r="K23" s="120">
        <v>0</v>
      </c>
      <c r="L23" s="120">
        <v>0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14187.298382326309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120">
        <v>0</v>
      </c>
      <c r="Z23" s="120">
        <v>0</v>
      </c>
      <c r="AA23" s="120">
        <v>0</v>
      </c>
      <c r="AB23" s="120">
        <v>0</v>
      </c>
      <c r="AC23" s="120">
        <v>0</v>
      </c>
      <c r="AD23" s="120">
        <v>0</v>
      </c>
      <c r="AE23" s="120">
        <v>0</v>
      </c>
      <c r="AF23" s="120">
        <v>0</v>
      </c>
      <c r="AG23" s="120">
        <v>0</v>
      </c>
      <c r="AH23" s="120">
        <v>0</v>
      </c>
      <c r="AI23" s="120">
        <v>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20">
        <v>0</v>
      </c>
      <c r="AT23" s="120">
        <v>0</v>
      </c>
      <c r="AU23" s="120">
        <v>0</v>
      </c>
      <c r="AV23" s="120">
        <v>0</v>
      </c>
      <c r="AW23" s="120">
        <v>0</v>
      </c>
      <c r="AX23" s="120">
        <v>0</v>
      </c>
      <c r="AY23" s="120">
        <v>0</v>
      </c>
      <c r="AZ23" s="120">
        <v>0</v>
      </c>
      <c r="BA23" s="120">
        <v>0</v>
      </c>
      <c r="BB23" s="120">
        <v>0</v>
      </c>
      <c r="BC23" s="120">
        <v>0</v>
      </c>
      <c r="BD23" s="120">
        <v>0</v>
      </c>
      <c r="BE23" s="120">
        <v>485.15331601537991</v>
      </c>
      <c r="BF23" s="120">
        <v>0</v>
      </c>
      <c r="BG23" s="120">
        <v>0</v>
      </c>
      <c r="BH23" s="120">
        <v>0</v>
      </c>
      <c r="BI23" s="120">
        <v>0</v>
      </c>
      <c r="BJ23" s="120">
        <v>0</v>
      </c>
      <c r="BK23" s="120">
        <v>0</v>
      </c>
      <c r="BL23" s="120">
        <v>0</v>
      </c>
      <c r="BM23" s="120">
        <v>0</v>
      </c>
      <c r="BN23" s="120">
        <v>0</v>
      </c>
      <c r="BO23" s="120">
        <v>0</v>
      </c>
      <c r="BP23" s="120">
        <v>0</v>
      </c>
      <c r="BQ23" s="120">
        <v>0</v>
      </c>
      <c r="BR23" s="120">
        <v>0</v>
      </c>
      <c r="BS23" s="120">
        <v>0</v>
      </c>
      <c r="BT23" s="120">
        <v>0</v>
      </c>
      <c r="BU23" s="120">
        <v>0</v>
      </c>
      <c r="BV23" s="120">
        <v>0</v>
      </c>
      <c r="BW23" s="120">
        <v>0</v>
      </c>
      <c r="BX23" s="120">
        <v>0</v>
      </c>
      <c r="BY23" s="120">
        <v>0</v>
      </c>
      <c r="BZ23" s="120">
        <v>-182.34568205551039</v>
      </c>
      <c r="CA23" s="120">
        <v>-966.87051097643553</v>
      </c>
      <c r="CB23" s="120">
        <v>-4836.4839795980079</v>
      </c>
      <c r="CC23" s="120">
        <v>0</v>
      </c>
      <c r="CD23" s="120">
        <v>0</v>
      </c>
      <c r="CE23" s="120">
        <v>0</v>
      </c>
      <c r="CF23" s="120">
        <v>0</v>
      </c>
      <c r="CG23" s="120">
        <v>0</v>
      </c>
      <c r="CH23" s="120">
        <v>0</v>
      </c>
      <c r="CI23" s="120">
        <v>0</v>
      </c>
      <c r="CJ23" s="120">
        <v>0</v>
      </c>
      <c r="CK23" s="120">
        <v>0</v>
      </c>
      <c r="CL23" s="120">
        <v>0</v>
      </c>
      <c r="CM23" s="120">
        <v>0</v>
      </c>
      <c r="CN23" s="120">
        <v>0</v>
      </c>
      <c r="CO23" s="120">
        <v>0</v>
      </c>
      <c r="CP23" s="120">
        <v>0</v>
      </c>
      <c r="CQ23" s="120">
        <v>0</v>
      </c>
      <c r="CR23" s="120">
        <v>0</v>
      </c>
      <c r="CS23" s="120">
        <v>0</v>
      </c>
      <c r="CT23" s="120">
        <v>0</v>
      </c>
      <c r="CU23" s="120">
        <v>0</v>
      </c>
      <c r="CV23" s="120">
        <v>0</v>
      </c>
      <c r="CW23" s="120">
        <v>0</v>
      </c>
      <c r="CX23" s="120">
        <v>0</v>
      </c>
      <c r="CY23" s="120">
        <v>0</v>
      </c>
      <c r="CZ23" s="120">
        <v>0</v>
      </c>
      <c r="DA23" s="120">
        <v>0</v>
      </c>
      <c r="DB23" s="120">
        <v>0</v>
      </c>
      <c r="DC23" s="120">
        <v>0</v>
      </c>
      <c r="DD23" s="120">
        <v>0</v>
      </c>
      <c r="DE23" s="120">
        <v>0</v>
      </c>
      <c r="DF23" s="120">
        <v>0</v>
      </c>
      <c r="DG23" s="120">
        <v>0</v>
      </c>
      <c r="DH23" s="120">
        <v>0</v>
      </c>
      <c r="DI23" s="120">
        <v>0</v>
      </c>
      <c r="DJ23" s="120">
        <v>0</v>
      </c>
      <c r="DK23" s="120">
        <v>0</v>
      </c>
      <c r="DL23" s="120">
        <v>0</v>
      </c>
      <c r="DM23" s="120">
        <v>0</v>
      </c>
      <c r="DN23" s="120">
        <v>-13.623379203993871</v>
      </c>
      <c r="DO23" s="120">
        <v>-3.6212028586825782</v>
      </c>
      <c r="DP23" s="120">
        <v>512.63397709343758</v>
      </c>
      <c r="DQ23" s="120">
        <v>-58.544715918662042</v>
      </c>
      <c r="DR23" s="120">
        <v>-6371.0881364875058</v>
      </c>
      <c r="DS23" s="120">
        <v>-73.010892226193562</v>
      </c>
      <c r="DT23" s="120">
        <v>-240.80519261629851</v>
      </c>
      <c r="DU23" s="120">
        <v>0</v>
      </c>
      <c r="DV23" s="120">
        <v>0</v>
      </c>
      <c r="DW23" s="120">
        <v>0</v>
      </c>
      <c r="DX23" s="120">
        <v>0</v>
      </c>
      <c r="DY23" s="120">
        <v>0</v>
      </c>
      <c r="DZ23" s="120">
        <v>0</v>
      </c>
      <c r="EA23" s="120">
        <v>0</v>
      </c>
      <c r="EB23" s="120">
        <v>0</v>
      </c>
      <c r="EC23" s="120">
        <v>0</v>
      </c>
      <c r="ED23" s="120">
        <f t="shared" si="0"/>
        <v>2438.691983493833</v>
      </c>
    </row>
    <row r="24" spans="1:134">
      <c r="A24" s="120">
        <v>23</v>
      </c>
      <c r="B24" s="120">
        <v>0</v>
      </c>
      <c r="C24" s="120">
        <v>0</v>
      </c>
      <c r="D24" s="120">
        <v>0</v>
      </c>
      <c r="E24" s="120">
        <v>0</v>
      </c>
      <c r="F24" s="120">
        <v>0</v>
      </c>
      <c r="G24" s="120">
        <v>0</v>
      </c>
      <c r="H24" s="120">
        <v>0</v>
      </c>
      <c r="I24" s="120">
        <v>0</v>
      </c>
      <c r="J24" s="120">
        <v>0</v>
      </c>
      <c r="K24" s="120">
        <v>0</v>
      </c>
      <c r="L24" s="120">
        <v>0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160573.1461209493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120">
        <v>0</v>
      </c>
      <c r="Z24" s="120">
        <v>0</v>
      </c>
      <c r="AA24" s="120">
        <v>0</v>
      </c>
      <c r="AB24" s="120">
        <v>0</v>
      </c>
      <c r="AC24" s="120">
        <v>0</v>
      </c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20">
        <v>0</v>
      </c>
      <c r="AT24" s="120">
        <v>0</v>
      </c>
      <c r="AU24" s="120">
        <v>0</v>
      </c>
      <c r="AV24" s="120">
        <v>0</v>
      </c>
      <c r="AW24" s="120">
        <v>0</v>
      </c>
      <c r="AX24" s="120">
        <v>0</v>
      </c>
      <c r="AY24" s="120">
        <v>0</v>
      </c>
      <c r="AZ24" s="120">
        <v>0</v>
      </c>
      <c r="BA24" s="120">
        <v>0</v>
      </c>
      <c r="BB24" s="120">
        <v>0</v>
      </c>
      <c r="BC24" s="120">
        <v>0</v>
      </c>
      <c r="BD24" s="120">
        <v>0</v>
      </c>
      <c r="BE24" s="120">
        <v>4284.237483754865</v>
      </c>
      <c r="BF24" s="120">
        <v>0</v>
      </c>
      <c r="BG24" s="120">
        <v>0</v>
      </c>
      <c r="BH24" s="120">
        <v>0</v>
      </c>
      <c r="BI24" s="120">
        <v>0</v>
      </c>
      <c r="BJ24" s="120">
        <v>0</v>
      </c>
      <c r="BK24" s="120">
        <v>0</v>
      </c>
      <c r="BL24" s="120">
        <v>0</v>
      </c>
      <c r="BM24" s="120">
        <v>0</v>
      </c>
      <c r="BN24" s="120">
        <v>0</v>
      </c>
      <c r="BO24" s="120">
        <v>0</v>
      </c>
      <c r="BP24" s="120">
        <v>0</v>
      </c>
      <c r="BQ24" s="120">
        <v>0</v>
      </c>
      <c r="BR24" s="120">
        <v>0</v>
      </c>
      <c r="BS24" s="120">
        <v>0</v>
      </c>
      <c r="BT24" s="120">
        <v>0</v>
      </c>
      <c r="BU24" s="120">
        <v>0</v>
      </c>
      <c r="BV24" s="120">
        <v>0</v>
      </c>
      <c r="BW24" s="120">
        <v>0</v>
      </c>
      <c r="BX24" s="120">
        <v>0</v>
      </c>
      <c r="BY24" s="120">
        <v>0</v>
      </c>
      <c r="BZ24" s="120">
        <v>-1776.2954184154839</v>
      </c>
      <c r="CA24" s="120">
        <v>-21082.090104382882</v>
      </c>
      <c r="CB24" s="120">
        <v>-51124.902487781168</v>
      </c>
      <c r="CC24" s="120">
        <v>0</v>
      </c>
      <c r="CD24" s="120">
        <v>0</v>
      </c>
      <c r="CE24" s="120">
        <v>0</v>
      </c>
      <c r="CF24" s="120">
        <v>0</v>
      </c>
      <c r="CG24" s="120">
        <v>0</v>
      </c>
      <c r="CH24" s="120">
        <v>0</v>
      </c>
      <c r="CI24" s="120">
        <v>0</v>
      </c>
      <c r="CJ24" s="120">
        <v>0</v>
      </c>
      <c r="CK24" s="120">
        <v>0</v>
      </c>
      <c r="CL24" s="120">
        <v>0</v>
      </c>
      <c r="CM24" s="120">
        <v>0</v>
      </c>
      <c r="CN24" s="120">
        <v>0</v>
      </c>
      <c r="CO24" s="120">
        <v>0</v>
      </c>
      <c r="CP24" s="120">
        <v>0</v>
      </c>
      <c r="CQ24" s="120">
        <v>0</v>
      </c>
      <c r="CR24" s="120">
        <v>0</v>
      </c>
      <c r="CS24" s="120">
        <v>0</v>
      </c>
      <c r="CT24" s="120">
        <v>0</v>
      </c>
      <c r="CU24" s="120">
        <v>0</v>
      </c>
      <c r="CV24" s="120">
        <v>0</v>
      </c>
      <c r="CW24" s="120">
        <v>0</v>
      </c>
      <c r="CX24" s="120">
        <v>0</v>
      </c>
      <c r="CY24" s="120">
        <v>0</v>
      </c>
      <c r="CZ24" s="120">
        <v>0</v>
      </c>
      <c r="DA24" s="120">
        <v>0</v>
      </c>
      <c r="DB24" s="120">
        <v>0</v>
      </c>
      <c r="DC24" s="120">
        <v>0</v>
      </c>
      <c r="DD24" s="120">
        <v>0</v>
      </c>
      <c r="DE24" s="120">
        <v>0</v>
      </c>
      <c r="DF24" s="120">
        <v>0</v>
      </c>
      <c r="DG24" s="120">
        <v>0</v>
      </c>
      <c r="DH24" s="120">
        <v>0</v>
      </c>
      <c r="DI24" s="120">
        <v>0</v>
      </c>
      <c r="DJ24" s="120">
        <v>0</v>
      </c>
      <c r="DK24" s="120">
        <v>0</v>
      </c>
      <c r="DL24" s="120">
        <v>0</v>
      </c>
      <c r="DM24" s="120">
        <v>0</v>
      </c>
      <c r="DN24" s="120">
        <v>289.4968080848696</v>
      </c>
      <c r="DO24" s="120">
        <v>-89.805830895327915</v>
      </c>
      <c r="DP24" s="120">
        <v>3239.7391606545539</v>
      </c>
      <c r="DQ24" s="120">
        <v>-734.18238341241045</v>
      </c>
      <c r="DR24" s="120">
        <v>-9391.1131073532179</v>
      </c>
      <c r="DS24" s="120">
        <v>-131.5593177003293</v>
      </c>
      <c r="DT24" s="120">
        <v>-40.700924696930507</v>
      </c>
      <c r="DU24" s="120">
        <v>0</v>
      </c>
      <c r="DV24" s="120">
        <v>0</v>
      </c>
      <c r="DW24" s="120">
        <v>0</v>
      </c>
      <c r="DX24" s="120">
        <v>0</v>
      </c>
      <c r="DY24" s="120">
        <v>0</v>
      </c>
      <c r="DZ24" s="120">
        <v>0</v>
      </c>
      <c r="EA24" s="120">
        <v>0</v>
      </c>
      <c r="EB24" s="120">
        <v>0</v>
      </c>
      <c r="EC24" s="120">
        <v>0</v>
      </c>
      <c r="ED24" s="120">
        <f t="shared" si="0"/>
        <v>84015.969998805842</v>
      </c>
    </row>
    <row r="25" spans="1:134">
      <c r="A25" s="120">
        <v>24</v>
      </c>
      <c r="B25" s="120">
        <v>0</v>
      </c>
      <c r="C25" s="120">
        <v>0</v>
      </c>
      <c r="D25" s="120">
        <v>0</v>
      </c>
      <c r="E25" s="120">
        <v>0</v>
      </c>
      <c r="F25" s="120">
        <v>0</v>
      </c>
      <c r="G25" s="120">
        <v>0</v>
      </c>
      <c r="H25" s="120">
        <v>0</v>
      </c>
      <c r="I25" s="120">
        <v>0</v>
      </c>
      <c r="J25" s="120">
        <v>0</v>
      </c>
      <c r="K25" s="120">
        <v>0</v>
      </c>
      <c r="L25" s="120">
        <v>0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171217.83228844899</v>
      </c>
      <c r="T25" s="120">
        <v>3636.8031616210951</v>
      </c>
      <c r="U25" s="120">
        <v>0</v>
      </c>
      <c r="V25" s="120">
        <v>0</v>
      </c>
      <c r="W25" s="120">
        <v>0</v>
      </c>
      <c r="X25" s="120">
        <v>0</v>
      </c>
      <c r="Y25" s="120">
        <v>0</v>
      </c>
      <c r="Z25" s="120">
        <v>0</v>
      </c>
      <c r="AA25" s="120">
        <v>0</v>
      </c>
      <c r="AB25" s="120">
        <v>0</v>
      </c>
      <c r="AC25" s="120">
        <v>0</v>
      </c>
      <c r="AD25" s="120">
        <v>0</v>
      </c>
      <c r="AE25" s="120">
        <v>0</v>
      </c>
      <c r="AF25" s="120">
        <v>0</v>
      </c>
      <c r="AG25" s="120">
        <v>0</v>
      </c>
      <c r="AH25" s="120">
        <v>0</v>
      </c>
      <c r="AI25" s="120">
        <v>0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20">
        <v>0</v>
      </c>
      <c r="AT25" s="120">
        <v>0</v>
      </c>
      <c r="AU25" s="120">
        <v>0</v>
      </c>
      <c r="AV25" s="120">
        <v>0</v>
      </c>
      <c r="AW25" s="120">
        <v>0</v>
      </c>
      <c r="AX25" s="120">
        <v>0</v>
      </c>
      <c r="AY25" s="120">
        <v>0</v>
      </c>
      <c r="AZ25" s="120">
        <v>0</v>
      </c>
      <c r="BA25" s="120">
        <v>0</v>
      </c>
      <c r="BB25" s="120">
        <v>0</v>
      </c>
      <c r="BC25" s="120">
        <v>0</v>
      </c>
      <c r="BD25" s="120">
        <v>0</v>
      </c>
      <c r="BE25" s="120">
        <v>5896.2813062821588</v>
      </c>
      <c r="BF25" s="120">
        <v>0</v>
      </c>
      <c r="BG25" s="120">
        <v>0</v>
      </c>
      <c r="BH25" s="120">
        <v>0</v>
      </c>
      <c r="BI25" s="120">
        <v>0</v>
      </c>
      <c r="BJ25" s="120">
        <v>0</v>
      </c>
      <c r="BK25" s="120">
        <v>0</v>
      </c>
      <c r="BL25" s="120">
        <v>0</v>
      </c>
      <c r="BM25" s="120">
        <v>0</v>
      </c>
      <c r="BN25" s="120">
        <v>0</v>
      </c>
      <c r="BO25" s="120">
        <v>0</v>
      </c>
      <c r="BP25" s="120">
        <v>0</v>
      </c>
      <c r="BQ25" s="120">
        <v>0</v>
      </c>
      <c r="BR25" s="120">
        <v>0</v>
      </c>
      <c r="BS25" s="120">
        <v>0</v>
      </c>
      <c r="BT25" s="120">
        <v>0</v>
      </c>
      <c r="BU25" s="120">
        <v>0</v>
      </c>
      <c r="BV25" s="120">
        <v>0</v>
      </c>
      <c r="BW25" s="120">
        <v>0</v>
      </c>
      <c r="BX25" s="120">
        <v>0</v>
      </c>
      <c r="BY25" s="120">
        <v>0</v>
      </c>
      <c r="BZ25" s="120">
        <v>-2507.2334903971919</v>
      </c>
      <c r="CA25" s="120">
        <v>-20546.083981071799</v>
      </c>
      <c r="CB25" s="120">
        <v>-56776.485599039363</v>
      </c>
      <c r="CC25" s="120">
        <v>0</v>
      </c>
      <c r="CD25" s="120">
        <v>0</v>
      </c>
      <c r="CE25" s="120">
        <v>0</v>
      </c>
      <c r="CF25" s="120">
        <v>0</v>
      </c>
      <c r="CG25" s="120">
        <v>0</v>
      </c>
      <c r="CH25" s="120">
        <v>0</v>
      </c>
      <c r="CI25" s="120">
        <v>0</v>
      </c>
      <c r="CJ25" s="120">
        <v>0</v>
      </c>
      <c r="CK25" s="120">
        <v>0</v>
      </c>
      <c r="CL25" s="120">
        <v>0</v>
      </c>
      <c r="CM25" s="120">
        <v>0</v>
      </c>
      <c r="CN25" s="120">
        <v>0</v>
      </c>
      <c r="CO25" s="120">
        <v>0</v>
      </c>
      <c r="CP25" s="120">
        <v>0</v>
      </c>
      <c r="CQ25" s="120">
        <v>0</v>
      </c>
      <c r="CR25" s="120">
        <v>0</v>
      </c>
      <c r="CS25" s="120">
        <v>0</v>
      </c>
      <c r="CT25" s="120">
        <v>0</v>
      </c>
      <c r="CU25" s="120">
        <v>0</v>
      </c>
      <c r="CV25" s="120">
        <v>0</v>
      </c>
      <c r="CW25" s="120">
        <v>0</v>
      </c>
      <c r="CX25" s="120">
        <v>0</v>
      </c>
      <c r="CY25" s="120">
        <v>0</v>
      </c>
      <c r="CZ25" s="120">
        <v>0</v>
      </c>
      <c r="DA25" s="120">
        <v>0</v>
      </c>
      <c r="DB25" s="120">
        <v>0</v>
      </c>
      <c r="DC25" s="120">
        <v>0</v>
      </c>
      <c r="DD25" s="120">
        <v>0</v>
      </c>
      <c r="DE25" s="120">
        <v>0</v>
      </c>
      <c r="DF25" s="120">
        <v>0</v>
      </c>
      <c r="DG25" s="120">
        <v>0</v>
      </c>
      <c r="DH25" s="120">
        <v>0</v>
      </c>
      <c r="DI25" s="120">
        <v>0</v>
      </c>
      <c r="DJ25" s="120">
        <v>0</v>
      </c>
      <c r="DK25" s="120">
        <v>0</v>
      </c>
      <c r="DL25" s="120">
        <v>0</v>
      </c>
      <c r="DM25" s="120">
        <v>0</v>
      </c>
      <c r="DN25" s="120">
        <v>536.17728152861559</v>
      </c>
      <c r="DO25" s="120">
        <v>-118.77545376478859</v>
      </c>
      <c r="DP25" s="120">
        <v>18467.7034260445</v>
      </c>
      <c r="DQ25" s="120">
        <v>-3985.7875513272888</v>
      </c>
      <c r="DR25" s="120">
        <v>-20536.12791466773</v>
      </c>
      <c r="DS25" s="120">
        <v>-237.9703279278086</v>
      </c>
      <c r="DT25" s="120">
        <v>-409.48742906645941</v>
      </c>
      <c r="DU25" s="120">
        <v>0</v>
      </c>
      <c r="DV25" s="120">
        <v>0</v>
      </c>
      <c r="DW25" s="120">
        <v>0</v>
      </c>
      <c r="DX25" s="120">
        <v>0</v>
      </c>
      <c r="DY25" s="120">
        <v>0</v>
      </c>
      <c r="DZ25" s="120">
        <v>0</v>
      </c>
      <c r="EA25" s="120">
        <v>0</v>
      </c>
      <c r="EB25" s="120">
        <v>0</v>
      </c>
      <c r="EC25" s="120">
        <v>0</v>
      </c>
      <c r="ED25" s="120">
        <f t="shared" si="0"/>
        <v>94636.845716662923</v>
      </c>
    </row>
    <row r="26" spans="1:134">
      <c r="A26" s="120">
        <v>25</v>
      </c>
      <c r="B26" s="120">
        <v>0</v>
      </c>
      <c r="C26" s="120">
        <v>0</v>
      </c>
      <c r="D26" s="120">
        <v>0</v>
      </c>
      <c r="E26" s="120">
        <v>0</v>
      </c>
      <c r="F26" s="120">
        <v>0</v>
      </c>
      <c r="G26" s="120">
        <v>0</v>
      </c>
      <c r="H26" s="120">
        <v>0</v>
      </c>
      <c r="I26" s="120">
        <v>0</v>
      </c>
      <c r="J26" s="120">
        <v>0</v>
      </c>
      <c r="K26" s="120">
        <v>0</v>
      </c>
      <c r="L26" s="120">
        <v>0</v>
      </c>
      <c r="M26" s="120">
        <v>0</v>
      </c>
      <c r="N26" s="120">
        <v>0</v>
      </c>
      <c r="O26" s="120">
        <v>0</v>
      </c>
      <c r="P26" s="120">
        <v>0</v>
      </c>
      <c r="Q26" s="120">
        <v>0</v>
      </c>
      <c r="R26" s="120">
        <v>0</v>
      </c>
      <c r="S26" s="120">
        <v>102752.6037529946</v>
      </c>
      <c r="T26" s="120">
        <v>217870.19683837891</v>
      </c>
      <c r="U26" s="120">
        <v>0</v>
      </c>
      <c r="V26" s="120">
        <v>0</v>
      </c>
      <c r="W26" s="120">
        <v>0</v>
      </c>
      <c r="X26" s="120">
        <v>0</v>
      </c>
      <c r="Y26" s="120">
        <v>0</v>
      </c>
      <c r="Z26" s="120">
        <v>0</v>
      </c>
      <c r="AA26" s="120">
        <v>0</v>
      </c>
      <c r="AB26" s="120">
        <v>0</v>
      </c>
      <c r="AC26" s="120">
        <v>0</v>
      </c>
      <c r="AD26" s="120">
        <v>0</v>
      </c>
      <c r="AE26" s="120">
        <v>0</v>
      </c>
      <c r="AF26" s="120">
        <v>119272</v>
      </c>
      <c r="AG26" s="120">
        <v>0</v>
      </c>
      <c r="AH26" s="120">
        <v>0</v>
      </c>
      <c r="AI26" s="120">
        <v>0</v>
      </c>
      <c r="AJ26" s="120">
        <v>0</v>
      </c>
      <c r="AK26" s="120">
        <v>0</v>
      </c>
      <c r="AL26" s="120">
        <v>0</v>
      </c>
      <c r="AM26" s="120">
        <v>0</v>
      </c>
      <c r="AN26" s="120">
        <v>0</v>
      </c>
      <c r="AO26" s="120">
        <v>0</v>
      </c>
      <c r="AP26" s="120">
        <v>0</v>
      </c>
      <c r="AQ26" s="120">
        <v>0</v>
      </c>
      <c r="AR26" s="120">
        <v>0</v>
      </c>
      <c r="AS26" s="120">
        <v>0</v>
      </c>
      <c r="AT26" s="120">
        <v>0</v>
      </c>
      <c r="AU26" s="120">
        <v>0</v>
      </c>
      <c r="AV26" s="120">
        <v>0</v>
      </c>
      <c r="AW26" s="120">
        <v>0</v>
      </c>
      <c r="AX26" s="120">
        <v>0</v>
      </c>
      <c r="AY26" s="120">
        <v>0</v>
      </c>
      <c r="AZ26" s="120">
        <v>0</v>
      </c>
      <c r="BA26" s="120">
        <v>0</v>
      </c>
      <c r="BB26" s="120">
        <v>0</v>
      </c>
      <c r="BC26" s="120">
        <v>0</v>
      </c>
      <c r="BD26" s="120">
        <v>0</v>
      </c>
      <c r="BE26" s="120">
        <v>2867.281767138516</v>
      </c>
      <c r="BF26" s="120">
        <v>0</v>
      </c>
      <c r="BG26" s="120">
        <v>0</v>
      </c>
      <c r="BH26" s="120">
        <v>0</v>
      </c>
      <c r="BI26" s="120">
        <v>0</v>
      </c>
      <c r="BJ26" s="120">
        <v>0</v>
      </c>
      <c r="BK26" s="120">
        <v>0</v>
      </c>
      <c r="BL26" s="120">
        <v>0</v>
      </c>
      <c r="BM26" s="120">
        <v>0</v>
      </c>
      <c r="BN26" s="120">
        <v>0</v>
      </c>
      <c r="BO26" s="120">
        <v>0</v>
      </c>
      <c r="BP26" s="120">
        <v>0</v>
      </c>
      <c r="BQ26" s="120">
        <v>0</v>
      </c>
      <c r="BR26" s="120">
        <v>0</v>
      </c>
      <c r="BS26" s="120">
        <v>0</v>
      </c>
      <c r="BT26" s="120">
        <v>0</v>
      </c>
      <c r="BU26" s="120">
        <v>0</v>
      </c>
      <c r="BV26" s="120">
        <v>0</v>
      </c>
      <c r="BW26" s="120">
        <v>0</v>
      </c>
      <c r="BX26" s="120">
        <v>0</v>
      </c>
      <c r="BY26" s="120">
        <v>0</v>
      </c>
      <c r="BZ26" s="120">
        <v>-4693.2119627303546</v>
      </c>
      <c r="CA26" s="120">
        <v>-103757.4478313302</v>
      </c>
      <c r="CB26" s="120">
        <v>-141922.98464541379</v>
      </c>
      <c r="CC26" s="120">
        <v>0</v>
      </c>
      <c r="CD26" s="120">
        <v>0</v>
      </c>
      <c r="CE26" s="120">
        <v>0</v>
      </c>
      <c r="CF26" s="120">
        <v>0</v>
      </c>
      <c r="CG26" s="120">
        <v>0</v>
      </c>
      <c r="CH26" s="120">
        <v>0</v>
      </c>
      <c r="CI26" s="120">
        <v>0</v>
      </c>
      <c r="CJ26" s="120">
        <v>0</v>
      </c>
      <c r="CK26" s="120">
        <v>0</v>
      </c>
      <c r="CL26" s="120">
        <v>0</v>
      </c>
      <c r="CM26" s="120">
        <v>0</v>
      </c>
      <c r="CN26" s="120">
        <v>0</v>
      </c>
      <c r="CO26" s="120">
        <v>0</v>
      </c>
      <c r="CP26" s="120">
        <v>0</v>
      </c>
      <c r="CQ26" s="120">
        <v>0</v>
      </c>
      <c r="CR26" s="120">
        <v>0</v>
      </c>
      <c r="CS26" s="120">
        <v>0</v>
      </c>
      <c r="CT26" s="120">
        <v>0</v>
      </c>
      <c r="CU26" s="120">
        <v>0</v>
      </c>
      <c r="CV26" s="120">
        <v>0</v>
      </c>
      <c r="CW26" s="120">
        <v>0</v>
      </c>
      <c r="CX26" s="120">
        <v>0</v>
      </c>
      <c r="CY26" s="120">
        <v>0</v>
      </c>
      <c r="CZ26" s="120">
        <v>0</v>
      </c>
      <c r="DA26" s="120">
        <v>0</v>
      </c>
      <c r="DB26" s="120">
        <v>0</v>
      </c>
      <c r="DC26" s="120">
        <v>0</v>
      </c>
      <c r="DD26" s="120">
        <v>0</v>
      </c>
      <c r="DE26" s="120">
        <v>0</v>
      </c>
      <c r="DF26" s="120">
        <v>0</v>
      </c>
      <c r="DG26" s="120">
        <v>0</v>
      </c>
      <c r="DH26" s="120">
        <v>0</v>
      </c>
      <c r="DI26" s="120">
        <v>0</v>
      </c>
      <c r="DJ26" s="120">
        <v>0</v>
      </c>
      <c r="DK26" s="120">
        <v>0</v>
      </c>
      <c r="DL26" s="120">
        <v>0</v>
      </c>
      <c r="DM26" s="120">
        <v>0</v>
      </c>
      <c r="DN26" s="120">
        <v>1423.643126817359</v>
      </c>
      <c r="DO26" s="120">
        <v>-637.33170312813354</v>
      </c>
      <c r="DP26" s="120">
        <v>8790.7710896048029</v>
      </c>
      <c r="DQ26" s="120">
        <v>-3723.12747450302</v>
      </c>
      <c r="DR26" s="120">
        <v>-35749.905369174769</v>
      </c>
      <c r="DS26" s="120">
        <v>-394.93950083792151</v>
      </c>
      <c r="DT26" s="120">
        <v>-139.701600744514</v>
      </c>
      <c r="DU26" s="120">
        <v>0</v>
      </c>
      <c r="DV26" s="120">
        <v>0</v>
      </c>
      <c r="DW26" s="120">
        <v>0</v>
      </c>
      <c r="DX26" s="120">
        <v>0</v>
      </c>
      <c r="DY26" s="120">
        <v>0</v>
      </c>
      <c r="DZ26" s="120">
        <v>0</v>
      </c>
      <c r="EA26" s="120">
        <v>0</v>
      </c>
      <c r="EB26" s="120">
        <v>0</v>
      </c>
      <c r="EC26" s="120">
        <v>0</v>
      </c>
      <c r="ED26" s="120">
        <f t="shared" si="0"/>
        <v>161957.84648707154</v>
      </c>
    </row>
    <row r="27" spans="1:134">
      <c r="A27" s="120">
        <v>26</v>
      </c>
      <c r="B27" s="120">
        <v>0</v>
      </c>
      <c r="C27" s="120">
        <v>0</v>
      </c>
      <c r="D27" s="120">
        <v>0</v>
      </c>
      <c r="E27" s="120">
        <v>39766.390791815749</v>
      </c>
      <c r="F27" s="120">
        <v>0</v>
      </c>
      <c r="G27" s="120">
        <v>0</v>
      </c>
      <c r="H27" s="120">
        <v>42.977059402144008</v>
      </c>
      <c r="I27" s="120">
        <v>0</v>
      </c>
      <c r="J27" s="120">
        <v>7508.0057065171777</v>
      </c>
      <c r="K27" s="120">
        <v>0</v>
      </c>
      <c r="L27" s="120">
        <v>0</v>
      </c>
      <c r="M27" s="120">
        <v>0</v>
      </c>
      <c r="N27" s="120">
        <v>0</v>
      </c>
      <c r="O27" s="120">
        <v>0</v>
      </c>
      <c r="P27" s="120">
        <v>0</v>
      </c>
      <c r="Q27" s="120">
        <v>0</v>
      </c>
      <c r="R27" s="120">
        <v>0</v>
      </c>
      <c r="S27" s="120">
        <v>0</v>
      </c>
      <c r="T27" s="120">
        <v>0</v>
      </c>
      <c r="U27" s="120">
        <v>0</v>
      </c>
      <c r="V27" s="120">
        <v>331.32237615709022</v>
      </c>
      <c r="W27" s="120">
        <v>6.2246967587989657</v>
      </c>
      <c r="X27" s="120">
        <v>1732.4156536742221</v>
      </c>
      <c r="Y27" s="120">
        <v>2645.8400349959352</v>
      </c>
      <c r="Z27" s="120">
        <v>0</v>
      </c>
      <c r="AA27" s="120">
        <v>0</v>
      </c>
      <c r="AB27" s="120">
        <v>0</v>
      </c>
      <c r="AC27" s="120">
        <v>183.42777581541779</v>
      </c>
      <c r="AD27" s="120">
        <v>50373.613830015958</v>
      </c>
      <c r="AE27" s="120">
        <v>1645.238594362002</v>
      </c>
      <c r="AF27" s="120">
        <v>0</v>
      </c>
      <c r="AG27" s="120">
        <v>0</v>
      </c>
      <c r="AH27" s="120">
        <v>0</v>
      </c>
      <c r="AI27" s="120">
        <v>0</v>
      </c>
      <c r="AJ27" s="120">
        <v>0</v>
      </c>
      <c r="AK27" s="120">
        <v>0</v>
      </c>
      <c r="AL27" s="120">
        <v>0</v>
      </c>
      <c r="AM27" s="120">
        <v>0</v>
      </c>
      <c r="AN27" s="120">
        <v>0</v>
      </c>
      <c r="AO27" s="120">
        <v>0</v>
      </c>
      <c r="AP27" s="120">
        <v>0</v>
      </c>
      <c r="AQ27" s="120">
        <v>0</v>
      </c>
      <c r="AR27" s="120">
        <v>0</v>
      </c>
      <c r="AS27" s="120">
        <v>0</v>
      </c>
      <c r="AT27" s="120">
        <v>0</v>
      </c>
      <c r="AU27" s="120">
        <v>0</v>
      </c>
      <c r="AV27" s="120">
        <v>0</v>
      </c>
      <c r="AW27" s="120">
        <v>0</v>
      </c>
      <c r="AX27" s="120">
        <v>0</v>
      </c>
      <c r="AY27" s="120">
        <v>0</v>
      </c>
      <c r="AZ27" s="120">
        <v>0</v>
      </c>
      <c r="BA27" s="120">
        <v>0</v>
      </c>
      <c r="BB27" s="120">
        <v>0</v>
      </c>
      <c r="BC27" s="120">
        <v>0</v>
      </c>
      <c r="BD27" s="120">
        <v>0</v>
      </c>
      <c r="BE27" s="120">
        <v>0</v>
      </c>
      <c r="BF27" s="120">
        <v>0</v>
      </c>
      <c r="BG27" s="120">
        <v>0</v>
      </c>
      <c r="BH27" s="120">
        <v>0</v>
      </c>
      <c r="BI27" s="120">
        <v>0</v>
      </c>
      <c r="BJ27" s="120">
        <v>0</v>
      </c>
      <c r="BK27" s="120">
        <v>0</v>
      </c>
      <c r="BL27" s="120">
        <v>0</v>
      </c>
      <c r="BM27" s="120">
        <v>0</v>
      </c>
      <c r="BN27" s="120">
        <v>0</v>
      </c>
      <c r="BO27" s="120">
        <v>0</v>
      </c>
      <c r="BP27" s="120">
        <v>0</v>
      </c>
      <c r="BQ27" s="120">
        <v>0</v>
      </c>
      <c r="BR27" s="120">
        <v>0</v>
      </c>
      <c r="BS27" s="120">
        <v>0</v>
      </c>
      <c r="BT27" s="120">
        <v>0</v>
      </c>
      <c r="BU27" s="120">
        <v>0</v>
      </c>
      <c r="BV27" s="120">
        <v>0</v>
      </c>
      <c r="BW27" s="120">
        <v>0</v>
      </c>
      <c r="BX27" s="120">
        <v>0</v>
      </c>
      <c r="BY27" s="120">
        <v>0</v>
      </c>
      <c r="BZ27" s="120">
        <v>-1965.41267559162</v>
      </c>
      <c r="CA27" s="120">
        <v>-12178.39302162161</v>
      </c>
      <c r="CB27" s="120">
        <v>-58997.184450545523</v>
      </c>
      <c r="CC27" s="120">
        <v>0</v>
      </c>
      <c r="CD27" s="120">
        <v>0</v>
      </c>
      <c r="CE27" s="120">
        <v>0</v>
      </c>
      <c r="CF27" s="120">
        <v>0</v>
      </c>
      <c r="CG27" s="120">
        <v>0</v>
      </c>
      <c r="CH27" s="120">
        <v>0</v>
      </c>
      <c r="CI27" s="120">
        <v>0</v>
      </c>
      <c r="CJ27" s="120">
        <v>0</v>
      </c>
      <c r="CK27" s="120">
        <v>0</v>
      </c>
      <c r="CL27" s="120">
        <v>0</v>
      </c>
      <c r="CM27" s="120">
        <v>0</v>
      </c>
      <c r="CN27" s="120">
        <v>0</v>
      </c>
      <c r="CO27" s="120">
        <v>0</v>
      </c>
      <c r="CP27" s="120">
        <v>0</v>
      </c>
      <c r="CQ27" s="120">
        <v>0</v>
      </c>
      <c r="CR27" s="120">
        <v>0</v>
      </c>
      <c r="CS27" s="120">
        <v>0</v>
      </c>
      <c r="CT27" s="120">
        <v>0</v>
      </c>
      <c r="CU27" s="120">
        <v>0</v>
      </c>
      <c r="CV27" s="120">
        <v>0</v>
      </c>
      <c r="CW27" s="120">
        <v>0</v>
      </c>
      <c r="CX27" s="120">
        <v>0</v>
      </c>
      <c r="CY27" s="120">
        <v>0</v>
      </c>
      <c r="CZ27" s="120">
        <v>0</v>
      </c>
      <c r="DA27" s="120">
        <v>0</v>
      </c>
      <c r="DB27" s="120">
        <v>3510.3731597814358</v>
      </c>
      <c r="DC27" s="120">
        <v>0</v>
      </c>
      <c r="DD27" s="120">
        <v>3044.5572148768192</v>
      </c>
      <c r="DE27" s="120">
        <v>-35.973364559827267</v>
      </c>
      <c r="DF27" s="120">
        <v>-272.23086693923341</v>
      </c>
      <c r="DG27" s="120">
        <v>-5565.1767227149003</v>
      </c>
      <c r="DH27" s="120">
        <v>0</v>
      </c>
      <c r="DI27" s="120">
        <v>0</v>
      </c>
      <c r="DJ27" s="120">
        <v>0</v>
      </c>
      <c r="DK27" s="120">
        <v>0</v>
      </c>
      <c r="DL27" s="120">
        <v>0</v>
      </c>
      <c r="DM27" s="120">
        <v>0</v>
      </c>
      <c r="DN27" s="120">
        <v>861.61688683203442</v>
      </c>
      <c r="DO27" s="120">
        <v>-312.62558961514497</v>
      </c>
      <c r="DP27" s="120">
        <v>10489.837583007309</v>
      </c>
      <c r="DQ27" s="120">
        <v>-3740.3347314628231</v>
      </c>
      <c r="DR27" s="120">
        <v>-35767.290351763797</v>
      </c>
      <c r="DS27" s="120">
        <v>-924.95749367471137</v>
      </c>
      <c r="DT27" s="120">
        <v>-3306.6103696049558</v>
      </c>
      <c r="DU27" s="120">
        <v>0</v>
      </c>
      <c r="DV27" s="120">
        <v>0</v>
      </c>
      <c r="DW27" s="120">
        <v>0</v>
      </c>
      <c r="DX27" s="120">
        <v>0</v>
      </c>
      <c r="DY27" s="120">
        <v>17.59825160604294</v>
      </c>
      <c r="DZ27" s="120">
        <v>-6.5993443522661011</v>
      </c>
      <c r="EA27" s="120">
        <v>0</v>
      </c>
      <c r="EB27" s="120">
        <v>3.4821285029537732</v>
      </c>
      <c r="EC27" s="120">
        <v>-1.1607095009845909</v>
      </c>
      <c r="ED27" s="120">
        <f t="shared" si="0"/>
        <v>-911.0279478262986</v>
      </c>
    </row>
    <row r="28" spans="1:134">
      <c r="A28" s="120">
        <v>27</v>
      </c>
      <c r="B28" s="120">
        <v>0</v>
      </c>
      <c r="C28" s="120">
        <v>0</v>
      </c>
      <c r="D28" s="120">
        <v>0</v>
      </c>
      <c r="E28" s="120">
        <v>168.4591672052309</v>
      </c>
      <c r="F28" s="120">
        <v>0</v>
      </c>
      <c r="G28" s="120">
        <v>0</v>
      </c>
      <c r="H28" s="120">
        <v>0</v>
      </c>
      <c r="I28" s="120">
        <v>38.428892266038723</v>
      </c>
      <c r="J28" s="120">
        <v>2131.6699619006058</v>
      </c>
      <c r="K28" s="120">
        <v>0</v>
      </c>
      <c r="L28" s="120">
        <v>0</v>
      </c>
      <c r="M28" s="120">
        <v>1115.036868686869</v>
      </c>
      <c r="N28" s="120">
        <v>0</v>
      </c>
      <c r="O28" s="120">
        <v>0</v>
      </c>
      <c r="P28" s="120">
        <v>0</v>
      </c>
      <c r="Q28" s="120">
        <v>39362.065679104649</v>
      </c>
      <c r="R28" s="120">
        <v>0</v>
      </c>
      <c r="S28" s="120">
        <v>0</v>
      </c>
      <c r="T28" s="120">
        <v>0</v>
      </c>
      <c r="U28" s="120">
        <v>0</v>
      </c>
      <c r="V28" s="120">
        <v>228885.7805087218</v>
      </c>
      <c r="W28" s="120">
        <v>141014.2803738318</v>
      </c>
      <c r="X28" s="120">
        <v>10671.437848011919</v>
      </c>
      <c r="Y28" s="120">
        <v>113227.5683481212</v>
      </c>
      <c r="Z28" s="120">
        <v>0</v>
      </c>
      <c r="AA28" s="120">
        <v>0</v>
      </c>
      <c r="AB28" s="120">
        <v>0</v>
      </c>
      <c r="AC28" s="120">
        <v>3728.2761875040719</v>
      </c>
      <c r="AD28" s="120">
        <v>1656.5019745849979</v>
      </c>
      <c r="AE28" s="120">
        <v>519.04624041485079</v>
      </c>
      <c r="AF28" s="120">
        <v>0</v>
      </c>
      <c r="AG28" s="120">
        <v>0</v>
      </c>
      <c r="AH28" s="120">
        <v>0</v>
      </c>
      <c r="AI28" s="120">
        <v>0</v>
      </c>
      <c r="AJ28" s="120">
        <v>0</v>
      </c>
      <c r="AK28" s="120">
        <v>0</v>
      </c>
      <c r="AL28" s="120">
        <v>0</v>
      </c>
      <c r="AM28" s="120">
        <v>0</v>
      </c>
      <c r="AN28" s="120">
        <v>0</v>
      </c>
      <c r="AO28" s="120">
        <v>0</v>
      </c>
      <c r="AP28" s="120">
        <v>0</v>
      </c>
      <c r="AQ28" s="120">
        <v>0</v>
      </c>
      <c r="AR28" s="120">
        <v>0</v>
      </c>
      <c r="AS28" s="120">
        <v>0</v>
      </c>
      <c r="AT28" s="120">
        <v>0</v>
      </c>
      <c r="AU28" s="120">
        <v>0</v>
      </c>
      <c r="AV28" s="120">
        <v>0</v>
      </c>
      <c r="AW28" s="120">
        <v>0</v>
      </c>
      <c r="AX28" s="120">
        <v>0</v>
      </c>
      <c r="AY28" s="120">
        <v>0</v>
      </c>
      <c r="AZ28" s="120">
        <v>0</v>
      </c>
      <c r="BA28" s="120">
        <v>0</v>
      </c>
      <c r="BB28" s="120">
        <v>0</v>
      </c>
      <c r="BC28" s="120">
        <v>0</v>
      </c>
      <c r="BD28" s="120">
        <v>0</v>
      </c>
      <c r="BE28" s="120">
        <v>0</v>
      </c>
      <c r="BF28" s="120">
        <v>0</v>
      </c>
      <c r="BG28" s="120">
        <v>0</v>
      </c>
      <c r="BH28" s="120">
        <v>0</v>
      </c>
      <c r="BI28" s="120">
        <v>0</v>
      </c>
      <c r="BJ28" s="120">
        <v>0</v>
      </c>
      <c r="BK28" s="120">
        <v>0</v>
      </c>
      <c r="BL28" s="120">
        <v>0</v>
      </c>
      <c r="BM28" s="120">
        <v>0</v>
      </c>
      <c r="BN28" s="120">
        <v>0</v>
      </c>
      <c r="BO28" s="120">
        <v>0</v>
      </c>
      <c r="BP28" s="120">
        <v>0</v>
      </c>
      <c r="BQ28" s="120">
        <v>0</v>
      </c>
      <c r="BR28" s="120">
        <v>0</v>
      </c>
      <c r="BS28" s="120">
        <v>0</v>
      </c>
      <c r="BT28" s="120">
        <v>0</v>
      </c>
      <c r="BU28" s="120">
        <v>0</v>
      </c>
      <c r="BV28" s="120">
        <v>0</v>
      </c>
      <c r="BW28" s="120">
        <v>0</v>
      </c>
      <c r="BX28" s="120">
        <v>0</v>
      </c>
      <c r="BY28" s="120">
        <v>0</v>
      </c>
      <c r="BZ28" s="120">
        <v>-9827.4479572620239</v>
      </c>
      <c r="CA28" s="120">
        <v>-64606.81120520064</v>
      </c>
      <c r="CB28" s="120">
        <v>-298283.8125578395</v>
      </c>
      <c r="CC28" s="120">
        <v>0</v>
      </c>
      <c r="CD28" s="120">
        <v>0</v>
      </c>
      <c r="CE28" s="120">
        <v>0</v>
      </c>
      <c r="CF28" s="120">
        <v>0</v>
      </c>
      <c r="CG28" s="120">
        <v>0</v>
      </c>
      <c r="CH28" s="120">
        <v>0</v>
      </c>
      <c r="CI28" s="120">
        <v>0</v>
      </c>
      <c r="CJ28" s="120">
        <v>0</v>
      </c>
      <c r="CK28" s="120">
        <v>0</v>
      </c>
      <c r="CL28" s="120">
        <v>0</v>
      </c>
      <c r="CM28" s="120">
        <v>0</v>
      </c>
      <c r="CN28" s="120">
        <v>0</v>
      </c>
      <c r="CO28" s="120">
        <v>0</v>
      </c>
      <c r="CP28" s="120">
        <v>0</v>
      </c>
      <c r="CQ28" s="120">
        <v>0</v>
      </c>
      <c r="CR28" s="120">
        <v>0</v>
      </c>
      <c r="CS28" s="120">
        <v>0</v>
      </c>
      <c r="CT28" s="120">
        <v>0</v>
      </c>
      <c r="CU28" s="120">
        <v>0</v>
      </c>
      <c r="CV28" s="120">
        <v>0</v>
      </c>
      <c r="CW28" s="120">
        <v>0</v>
      </c>
      <c r="CX28" s="120">
        <v>0</v>
      </c>
      <c r="CY28" s="120">
        <v>0</v>
      </c>
      <c r="CZ28" s="120">
        <v>0</v>
      </c>
      <c r="DA28" s="120">
        <v>0</v>
      </c>
      <c r="DB28" s="120">
        <v>0</v>
      </c>
      <c r="DC28" s="120">
        <v>0</v>
      </c>
      <c r="DD28" s="120">
        <v>0</v>
      </c>
      <c r="DE28" s="120">
        <v>0</v>
      </c>
      <c r="DF28" s="120">
        <v>0</v>
      </c>
      <c r="DG28" s="120">
        <v>0</v>
      </c>
      <c r="DH28" s="120">
        <v>0</v>
      </c>
      <c r="DI28" s="120">
        <v>0</v>
      </c>
      <c r="DJ28" s="120">
        <v>0</v>
      </c>
      <c r="DK28" s="120">
        <v>0</v>
      </c>
      <c r="DL28" s="120">
        <v>0</v>
      </c>
      <c r="DM28" s="120">
        <v>0</v>
      </c>
      <c r="DN28" s="120">
        <v>6368.2990477159155</v>
      </c>
      <c r="DO28" s="120">
        <v>-2856.3518111197282</v>
      </c>
      <c r="DP28" s="120">
        <v>6549.390026125302</v>
      </c>
      <c r="DQ28" s="120">
        <v>-3099.1924612473349</v>
      </c>
      <c r="DR28" s="120">
        <v>-131372.2302534497</v>
      </c>
      <c r="DS28" s="120">
        <v>-2100.9912099309208</v>
      </c>
      <c r="DT28" s="120">
        <v>-23985.19148228722</v>
      </c>
      <c r="DU28" s="120">
        <v>0</v>
      </c>
      <c r="DV28" s="120">
        <v>0</v>
      </c>
      <c r="DW28" s="120">
        <v>0</v>
      </c>
      <c r="DX28" s="120">
        <v>0</v>
      </c>
      <c r="DY28" s="120">
        <v>0</v>
      </c>
      <c r="DZ28" s="120">
        <v>0</v>
      </c>
      <c r="EA28" s="120">
        <v>0</v>
      </c>
      <c r="EB28" s="120">
        <v>0</v>
      </c>
      <c r="EC28" s="120">
        <v>0</v>
      </c>
      <c r="ED28" s="120">
        <f t="shared" si="0"/>
        <v>19304.212185858218</v>
      </c>
    </row>
    <row r="29" spans="1:134">
      <c r="A29" s="120">
        <v>28</v>
      </c>
      <c r="B29" s="120">
        <v>0</v>
      </c>
      <c r="C29" s="120">
        <v>0</v>
      </c>
      <c r="D29" s="120">
        <v>0</v>
      </c>
      <c r="E29" s="120">
        <v>0</v>
      </c>
      <c r="F29" s="120">
        <v>0</v>
      </c>
      <c r="G29" s="120">
        <v>0</v>
      </c>
      <c r="H29" s="120">
        <v>0</v>
      </c>
      <c r="I29" s="120">
        <v>0</v>
      </c>
      <c r="J29" s="120">
        <v>0</v>
      </c>
      <c r="K29" s="120">
        <v>0</v>
      </c>
      <c r="L29" s="120">
        <v>0</v>
      </c>
      <c r="M29" s="120">
        <v>0</v>
      </c>
      <c r="N29" s="120">
        <v>0</v>
      </c>
      <c r="O29" s="120">
        <v>0</v>
      </c>
      <c r="P29" s="120">
        <v>0</v>
      </c>
      <c r="Q29" s="120">
        <v>0</v>
      </c>
      <c r="R29" s="120">
        <v>0</v>
      </c>
      <c r="S29" s="120">
        <v>0</v>
      </c>
      <c r="T29" s="120">
        <v>0</v>
      </c>
      <c r="U29" s="120">
        <v>0</v>
      </c>
      <c r="V29" s="120">
        <v>0</v>
      </c>
      <c r="W29" s="120">
        <v>0</v>
      </c>
      <c r="X29" s="120">
        <v>0</v>
      </c>
      <c r="Y29" s="120">
        <v>0</v>
      </c>
      <c r="Z29" s="120">
        <v>0</v>
      </c>
      <c r="AA29" s="120">
        <v>0</v>
      </c>
      <c r="AB29" s="120">
        <v>0</v>
      </c>
      <c r="AC29" s="120">
        <v>0</v>
      </c>
      <c r="AD29" s="120">
        <v>0</v>
      </c>
      <c r="AE29" s="120">
        <v>0</v>
      </c>
      <c r="AF29" s="120">
        <v>0</v>
      </c>
      <c r="AG29" s="120">
        <v>0</v>
      </c>
      <c r="AH29" s="120">
        <v>0</v>
      </c>
      <c r="AI29" s="120">
        <v>0</v>
      </c>
      <c r="AJ29" s="120">
        <v>0</v>
      </c>
      <c r="AK29" s="120">
        <v>0</v>
      </c>
      <c r="AL29" s="120">
        <v>0</v>
      </c>
      <c r="AM29" s="120">
        <v>0</v>
      </c>
      <c r="AN29" s="120">
        <v>0</v>
      </c>
      <c r="AO29" s="120">
        <v>0</v>
      </c>
      <c r="AP29" s="120">
        <v>0</v>
      </c>
      <c r="AQ29" s="120">
        <v>0</v>
      </c>
      <c r="AR29" s="120">
        <v>0</v>
      </c>
      <c r="AS29" s="120">
        <v>0</v>
      </c>
      <c r="AT29" s="120">
        <v>0</v>
      </c>
      <c r="AU29" s="120">
        <v>0</v>
      </c>
      <c r="AV29" s="120">
        <v>0</v>
      </c>
      <c r="AW29" s="120">
        <v>0</v>
      </c>
      <c r="AX29" s="120">
        <v>0</v>
      </c>
      <c r="AY29" s="120">
        <v>0</v>
      </c>
      <c r="AZ29" s="120">
        <v>0</v>
      </c>
      <c r="BA29" s="120">
        <v>0</v>
      </c>
      <c r="BB29" s="120">
        <v>0</v>
      </c>
      <c r="BC29" s="120">
        <v>0</v>
      </c>
      <c r="BD29" s="120">
        <v>0</v>
      </c>
      <c r="BE29" s="120">
        <v>0</v>
      </c>
      <c r="BF29" s="120">
        <v>0</v>
      </c>
      <c r="BG29" s="120">
        <v>0</v>
      </c>
      <c r="BH29" s="120">
        <v>0</v>
      </c>
      <c r="BI29" s="120">
        <v>0</v>
      </c>
      <c r="BJ29" s="120">
        <v>0</v>
      </c>
      <c r="BK29" s="120">
        <v>0</v>
      </c>
      <c r="BL29" s="120">
        <v>0</v>
      </c>
      <c r="BM29" s="120">
        <v>0</v>
      </c>
      <c r="BN29" s="120">
        <v>0</v>
      </c>
      <c r="BO29" s="120">
        <v>0</v>
      </c>
      <c r="BP29" s="120">
        <v>0</v>
      </c>
      <c r="BQ29" s="120">
        <v>0</v>
      </c>
      <c r="BR29" s="120">
        <v>0</v>
      </c>
      <c r="BS29" s="120">
        <v>0</v>
      </c>
      <c r="BT29" s="120">
        <v>0</v>
      </c>
      <c r="BU29" s="120">
        <v>0</v>
      </c>
      <c r="BV29" s="120">
        <v>0</v>
      </c>
      <c r="BW29" s="120">
        <v>0</v>
      </c>
      <c r="BX29" s="120">
        <v>0</v>
      </c>
      <c r="BY29" s="120">
        <v>0</v>
      </c>
      <c r="BZ29" s="120">
        <v>0</v>
      </c>
      <c r="CA29" s="120">
        <v>0</v>
      </c>
      <c r="CB29" s="120">
        <v>0</v>
      </c>
      <c r="CC29" s="120">
        <v>0</v>
      </c>
      <c r="CD29" s="120">
        <v>0</v>
      </c>
      <c r="CE29" s="120">
        <v>0</v>
      </c>
      <c r="CF29" s="120">
        <v>0</v>
      </c>
      <c r="CG29" s="120">
        <v>0</v>
      </c>
      <c r="CH29" s="120">
        <v>0</v>
      </c>
      <c r="CI29" s="120">
        <v>0</v>
      </c>
      <c r="CJ29" s="120">
        <v>0</v>
      </c>
      <c r="CK29" s="120">
        <v>0</v>
      </c>
      <c r="CL29" s="120">
        <v>0</v>
      </c>
      <c r="CM29" s="120">
        <v>0</v>
      </c>
      <c r="CN29" s="120">
        <v>0</v>
      </c>
      <c r="CO29" s="120">
        <v>0</v>
      </c>
      <c r="CP29" s="120">
        <v>0</v>
      </c>
      <c r="CQ29" s="120">
        <v>0</v>
      </c>
      <c r="CR29" s="120">
        <v>0</v>
      </c>
      <c r="CS29" s="120">
        <v>0</v>
      </c>
      <c r="CT29" s="120">
        <v>0</v>
      </c>
      <c r="CU29" s="120">
        <v>0</v>
      </c>
      <c r="CV29" s="120">
        <v>0</v>
      </c>
      <c r="CW29" s="120">
        <v>0</v>
      </c>
      <c r="CX29" s="120">
        <v>0</v>
      </c>
      <c r="CY29" s="120">
        <v>0</v>
      </c>
      <c r="CZ29" s="120">
        <v>0</v>
      </c>
      <c r="DA29" s="120">
        <v>0</v>
      </c>
      <c r="DB29" s="120">
        <v>0</v>
      </c>
      <c r="DC29" s="120">
        <v>0</v>
      </c>
      <c r="DD29" s="120">
        <v>0</v>
      </c>
      <c r="DE29" s="120">
        <v>0</v>
      </c>
      <c r="DF29" s="120">
        <v>0</v>
      </c>
      <c r="DG29" s="120">
        <v>0</v>
      </c>
      <c r="DH29" s="120">
        <v>0</v>
      </c>
      <c r="DI29" s="120">
        <v>0</v>
      </c>
      <c r="DJ29" s="120">
        <v>0</v>
      </c>
      <c r="DK29" s="120">
        <v>0</v>
      </c>
      <c r="DL29" s="120">
        <v>0</v>
      </c>
      <c r="DM29" s="120">
        <v>0</v>
      </c>
      <c r="DN29" s="120">
        <v>-104.0985279049257</v>
      </c>
      <c r="DO29" s="120">
        <v>-23.494695515845141</v>
      </c>
      <c r="DP29" s="120">
        <v>4064.8627446436599</v>
      </c>
      <c r="DQ29" s="120">
        <v>-1410.1072082271021</v>
      </c>
      <c r="DR29" s="120">
        <v>-8933.1758476106788</v>
      </c>
      <c r="DS29" s="120">
        <v>-180.3580349478442</v>
      </c>
      <c r="DT29" s="120">
        <v>-14.512237171535769</v>
      </c>
      <c r="DU29" s="120">
        <v>0</v>
      </c>
      <c r="DV29" s="120">
        <v>0</v>
      </c>
      <c r="DW29" s="120">
        <v>0</v>
      </c>
      <c r="DX29" s="120">
        <v>0</v>
      </c>
      <c r="DY29" s="120">
        <v>0</v>
      </c>
      <c r="DZ29" s="120">
        <v>0</v>
      </c>
      <c r="EA29" s="120">
        <v>0</v>
      </c>
      <c r="EB29" s="120">
        <v>0</v>
      </c>
      <c r="EC29" s="120">
        <v>0</v>
      </c>
      <c r="ED29" s="120">
        <f t="shared" si="0"/>
        <v>-6600.8838067342722</v>
      </c>
    </row>
    <row r="30" spans="1:134">
      <c r="A30" s="120">
        <v>29</v>
      </c>
      <c r="B30" s="120">
        <v>0</v>
      </c>
      <c r="C30" s="120">
        <v>0</v>
      </c>
      <c r="D30" s="120">
        <v>0</v>
      </c>
      <c r="E30" s="120">
        <v>0</v>
      </c>
      <c r="F30" s="120">
        <v>0</v>
      </c>
      <c r="G30" s="120">
        <v>0</v>
      </c>
      <c r="H30" s="120">
        <v>0</v>
      </c>
      <c r="I30" s="120">
        <v>0</v>
      </c>
      <c r="J30" s="120">
        <v>0</v>
      </c>
      <c r="K30" s="120">
        <v>0</v>
      </c>
      <c r="L30" s="120">
        <v>0</v>
      </c>
      <c r="M30" s="120">
        <v>0</v>
      </c>
      <c r="N30" s="120">
        <v>0</v>
      </c>
      <c r="O30" s="120">
        <v>0</v>
      </c>
      <c r="P30" s="120">
        <v>0</v>
      </c>
      <c r="Q30" s="120">
        <v>0</v>
      </c>
      <c r="R30" s="120">
        <v>0</v>
      </c>
      <c r="S30" s="120">
        <v>0</v>
      </c>
      <c r="T30" s="120">
        <v>0</v>
      </c>
      <c r="U30" s="120">
        <v>0</v>
      </c>
      <c r="V30" s="120">
        <v>0</v>
      </c>
      <c r="W30" s="120">
        <v>0</v>
      </c>
      <c r="X30" s="120">
        <v>0</v>
      </c>
      <c r="Y30" s="120">
        <v>0</v>
      </c>
      <c r="Z30" s="120">
        <v>0</v>
      </c>
      <c r="AA30" s="120">
        <v>0</v>
      </c>
      <c r="AB30" s="120">
        <v>0</v>
      </c>
      <c r="AC30" s="120">
        <v>0</v>
      </c>
      <c r="AD30" s="120">
        <v>0</v>
      </c>
      <c r="AE30" s="120">
        <v>0</v>
      </c>
      <c r="AF30" s="120">
        <v>0</v>
      </c>
      <c r="AG30" s="120">
        <v>0</v>
      </c>
      <c r="AH30" s="120">
        <v>0</v>
      </c>
      <c r="AI30" s="120">
        <v>0</v>
      </c>
      <c r="AJ30" s="120">
        <v>0</v>
      </c>
      <c r="AK30" s="120">
        <v>0</v>
      </c>
      <c r="AL30" s="120">
        <v>0</v>
      </c>
      <c r="AM30" s="120">
        <v>0</v>
      </c>
      <c r="AN30" s="120">
        <v>0</v>
      </c>
      <c r="AO30" s="120">
        <v>0</v>
      </c>
      <c r="AP30" s="120">
        <v>0</v>
      </c>
      <c r="AQ30" s="120">
        <v>0</v>
      </c>
      <c r="AR30" s="120">
        <v>0</v>
      </c>
      <c r="AS30" s="120">
        <v>0</v>
      </c>
      <c r="AT30" s="120">
        <v>0</v>
      </c>
      <c r="AU30" s="120">
        <v>0</v>
      </c>
      <c r="AV30" s="120">
        <v>0</v>
      </c>
      <c r="AW30" s="120">
        <v>0</v>
      </c>
      <c r="AX30" s="120">
        <v>0</v>
      </c>
      <c r="AY30" s="120">
        <v>0</v>
      </c>
      <c r="AZ30" s="120">
        <v>0</v>
      </c>
      <c r="BA30" s="120">
        <v>0</v>
      </c>
      <c r="BB30" s="120">
        <v>0</v>
      </c>
      <c r="BC30" s="120">
        <v>0</v>
      </c>
      <c r="BD30" s="120">
        <v>0</v>
      </c>
      <c r="BE30" s="120">
        <v>0</v>
      </c>
      <c r="BF30" s="120">
        <v>0</v>
      </c>
      <c r="BG30" s="120">
        <v>0</v>
      </c>
      <c r="BH30" s="120">
        <v>0</v>
      </c>
      <c r="BI30" s="120">
        <v>0</v>
      </c>
      <c r="BJ30" s="120">
        <v>0</v>
      </c>
      <c r="BK30" s="120">
        <v>0</v>
      </c>
      <c r="BL30" s="120">
        <v>0</v>
      </c>
      <c r="BM30" s="120">
        <v>0</v>
      </c>
      <c r="BN30" s="120">
        <v>0</v>
      </c>
      <c r="BO30" s="120">
        <v>0</v>
      </c>
      <c r="BP30" s="120">
        <v>0</v>
      </c>
      <c r="BQ30" s="120">
        <v>0</v>
      </c>
      <c r="BR30" s="120">
        <v>0</v>
      </c>
      <c r="BS30" s="120">
        <v>0</v>
      </c>
      <c r="BT30" s="120">
        <v>0</v>
      </c>
      <c r="BU30" s="120">
        <v>0</v>
      </c>
      <c r="BV30" s="120">
        <v>0</v>
      </c>
      <c r="BW30" s="120">
        <v>0</v>
      </c>
      <c r="BX30" s="120">
        <v>0</v>
      </c>
      <c r="BY30" s="120">
        <v>0</v>
      </c>
      <c r="BZ30" s="120">
        <v>0</v>
      </c>
      <c r="CA30" s="120">
        <v>0</v>
      </c>
      <c r="CB30" s="120">
        <v>0</v>
      </c>
      <c r="CC30" s="120">
        <v>0</v>
      </c>
      <c r="CD30" s="120">
        <v>0</v>
      </c>
      <c r="CE30" s="120">
        <v>0</v>
      </c>
      <c r="CF30" s="120">
        <v>0</v>
      </c>
      <c r="CG30" s="120">
        <v>0</v>
      </c>
      <c r="CH30" s="120">
        <v>0</v>
      </c>
      <c r="CI30" s="120">
        <v>0</v>
      </c>
      <c r="CJ30" s="120">
        <v>0</v>
      </c>
      <c r="CK30" s="120">
        <v>0</v>
      </c>
      <c r="CL30" s="120">
        <v>0</v>
      </c>
      <c r="CM30" s="120">
        <v>0</v>
      </c>
      <c r="CN30" s="120">
        <v>0</v>
      </c>
      <c r="CO30" s="120">
        <v>0</v>
      </c>
      <c r="CP30" s="120">
        <v>0</v>
      </c>
      <c r="CQ30" s="120">
        <v>0</v>
      </c>
      <c r="CR30" s="120">
        <v>0</v>
      </c>
      <c r="CS30" s="120">
        <v>0</v>
      </c>
      <c r="CT30" s="120">
        <v>0</v>
      </c>
      <c r="CU30" s="120">
        <v>0</v>
      </c>
      <c r="CV30" s="120">
        <v>0</v>
      </c>
      <c r="CW30" s="120">
        <v>0</v>
      </c>
      <c r="CX30" s="120">
        <v>0</v>
      </c>
      <c r="CY30" s="120">
        <v>0</v>
      </c>
      <c r="CZ30" s="120">
        <v>0</v>
      </c>
      <c r="DA30" s="120">
        <v>0</v>
      </c>
      <c r="DB30" s="120">
        <v>0</v>
      </c>
      <c r="DC30" s="120">
        <v>0</v>
      </c>
      <c r="DD30" s="120">
        <v>0</v>
      </c>
      <c r="DE30" s="120">
        <v>0</v>
      </c>
      <c r="DF30" s="120">
        <v>0</v>
      </c>
      <c r="DG30" s="120">
        <v>0</v>
      </c>
      <c r="DH30" s="120">
        <v>0</v>
      </c>
      <c r="DI30" s="120">
        <v>0</v>
      </c>
      <c r="DJ30" s="120">
        <v>0</v>
      </c>
      <c r="DK30" s="120">
        <v>0</v>
      </c>
      <c r="DL30" s="120">
        <v>0</v>
      </c>
      <c r="DM30" s="120">
        <v>0</v>
      </c>
      <c r="DN30" s="120">
        <v>134.71574199460969</v>
      </c>
      <c r="DO30" s="120">
        <v>-44.853509621158871</v>
      </c>
      <c r="DP30" s="120">
        <v>1230.4309685865289</v>
      </c>
      <c r="DQ30" s="120">
        <v>-370.23362773086012</v>
      </c>
      <c r="DR30" s="120">
        <v>-9356.4708832133656</v>
      </c>
      <c r="DS30" s="120">
        <v>-266.67175570815482</v>
      </c>
      <c r="DT30" s="120">
        <v>-324.89082408816171</v>
      </c>
      <c r="DU30" s="120">
        <v>0</v>
      </c>
      <c r="DV30" s="120">
        <v>0</v>
      </c>
      <c r="DW30" s="120">
        <v>0</v>
      </c>
      <c r="DX30" s="120">
        <v>0</v>
      </c>
      <c r="DY30" s="120">
        <v>0</v>
      </c>
      <c r="DZ30" s="120">
        <v>0</v>
      </c>
      <c r="EA30" s="120">
        <v>0</v>
      </c>
      <c r="EB30" s="120">
        <v>0</v>
      </c>
      <c r="EC30" s="120">
        <v>0</v>
      </c>
      <c r="ED30" s="120">
        <f t="shared" si="0"/>
        <v>-8997.9738897805619</v>
      </c>
    </row>
    <row r="31" spans="1:134">
      <c r="A31" s="120">
        <v>30</v>
      </c>
      <c r="B31" s="120">
        <v>0</v>
      </c>
      <c r="C31" s="120">
        <v>0</v>
      </c>
      <c r="D31" s="120">
        <v>0</v>
      </c>
      <c r="E31" s="120">
        <v>3460.4320596741181</v>
      </c>
      <c r="F31" s="120">
        <v>0</v>
      </c>
      <c r="G31" s="120">
        <v>1933.6502319441131</v>
      </c>
      <c r="H31" s="120">
        <v>216.88423000616859</v>
      </c>
      <c r="I31" s="120">
        <v>0</v>
      </c>
      <c r="J31" s="120">
        <v>0</v>
      </c>
      <c r="K31" s="120">
        <v>0</v>
      </c>
      <c r="L31" s="120">
        <v>0</v>
      </c>
      <c r="M31" s="120">
        <v>0</v>
      </c>
      <c r="N31" s="120">
        <v>0</v>
      </c>
      <c r="O31" s="120">
        <v>0</v>
      </c>
      <c r="P31" s="120">
        <v>0</v>
      </c>
      <c r="Q31" s="120">
        <v>895.31996074674646</v>
      </c>
      <c r="R31" s="120">
        <v>0</v>
      </c>
      <c r="S31" s="120">
        <v>0</v>
      </c>
      <c r="T31" s="120">
        <v>0</v>
      </c>
      <c r="U31" s="120">
        <v>0</v>
      </c>
      <c r="V31" s="120">
        <v>0</v>
      </c>
      <c r="W31" s="120">
        <v>0</v>
      </c>
      <c r="X31" s="120">
        <v>0</v>
      </c>
      <c r="Y31" s="120">
        <v>0</v>
      </c>
      <c r="Z31" s="120">
        <v>0</v>
      </c>
      <c r="AA31" s="120">
        <v>1369.7233043958399</v>
      </c>
      <c r="AB31" s="120">
        <v>0</v>
      </c>
      <c r="AC31" s="120">
        <v>0</v>
      </c>
      <c r="AD31" s="120">
        <v>2858.2169780362779</v>
      </c>
      <c r="AE31" s="120">
        <v>0</v>
      </c>
      <c r="AF31" s="120">
        <v>0</v>
      </c>
      <c r="AG31" s="120">
        <v>0</v>
      </c>
      <c r="AH31" s="120">
        <v>0</v>
      </c>
      <c r="AI31" s="120">
        <v>0</v>
      </c>
      <c r="AJ31" s="120">
        <v>0</v>
      </c>
      <c r="AK31" s="120">
        <v>0</v>
      </c>
      <c r="AL31" s="120">
        <v>0</v>
      </c>
      <c r="AM31" s="120">
        <v>0</v>
      </c>
      <c r="AN31" s="120">
        <v>0</v>
      </c>
      <c r="AO31" s="120">
        <v>0</v>
      </c>
      <c r="AP31" s="120">
        <v>0</v>
      </c>
      <c r="AQ31" s="120">
        <v>0</v>
      </c>
      <c r="AR31" s="120">
        <v>0</v>
      </c>
      <c r="AS31" s="120">
        <v>0</v>
      </c>
      <c r="AT31" s="120">
        <v>0</v>
      </c>
      <c r="AU31" s="120">
        <v>0</v>
      </c>
      <c r="AV31" s="120">
        <v>0</v>
      </c>
      <c r="AW31" s="120">
        <v>0</v>
      </c>
      <c r="AX31" s="120">
        <v>0</v>
      </c>
      <c r="AY31" s="120">
        <v>0</v>
      </c>
      <c r="AZ31" s="120">
        <v>0</v>
      </c>
      <c r="BA31" s="120">
        <v>0</v>
      </c>
      <c r="BB31" s="120">
        <v>0</v>
      </c>
      <c r="BC31" s="120">
        <v>0</v>
      </c>
      <c r="BD31" s="120">
        <v>0</v>
      </c>
      <c r="BE31" s="120">
        <v>0</v>
      </c>
      <c r="BF31" s="120">
        <v>0</v>
      </c>
      <c r="BG31" s="120">
        <v>0</v>
      </c>
      <c r="BH31" s="120">
        <v>0</v>
      </c>
      <c r="BI31" s="120">
        <v>0</v>
      </c>
      <c r="BJ31" s="120">
        <v>0</v>
      </c>
      <c r="BK31" s="120">
        <v>0</v>
      </c>
      <c r="BL31" s="120">
        <v>0</v>
      </c>
      <c r="BM31" s="120">
        <v>0</v>
      </c>
      <c r="BN31" s="120">
        <v>0</v>
      </c>
      <c r="BO31" s="120">
        <v>0</v>
      </c>
      <c r="BP31" s="120">
        <v>0</v>
      </c>
      <c r="BQ31" s="120">
        <v>0</v>
      </c>
      <c r="BR31" s="120">
        <v>0</v>
      </c>
      <c r="BS31" s="120">
        <v>0</v>
      </c>
      <c r="BT31" s="120">
        <v>0</v>
      </c>
      <c r="BU31" s="120">
        <v>0</v>
      </c>
      <c r="BV31" s="120">
        <v>0</v>
      </c>
      <c r="BW31" s="120">
        <v>0</v>
      </c>
      <c r="BX31" s="120">
        <v>0</v>
      </c>
      <c r="BY31" s="120">
        <v>0</v>
      </c>
      <c r="BZ31" s="120">
        <v>-354.53038718056848</v>
      </c>
      <c r="CA31" s="120">
        <v>-1064.5842438587381</v>
      </c>
      <c r="CB31" s="120">
        <v>-4593.9987985919051</v>
      </c>
      <c r="CC31" s="120">
        <v>0</v>
      </c>
      <c r="CD31" s="120">
        <v>0</v>
      </c>
      <c r="CE31" s="120">
        <v>0</v>
      </c>
      <c r="CF31" s="120">
        <v>0</v>
      </c>
      <c r="CG31" s="120">
        <v>0</v>
      </c>
      <c r="CH31" s="120">
        <v>0</v>
      </c>
      <c r="CI31" s="120">
        <v>0</v>
      </c>
      <c r="CJ31" s="120">
        <v>0</v>
      </c>
      <c r="CK31" s="120">
        <v>0</v>
      </c>
      <c r="CL31" s="120">
        <v>0</v>
      </c>
      <c r="CM31" s="120">
        <v>0</v>
      </c>
      <c r="CN31" s="120">
        <v>0</v>
      </c>
      <c r="CO31" s="120">
        <v>0</v>
      </c>
      <c r="CP31" s="120">
        <v>0</v>
      </c>
      <c r="CQ31" s="120">
        <v>0</v>
      </c>
      <c r="CR31" s="120">
        <v>0</v>
      </c>
      <c r="CS31" s="120">
        <v>0</v>
      </c>
      <c r="CT31" s="120">
        <v>0</v>
      </c>
      <c r="CU31" s="120">
        <v>0</v>
      </c>
      <c r="CV31" s="120">
        <v>0</v>
      </c>
      <c r="CW31" s="120">
        <v>0</v>
      </c>
      <c r="CX31" s="120">
        <v>0</v>
      </c>
      <c r="CY31" s="120">
        <v>0</v>
      </c>
      <c r="CZ31" s="120">
        <v>0</v>
      </c>
      <c r="DA31" s="120">
        <v>0</v>
      </c>
      <c r="DB31" s="120">
        <v>0</v>
      </c>
      <c r="DC31" s="120">
        <v>0</v>
      </c>
      <c r="DD31" s="120">
        <v>0</v>
      </c>
      <c r="DE31" s="120">
        <v>0</v>
      </c>
      <c r="DF31" s="120">
        <v>0</v>
      </c>
      <c r="DG31" s="120">
        <v>0</v>
      </c>
      <c r="DH31" s="120">
        <v>0</v>
      </c>
      <c r="DI31" s="120">
        <v>0</v>
      </c>
      <c r="DJ31" s="120">
        <v>8.4200747862731937</v>
      </c>
      <c r="DK31" s="120">
        <v>-2.405735653220912</v>
      </c>
      <c r="DL31" s="120">
        <v>18168.3660772845</v>
      </c>
      <c r="DM31" s="120">
        <v>-6026.0559778834577</v>
      </c>
      <c r="DN31" s="120">
        <v>569.48018206812287</v>
      </c>
      <c r="DO31" s="120">
        <v>-151.64758014772761</v>
      </c>
      <c r="DP31" s="120">
        <v>1321.032319671868</v>
      </c>
      <c r="DQ31" s="120">
        <v>-334.81997638269081</v>
      </c>
      <c r="DR31" s="120">
        <v>-8673.3347652110861</v>
      </c>
      <c r="DS31" s="120">
        <v>-240.88282860020101</v>
      </c>
      <c r="DT31" s="120">
        <v>-491.81933016849058</v>
      </c>
      <c r="DU31" s="120">
        <v>0</v>
      </c>
      <c r="DV31" s="120">
        <v>0</v>
      </c>
      <c r="DW31" s="120">
        <v>0</v>
      </c>
      <c r="DX31" s="120">
        <v>0</v>
      </c>
      <c r="DY31" s="120">
        <v>1.099890725377684</v>
      </c>
      <c r="DZ31" s="120">
        <v>0</v>
      </c>
      <c r="EA31" s="120">
        <v>0</v>
      </c>
      <c r="EB31" s="120">
        <v>0</v>
      </c>
      <c r="EC31" s="120">
        <v>0</v>
      </c>
      <c r="ED31" s="120">
        <f t="shared" si="0"/>
        <v>8868.5456856613182</v>
      </c>
    </row>
    <row r="32" spans="1:134">
      <c r="A32" s="120">
        <v>31</v>
      </c>
      <c r="B32" s="120">
        <v>0</v>
      </c>
      <c r="C32" s="120">
        <v>0</v>
      </c>
      <c r="D32" s="120">
        <v>0</v>
      </c>
      <c r="E32" s="120">
        <v>0</v>
      </c>
      <c r="F32" s="120">
        <v>0</v>
      </c>
      <c r="G32" s="120">
        <v>0</v>
      </c>
      <c r="H32" s="120">
        <v>0</v>
      </c>
      <c r="I32" s="120">
        <v>0</v>
      </c>
      <c r="J32" s="120">
        <v>0</v>
      </c>
      <c r="K32" s="120">
        <v>0</v>
      </c>
      <c r="L32" s="120">
        <v>0</v>
      </c>
      <c r="M32" s="120">
        <v>0</v>
      </c>
      <c r="N32" s="120">
        <v>0</v>
      </c>
      <c r="O32" s="120">
        <v>0</v>
      </c>
      <c r="P32" s="120">
        <v>0</v>
      </c>
      <c r="Q32" s="120">
        <v>0</v>
      </c>
      <c r="R32" s="120">
        <v>0</v>
      </c>
      <c r="S32" s="120">
        <v>0</v>
      </c>
      <c r="T32" s="120">
        <v>0</v>
      </c>
      <c r="U32" s="120">
        <v>0</v>
      </c>
      <c r="V32" s="120">
        <v>0</v>
      </c>
      <c r="W32" s="120">
        <v>0</v>
      </c>
      <c r="X32" s="120">
        <v>0</v>
      </c>
      <c r="Y32" s="120">
        <v>0</v>
      </c>
      <c r="Z32" s="120">
        <v>0</v>
      </c>
      <c r="AA32" s="120">
        <v>0</v>
      </c>
      <c r="AB32" s="120">
        <v>0</v>
      </c>
      <c r="AC32" s="120">
        <v>0</v>
      </c>
      <c r="AD32" s="120">
        <v>37041.717648526988</v>
      </c>
      <c r="AE32" s="120">
        <v>106.2220114311597</v>
      </c>
      <c r="AF32" s="120">
        <v>0</v>
      </c>
      <c r="AG32" s="120">
        <v>0</v>
      </c>
      <c r="AH32" s="120">
        <v>0</v>
      </c>
      <c r="AI32" s="120">
        <v>0</v>
      </c>
      <c r="AJ32" s="120">
        <v>0</v>
      </c>
      <c r="AK32" s="120">
        <v>0</v>
      </c>
      <c r="AL32" s="120">
        <v>0</v>
      </c>
      <c r="AM32" s="120">
        <v>0</v>
      </c>
      <c r="AN32" s="120">
        <v>0</v>
      </c>
      <c r="AO32" s="120">
        <v>0</v>
      </c>
      <c r="AP32" s="120">
        <v>0</v>
      </c>
      <c r="AQ32" s="120">
        <v>0</v>
      </c>
      <c r="AR32" s="120">
        <v>0</v>
      </c>
      <c r="AS32" s="120">
        <v>0</v>
      </c>
      <c r="AT32" s="120">
        <v>0</v>
      </c>
      <c r="AU32" s="120">
        <v>0</v>
      </c>
      <c r="AV32" s="120">
        <v>0</v>
      </c>
      <c r="AW32" s="120">
        <v>0</v>
      </c>
      <c r="AX32" s="120">
        <v>0</v>
      </c>
      <c r="AY32" s="120">
        <v>0</v>
      </c>
      <c r="AZ32" s="120">
        <v>0</v>
      </c>
      <c r="BA32" s="120">
        <v>0</v>
      </c>
      <c r="BB32" s="120">
        <v>0</v>
      </c>
      <c r="BC32" s="120">
        <v>0</v>
      </c>
      <c r="BD32" s="120">
        <v>0</v>
      </c>
      <c r="BE32" s="120">
        <v>0</v>
      </c>
      <c r="BF32" s="120">
        <v>0</v>
      </c>
      <c r="BG32" s="120">
        <v>0</v>
      </c>
      <c r="BH32" s="120">
        <v>0</v>
      </c>
      <c r="BI32" s="120">
        <v>0</v>
      </c>
      <c r="BJ32" s="120">
        <v>0</v>
      </c>
      <c r="BK32" s="120">
        <v>0</v>
      </c>
      <c r="BL32" s="120">
        <v>0</v>
      </c>
      <c r="BM32" s="120">
        <v>0</v>
      </c>
      <c r="BN32" s="120">
        <v>0</v>
      </c>
      <c r="BO32" s="120">
        <v>0</v>
      </c>
      <c r="BP32" s="120">
        <v>0</v>
      </c>
      <c r="BQ32" s="120">
        <v>0</v>
      </c>
      <c r="BR32" s="120">
        <v>0</v>
      </c>
      <c r="BS32" s="120">
        <v>0</v>
      </c>
      <c r="BT32" s="120">
        <v>0</v>
      </c>
      <c r="BU32" s="120">
        <v>0</v>
      </c>
      <c r="BV32" s="120">
        <v>0</v>
      </c>
      <c r="BW32" s="120">
        <v>0</v>
      </c>
      <c r="BX32" s="120">
        <v>0</v>
      </c>
      <c r="BY32" s="120">
        <v>0</v>
      </c>
      <c r="BZ32" s="120">
        <v>-814.07868608107935</v>
      </c>
      <c r="CA32" s="120">
        <v>-2063.5864015218749</v>
      </c>
      <c r="CB32" s="120">
        <v>-21091.99290832593</v>
      </c>
      <c r="CC32" s="120">
        <v>0</v>
      </c>
      <c r="CD32" s="120">
        <v>0</v>
      </c>
      <c r="CE32" s="120">
        <v>0</v>
      </c>
      <c r="CF32" s="120">
        <v>0</v>
      </c>
      <c r="CG32" s="120">
        <v>0</v>
      </c>
      <c r="CH32" s="120">
        <v>0</v>
      </c>
      <c r="CI32" s="120">
        <v>0</v>
      </c>
      <c r="CJ32" s="120">
        <v>0</v>
      </c>
      <c r="CK32" s="120">
        <v>0</v>
      </c>
      <c r="CL32" s="120">
        <v>0</v>
      </c>
      <c r="CM32" s="120">
        <v>0</v>
      </c>
      <c r="CN32" s="120">
        <v>0</v>
      </c>
      <c r="CO32" s="120">
        <v>0</v>
      </c>
      <c r="CP32" s="120">
        <v>0</v>
      </c>
      <c r="CQ32" s="120">
        <v>0</v>
      </c>
      <c r="CR32" s="120">
        <v>0</v>
      </c>
      <c r="CS32" s="120">
        <v>0</v>
      </c>
      <c r="CT32" s="120">
        <v>0</v>
      </c>
      <c r="CU32" s="120">
        <v>0</v>
      </c>
      <c r="CV32" s="120">
        <v>0</v>
      </c>
      <c r="CW32" s="120">
        <v>0</v>
      </c>
      <c r="CX32" s="120">
        <v>0</v>
      </c>
      <c r="CY32" s="120">
        <v>0</v>
      </c>
      <c r="CZ32" s="120">
        <v>0</v>
      </c>
      <c r="DA32" s="120">
        <v>0</v>
      </c>
      <c r="DB32" s="120">
        <v>0</v>
      </c>
      <c r="DC32" s="120">
        <v>0</v>
      </c>
      <c r="DD32" s="120">
        <v>0</v>
      </c>
      <c r="DE32" s="120">
        <v>0</v>
      </c>
      <c r="DF32" s="120">
        <v>0</v>
      </c>
      <c r="DG32" s="120">
        <v>0</v>
      </c>
      <c r="DH32" s="120">
        <v>0</v>
      </c>
      <c r="DI32" s="120">
        <v>0</v>
      </c>
      <c r="DJ32" s="120">
        <v>0</v>
      </c>
      <c r="DK32" s="120">
        <v>0</v>
      </c>
      <c r="DL32" s="120">
        <v>0</v>
      </c>
      <c r="DM32" s="120">
        <v>0</v>
      </c>
      <c r="DN32" s="120">
        <v>-62.0789202116068</v>
      </c>
      <c r="DO32" s="120">
        <v>3.409735038714353</v>
      </c>
      <c r="DP32" s="120">
        <v>16818.725200992059</v>
      </c>
      <c r="DQ32" s="120">
        <v>-3063.1991589037798</v>
      </c>
      <c r="DR32" s="120">
        <v>-16231.49805949967</v>
      </c>
      <c r="DS32" s="120">
        <v>-229.4852146632692</v>
      </c>
      <c r="DT32" s="120">
        <v>-27.803313036885349</v>
      </c>
      <c r="DU32" s="120">
        <v>0</v>
      </c>
      <c r="DV32" s="120">
        <v>0</v>
      </c>
      <c r="DW32" s="120">
        <v>0</v>
      </c>
      <c r="DX32" s="120">
        <v>0</v>
      </c>
      <c r="DY32" s="120">
        <v>0</v>
      </c>
      <c r="DZ32" s="120">
        <v>0</v>
      </c>
      <c r="EA32" s="120">
        <v>0</v>
      </c>
      <c r="EB32" s="120">
        <v>0</v>
      </c>
      <c r="EC32" s="120">
        <v>0</v>
      </c>
      <c r="ED32" s="120">
        <f t="shared" si="0"/>
        <v>10386.351933744827</v>
      </c>
    </row>
    <row r="33" spans="1:134">
      <c r="A33" s="120">
        <v>32</v>
      </c>
      <c r="B33" s="120">
        <v>0</v>
      </c>
      <c r="C33" s="120">
        <v>0</v>
      </c>
      <c r="D33" s="120">
        <v>0</v>
      </c>
      <c r="E33" s="120">
        <v>0</v>
      </c>
      <c r="F33" s="120">
        <v>0</v>
      </c>
      <c r="G33" s="120">
        <v>0</v>
      </c>
      <c r="H33" s="120">
        <v>0</v>
      </c>
      <c r="I33" s="120">
        <v>0</v>
      </c>
      <c r="J33" s="120">
        <v>0</v>
      </c>
      <c r="K33" s="120">
        <v>0</v>
      </c>
      <c r="L33" s="120">
        <v>0</v>
      </c>
      <c r="M33" s="120">
        <v>0</v>
      </c>
      <c r="N33" s="120">
        <v>0</v>
      </c>
      <c r="O33" s="120">
        <v>0</v>
      </c>
      <c r="P33" s="120">
        <v>0</v>
      </c>
      <c r="Q33" s="120">
        <v>0</v>
      </c>
      <c r="R33" s="120">
        <v>0</v>
      </c>
      <c r="S33" s="120">
        <v>0</v>
      </c>
      <c r="T33" s="120">
        <v>0</v>
      </c>
      <c r="U33" s="120">
        <v>0</v>
      </c>
      <c r="V33" s="120">
        <v>0</v>
      </c>
      <c r="W33" s="120">
        <v>0</v>
      </c>
      <c r="X33" s="120">
        <v>13092.170339581209</v>
      </c>
      <c r="Y33" s="120">
        <v>0</v>
      </c>
      <c r="Z33" s="120">
        <v>0</v>
      </c>
      <c r="AA33" s="120">
        <v>0</v>
      </c>
      <c r="AB33" s="120">
        <v>0</v>
      </c>
      <c r="AC33" s="120">
        <v>945.93277411788108</v>
      </c>
      <c r="AD33" s="120">
        <v>9510.9378910608939</v>
      </c>
      <c r="AE33" s="120">
        <v>9168.6778837528182</v>
      </c>
      <c r="AF33" s="120">
        <v>0</v>
      </c>
      <c r="AG33" s="120">
        <v>2562.978270180749</v>
      </c>
      <c r="AH33" s="120">
        <v>0</v>
      </c>
      <c r="AI33" s="120">
        <v>0</v>
      </c>
      <c r="AJ33" s="120">
        <v>0</v>
      </c>
      <c r="AK33" s="120">
        <v>0</v>
      </c>
      <c r="AL33" s="120">
        <v>0</v>
      </c>
      <c r="AM33" s="120">
        <v>0</v>
      </c>
      <c r="AN33" s="120">
        <v>0</v>
      </c>
      <c r="AO33" s="120">
        <v>0</v>
      </c>
      <c r="AP33" s="120">
        <v>0</v>
      </c>
      <c r="AQ33" s="120">
        <v>0</v>
      </c>
      <c r="AR33" s="120">
        <v>0</v>
      </c>
      <c r="AS33" s="120">
        <v>0</v>
      </c>
      <c r="AT33" s="120">
        <v>0</v>
      </c>
      <c r="AU33" s="120">
        <v>0</v>
      </c>
      <c r="AV33" s="120">
        <v>0</v>
      </c>
      <c r="AW33" s="120">
        <v>0</v>
      </c>
      <c r="AX33" s="120">
        <v>0</v>
      </c>
      <c r="AY33" s="120">
        <v>0</v>
      </c>
      <c r="AZ33" s="120">
        <v>0</v>
      </c>
      <c r="BA33" s="120">
        <v>0</v>
      </c>
      <c r="BB33" s="120">
        <v>0</v>
      </c>
      <c r="BC33" s="120">
        <v>0</v>
      </c>
      <c r="BD33" s="120">
        <v>0</v>
      </c>
      <c r="BE33" s="120">
        <v>0</v>
      </c>
      <c r="BF33" s="120">
        <v>0</v>
      </c>
      <c r="BG33" s="120">
        <v>0</v>
      </c>
      <c r="BH33" s="120">
        <v>0</v>
      </c>
      <c r="BI33" s="120">
        <v>0</v>
      </c>
      <c r="BJ33" s="120">
        <v>0</v>
      </c>
      <c r="BK33" s="120">
        <v>0</v>
      </c>
      <c r="BL33" s="120">
        <v>0</v>
      </c>
      <c r="BM33" s="120">
        <v>0</v>
      </c>
      <c r="BN33" s="120">
        <v>0</v>
      </c>
      <c r="BO33" s="120">
        <v>0</v>
      </c>
      <c r="BP33" s="120">
        <v>0</v>
      </c>
      <c r="BQ33" s="120">
        <v>0</v>
      </c>
      <c r="BR33" s="120">
        <v>0</v>
      </c>
      <c r="BS33" s="120">
        <v>0</v>
      </c>
      <c r="BT33" s="120">
        <v>0</v>
      </c>
      <c r="BU33" s="120">
        <v>0</v>
      </c>
      <c r="BV33" s="120">
        <v>0</v>
      </c>
      <c r="BW33" s="120">
        <v>0</v>
      </c>
      <c r="BX33" s="120">
        <v>0</v>
      </c>
      <c r="BY33" s="120">
        <v>0</v>
      </c>
      <c r="BZ33" s="120">
        <v>-481.9683963901191</v>
      </c>
      <c r="CA33" s="120">
        <v>-1311.7270863187789</v>
      </c>
      <c r="CB33" s="120">
        <v>-24972.636865435219</v>
      </c>
      <c r="CC33" s="120">
        <v>0</v>
      </c>
      <c r="CD33" s="120">
        <v>0</v>
      </c>
      <c r="CE33" s="120">
        <v>0</v>
      </c>
      <c r="CF33" s="120">
        <v>0</v>
      </c>
      <c r="CG33" s="120">
        <v>0</v>
      </c>
      <c r="CH33" s="120">
        <v>0</v>
      </c>
      <c r="CI33" s="120">
        <v>0</v>
      </c>
      <c r="CJ33" s="120">
        <v>0</v>
      </c>
      <c r="CK33" s="120">
        <v>0</v>
      </c>
      <c r="CL33" s="120">
        <v>0</v>
      </c>
      <c r="CM33" s="120">
        <v>0</v>
      </c>
      <c r="CN33" s="120">
        <v>0</v>
      </c>
      <c r="CO33" s="120">
        <v>0</v>
      </c>
      <c r="CP33" s="120">
        <v>0</v>
      </c>
      <c r="CQ33" s="120">
        <v>0</v>
      </c>
      <c r="CR33" s="120">
        <v>0</v>
      </c>
      <c r="CS33" s="120">
        <v>0</v>
      </c>
      <c r="CT33" s="120">
        <v>0</v>
      </c>
      <c r="CU33" s="120">
        <v>0</v>
      </c>
      <c r="CV33" s="120">
        <v>0</v>
      </c>
      <c r="CW33" s="120">
        <v>0</v>
      </c>
      <c r="CX33" s="120">
        <v>0</v>
      </c>
      <c r="CY33" s="120">
        <v>0</v>
      </c>
      <c r="CZ33" s="120">
        <v>0</v>
      </c>
      <c r="DA33" s="120">
        <v>0</v>
      </c>
      <c r="DB33" s="120">
        <v>0</v>
      </c>
      <c r="DC33" s="120">
        <v>0</v>
      </c>
      <c r="DD33" s="120">
        <v>0</v>
      </c>
      <c r="DE33" s="120">
        <v>0</v>
      </c>
      <c r="DF33" s="120">
        <v>0</v>
      </c>
      <c r="DG33" s="120">
        <v>0</v>
      </c>
      <c r="DH33" s="120">
        <v>0</v>
      </c>
      <c r="DI33" s="120">
        <v>0</v>
      </c>
      <c r="DJ33" s="120">
        <v>0</v>
      </c>
      <c r="DK33" s="120">
        <v>0</v>
      </c>
      <c r="DL33" s="120">
        <v>0</v>
      </c>
      <c r="DM33" s="120">
        <v>0</v>
      </c>
      <c r="DN33" s="120">
        <v>-221.00095595332019</v>
      </c>
      <c r="DO33" s="120">
        <v>4.9748593187799566</v>
      </c>
      <c r="DP33" s="120">
        <v>9534.7058899397634</v>
      </c>
      <c r="DQ33" s="120">
        <v>-2010.143393861498</v>
      </c>
      <c r="DR33" s="120">
        <v>-13169.33999838313</v>
      </c>
      <c r="DS33" s="120">
        <v>-294.3646578231461</v>
      </c>
      <c r="DT33" s="120">
        <v>-852.48428899643886</v>
      </c>
      <c r="DU33" s="120">
        <v>0</v>
      </c>
      <c r="DV33" s="120">
        <v>0</v>
      </c>
      <c r="DW33" s="120">
        <v>0</v>
      </c>
      <c r="DX33" s="120">
        <v>0</v>
      </c>
      <c r="DY33" s="120">
        <v>0</v>
      </c>
      <c r="DZ33" s="120">
        <v>0</v>
      </c>
      <c r="EA33" s="120">
        <v>0</v>
      </c>
      <c r="EB33" s="120">
        <v>0</v>
      </c>
      <c r="EC33" s="120">
        <v>0</v>
      </c>
      <c r="ED33" s="120">
        <f t="shared" si="0"/>
        <v>1506.7122647904462</v>
      </c>
    </row>
    <row r="34" spans="1:134">
      <c r="A34" s="120">
        <v>33</v>
      </c>
      <c r="B34" s="120">
        <v>0</v>
      </c>
      <c r="C34" s="120">
        <v>0</v>
      </c>
      <c r="D34" s="120">
        <v>0</v>
      </c>
      <c r="E34" s="120">
        <v>717.95692689848397</v>
      </c>
      <c r="F34" s="120">
        <v>0</v>
      </c>
      <c r="G34" s="120">
        <v>0</v>
      </c>
      <c r="H34" s="120">
        <v>0</v>
      </c>
      <c r="I34" s="120">
        <v>0</v>
      </c>
      <c r="J34" s="120">
        <v>0</v>
      </c>
      <c r="K34" s="120">
        <v>0</v>
      </c>
      <c r="L34" s="120">
        <v>126.0330678252474</v>
      </c>
      <c r="M34" s="120">
        <v>0</v>
      </c>
      <c r="N34" s="120">
        <v>0</v>
      </c>
      <c r="O34" s="120">
        <v>0</v>
      </c>
      <c r="P34" s="120">
        <v>0</v>
      </c>
      <c r="Q34" s="120">
        <v>0</v>
      </c>
      <c r="R34" s="120">
        <v>0</v>
      </c>
      <c r="S34" s="120">
        <v>0</v>
      </c>
      <c r="T34" s="120">
        <v>0</v>
      </c>
      <c r="U34" s="120">
        <v>0</v>
      </c>
      <c r="V34" s="120">
        <v>0</v>
      </c>
      <c r="W34" s="120">
        <v>0</v>
      </c>
      <c r="X34" s="120">
        <v>0</v>
      </c>
      <c r="Y34" s="120">
        <v>0</v>
      </c>
      <c r="Z34" s="120">
        <v>0</v>
      </c>
      <c r="AA34" s="120">
        <v>0</v>
      </c>
      <c r="AB34" s="120">
        <v>0</v>
      </c>
      <c r="AC34" s="120">
        <v>1362.911031930837</v>
      </c>
      <c r="AD34" s="120">
        <v>6463.3619883901201</v>
      </c>
      <c r="AE34" s="120">
        <v>0</v>
      </c>
      <c r="AF34" s="120">
        <v>0</v>
      </c>
      <c r="AG34" s="120">
        <v>1002.951029382371</v>
      </c>
      <c r="AH34" s="120">
        <v>0</v>
      </c>
      <c r="AI34" s="120">
        <v>0</v>
      </c>
      <c r="AJ34" s="120">
        <v>0</v>
      </c>
      <c r="AK34" s="120">
        <v>0</v>
      </c>
      <c r="AL34" s="120">
        <v>0</v>
      </c>
      <c r="AM34" s="120">
        <v>0</v>
      </c>
      <c r="AN34" s="120">
        <v>0</v>
      </c>
      <c r="AO34" s="120">
        <v>0</v>
      </c>
      <c r="AP34" s="120">
        <v>0</v>
      </c>
      <c r="AQ34" s="120">
        <v>0</v>
      </c>
      <c r="AR34" s="120">
        <v>0</v>
      </c>
      <c r="AS34" s="120">
        <v>0</v>
      </c>
      <c r="AT34" s="120">
        <v>0</v>
      </c>
      <c r="AU34" s="120">
        <v>0</v>
      </c>
      <c r="AV34" s="120">
        <v>0</v>
      </c>
      <c r="AW34" s="120">
        <v>0</v>
      </c>
      <c r="AX34" s="120">
        <v>0</v>
      </c>
      <c r="AY34" s="120">
        <v>0</v>
      </c>
      <c r="AZ34" s="120">
        <v>0</v>
      </c>
      <c r="BA34" s="120">
        <v>0</v>
      </c>
      <c r="BB34" s="120">
        <v>0</v>
      </c>
      <c r="BC34" s="120">
        <v>0</v>
      </c>
      <c r="BD34" s="120">
        <v>0</v>
      </c>
      <c r="BE34" s="120">
        <v>0</v>
      </c>
      <c r="BF34" s="120">
        <v>0</v>
      </c>
      <c r="BG34" s="120">
        <v>0</v>
      </c>
      <c r="BH34" s="120">
        <v>0</v>
      </c>
      <c r="BI34" s="120">
        <v>0</v>
      </c>
      <c r="BJ34" s="120">
        <v>0</v>
      </c>
      <c r="BK34" s="120">
        <v>0</v>
      </c>
      <c r="BL34" s="120">
        <v>0</v>
      </c>
      <c r="BM34" s="120">
        <v>0</v>
      </c>
      <c r="BN34" s="120">
        <v>0</v>
      </c>
      <c r="BO34" s="120">
        <v>0</v>
      </c>
      <c r="BP34" s="120">
        <v>0</v>
      </c>
      <c r="BQ34" s="120">
        <v>0</v>
      </c>
      <c r="BR34" s="120">
        <v>0</v>
      </c>
      <c r="BS34" s="120">
        <v>8.6229456082906832</v>
      </c>
      <c r="BT34" s="120">
        <v>0</v>
      </c>
      <c r="BU34" s="120">
        <v>0</v>
      </c>
      <c r="BV34" s="120">
        <v>0</v>
      </c>
      <c r="BW34" s="120">
        <v>0</v>
      </c>
      <c r="BX34" s="120">
        <v>0</v>
      </c>
      <c r="BY34" s="120">
        <v>0</v>
      </c>
      <c r="BZ34" s="120">
        <v>-165.56378591262859</v>
      </c>
      <c r="CA34" s="120">
        <v>-478.9895693069758</v>
      </c>
      <c r="CB34" s="120">
        <v>-5905.108364217087</v>
      </c>
      <c r="CC34" s="120">
        <v>0</v>
      </c>
      <c r="CD34" s="120">
        <v>0</v>
      </c>
      <c r="CE34" s="120">
        <v>0</v>
      </c>
      <c r="CF34" s="120">
        <v>0</v>
      </c>
      <c r="CG34" s="120">
        <v>0</v>
      </c>
      <c r="CH34" s="120">
        <v>0</v>
      </c>
      <c r="CI34" s="120">
        <v>0</v>
      </c>
      <c r="CJ34" s="120">
        <v>0</v>
      </c>
      <c r="CK34" s="120">
        <v>0</v>
      </c>
      <c r="CL34" s="120">
        <v>0</v>
      </c>
      <c r="CM34" s="120">
        <v>0</v>
      </c>
      <c r="CN34" s="120">
        <v>0</v>
      </c>
      <c r="CO34" s="120">
        <v>0</v>
      </c>
      <c r="CP34" s="120">
        <v>0</v>
      </c>
      <c r="CQ34" s="120">
        <v>0</v>
      </c>
      <c r="CR34" s="120">
        <v>0</v>
      </c>
      <c r="CS34" s="120">
        <v>0</v>
      </c>
      <c r="CT34" s="120">
        <v>0</v>
      </c>
      <c r="CU34" s="120">
        <v>0</v>
      </c>
      <c r="CV34" s="120">
        <v>0</v>
      </c>
      <c r="CW34" s="120">
        <v>0</v>
      </c>
      <c r="CX34" s="120">
        <v>0</v>
      </c>
      <c r="CY34" s="120">
        <v>0</v>
      </c>
      <c r="CZ34" s="120">
        <v>0</v>
      </c>
      <c r="DA34" s="120">
        <v>0</v>
      </c>
      <c r="DB34" s="120">
        <v>0</v>
      </c>
      <c r="DC34" s="120">
        <v>0</v>
      </c>
      <c r="DD34" s="120">
        <v>0</v>
      </c>
      <c r="DE34" s="120">
        <v>0</v>
      </c>
      <c r="DF34" s="120">
        <v>0</v>
      </c>
      <c r="DG34" s="120">
        <v>0</v>
      </c>
      <c r="DH34" s="120">
        <v>0</v>
      </c>
      <c r="DI34" s="120">
        <v>0</v>
      </c>
      <c r="DJ34" s="120">
        <v>0</v>
      </c>
      <c r="DK34" s="120">
        <v>0</v>
      </c>
      <c r="DL34" s="120">
        <v>0</v>
      </c>
      <c r="DM34" s="120">
        <v>0</v>
      </c>
      <c r="DN34" s="120">
        <v>-584.52600663674627</v>
      </c>
      <c r="DO34" s="120">
        <v>95.823935514220693</v>
      </c>
      <c r="DP34" s="120">
        <v>2596.0081530154698</v>
      </c>
      <c r="DQ34" s="120">
        <v>-448.39380290386981</v>
      </c>
      <c r="DR34" s="120">
        <v>-2846.2497914396172</v>
      </c>
      <c r="DS34" s="120">
        <v>-134.33033131685269</v>
      </c>
      <c r="DT34" s="120">
        <v>-149.11975772149199</v>
      </c>
      <c r="DU34" s="120">
        <v>0</v>
      </c>
      <c r="DV34" s="120">
        <v>0</v>
      </c>
      <c r="DW34" s="120">
        <v>0</v>
      </c>
      <c r="DX34" s="120">
        <v>0</v>
      </c>
      <c r="DY34" s="120">
        <v>0</v>
      </c>
      <c r="DZ34" s="120">
        <v>0</v>
      </c>
      <c r="EA34" s="120">
        <v>0</v>
      </c>
      <c r="EB34" s="120">
        <v>0</v>
      </c>
      <c r="EC34" s="120">
        <v>0</v>
      </c>
      <c r="ED34" s="120">
        <f t="shared" si="0"/>
        <v>1661.3876691097726</v>
      </c>
    </row>
    <row r="35" spans="1:134">
      <c r="A35" s="120">
        <v>34</v>
      </c>
      <c r="B35" s="120">
        <v>0</v>
      </c>
      <c r="C35" s="120">
        <v>0</v>
      </c>
      <c r="D35" s="120">
        <v>0</v>
      </c>
      <c r="E35" s="120">
        <v>0</v>
      </c>
      <c r="F35" s="120">
        <v>0</v>
      </c>
      <c r="G35" s="120">
        <v>0</v>
      </c>
      <c r="H35" s="120">
        <v>0</v>
      </c>
      <c r="I35" s="120">
        <v>0</v>
      </c>
      <c r="J35" s="120">
        <v>0</v>
      </c>
      <c r="K35" s="120">
        <v>0</v>
      </c>
      <c r="L35" s="120">
        <v>0</v>
      </c>
      <c r="M35" s="120">
        <v>0</v>
      </c>
      <c r="N35" s="120">
        <v>0</v>
      </c>
      <c r="O35" s="120">
        <v>0</v>
      </c>
      <c r="P35" s="120">
        <v>0</v>
      </c>
      <c r="Q35" s="120">
        <v>0</v>
      </c>
      <c r="R35" s="120">
        <v>0</v>
      </c>
      <c r="S35" s="120">
        <v>0</v>
      </c>
      <c r="T35" s="120">
        <v>0</v>
      </c>
      <c r="U35" s="120">
        <v>0</v>
      </c>
      <c r="V35" s="120">
        <v>0</v>
      </c>
      <c r="W35" s="120">
        <v>0</v>
      </c>
      <c r="X35" s="120">
        <v>0</v>
      </c>
      <c r="Y35" s="120">
        <v>0</v>
      </c>
      <c r="Z35" s="120">
        <v>441142.19690741302</v>
      </c>
      <c r="AA35" s="120">
        <v>25306.91094818859</v>
      </c>
      <c r="AB35" s="120">
        <v>1795.3223377124591</v>
      </c>
      <c r="AC35" s="120">
        <v>0</v>
      </c>
      <c r="AD35" s="120">
        <v>0</v>
      </c>
      <c r="AE35" s="120">
        <v>0</v>
      </c>
      <c r="AF35" s="120">
        <v>0</v>
      </c>
      <c r="AG35" s="120">
        <v>0</v>
      </c>
      <c r="AH35" s="120">
        <v>0</v>
      </c>
      <c r="AI35" s="120">
        <v>0</v>
      </c>
      <c r="AJ35" s="120">
        <v>0</v>
      </c>
      <c r="AK35" s="120">
        <v>0</v>
      </c>
      <c r="AL35" s="120">
        <v>0</v>
      </c>
      <c r="AM35" s="120">
        <v>0</v>
      </c>
      <c r="AN35" s="120">
        <v>0</v>
      </c>
      <c r="AO35" s="120">
        <v>0</v>
      </c>
      <c r="AP35" s="120">
        <v>0</v>
      </c>
      <c r="AQ35" s="120">
        <v>0</v>
      </c>
      <c r="AR35" s="120">
        <v>0</v>
      </c>
      <c r="AS35" s="120">
        <v>0</v>
      </c>
      <c r="AT35" s="120">
        <v>0</v>
      </c>
      <c r="AU35" s="120">
        <v>0</v>
      </c>
      <c r="AV35" s="120">
        <v>0</v>
      </c>
      <c r="AW35" s="120">
        <v>0</v>
      </c>
      <c r="AX35" s="120">
        <v>0</v>
      </c>
      <c r="AY35" s="120">
        <v>0</v>
      </c>
      <c r="AZ35" s="120">
        <v>0</v>
      </c>
      <c r="BA35" s="120">
        <v>0</v>
      </c>
      <c r="BB35" s="120">
        <v>0</v>
      </c>
      <c r="BC35" s="120">
        <v>0</v>
      </c>
      <c r="BD35" s="120">
        <v>0</v>
      </c>
      <c r="BE35" s="120">
        <v>0</v>
      </c>
      <c r="BF35" s="120">
        <v>0</v>
      </c>
      <c r="BG35" s="120">
        <v>0</v>
      </c>
      <c r="BH35" s="120">
        <v>0</v>
      </c>
      <c r="BI35" s="120">
        <v>0</v>
      </c>
      <c r="BJ35" s="120">
        <v>0</v>
      </c>
      <c r="BK35" s="120">
        <v>0</v>
      </c>
      <c r="BL35" s="120">
        <v>0</v>
      </c>
      <c r="BM35" s="120">
        <v>0</v>
      </c>
      <c r="BN35" s="120">
        <v>0</v>
      </c>
      <c r="BO35" s="120">
        <v>0</v>
      </c>
      <c r="BP35" s="120">
        <v>0</v>
      </c>
      <c r="BQ35" s="120">
        <v>0</v>
      </c>
      <c r="BR35" s="120">
        <v>0</v>
      </c>
      <c r="BS35" s="120">
        <v>0</v>
      </c>
      <c r="BT35" s="120">
        <v>0</v>
      </c>
      <c r="BU35" s="120">
        <v>0</v>
      </c>
      <c r="BV35" s="120">
        <v>0</v>
      </c>
      <c r="BW35" s="120">
        <v>0</v>
      </c>
      <c r="BX35" s="120">
        <v>0</v>
      </c>
      <c r="BY35" s="120">
        <v>0</v>
      </c>
      <c r="BZ35" s="120">
        <v>-9820.1023721978709</v>
      </c>
      <c r="CA35" s="120">
        <v>-74296.923909759498</v>
      </c>
      <c r="CB35" s="120">
        <v>-121238.246574095</v>
      </c>
      <c r="CC35" s="120">
        <v>0</v>
      </c>
      <c r="CD35" s="120">
        <v>0</v>
      </c>
      <c r="CE35" s="120">
        <v>0</v>
      </c>
      <c r="CF35" s="120">
        <v>0</v>
      </c>
      <c r="CG35" s="120">
        <v>0</v>
      </c>
      <c r="CH35" s="120">
        <v>0</v>
      </c>
      <c r="CI35" s="120">
        <v>0</v>
      </c>
      <c r="CJ35" s="120">
        <v>0</v>
      </c>
      <c r="CK35" s="120">
        <v>0</v>
      </c>
      <c r="CL35" s="120">
        <v>0</v>
      </c>
      <c r="CM35" s="120">
        <v>0</v>
      </c>
      <c r="CN35" s="120">
        <v>0</v>
      </c>
      <c r="CO35" s="120">
        <v>0</v>
      </c>
      <c r="CP35" s="120">
        <v>0</v>
      </c>
      <c r="CQ35" s="120">
        <v>0</v>
      </c>
      <c r="CR35" s="120">
        <v>0</v>
      </c>
      <c r="CS35" s="120">
        <v>0</v>
      </c>
      <c r="CT35" s="120">
        <v>0</v>
      </c>
      <c r="CU35" s="120">
        <v>0</v>
      </c>
      <c r="CV35" s="120">
        <v>0</v>
      </c>
      <c r="CW35" s="120">
        <v>0</v>
      </c>
      <c r="CX35" s="120">
        <v>0</v>
      </c>
      <c r="CY35" s="120">
        <v>0</v>
      </c>
      <c r="CZ35" s="120">
        <v>0</v>
      </c>
      <c r="DA35" s="120">
        <v>0</v>
      </c>
      <c r="DB35" s="120">
        <v>0</v>
      </c>
      <c r="DC35" s="120">
        <v>0</v>
      </c>
      <c r="DD35" s="120">
        <v>0</v>
      </c>
      <c r="DE35" s="120">
        <v>0</v>
      </c>
      <c r="DF35" s="120">
        <v>0</v>
      </c>
      <c r="DG35" s="120">
        <v>0</v>
      </c>
      <c r="DH35" s="120">
        <v>0</v>
      </c>
      <c r="DI35" s="120">
        <v>0</v>
      </c>
      <c r="DJ35" s="120">
        <v>0</v>
      </c>
      <c r="DK35" s="120">
        <v>0</v>
      </c>
      <c r="DL35" s="120">
        <v>0</v>
      </c>
      <c r="DM35" s="120">
        <v>0</v>
      </c>
      <c r="DN35" s="120">
        <v>5906.3478252577779</v>
      </c>
      <c r="DO35" s="120">
        <v>-322.20798316656709</v>
      </c>
      <c r="DP35" s="120">
        <v>189045.55642731389</v>
      </c>
      <c r="DQ35" s="120">
        <v>-33915.61452190538</v>
      </c>
      <c r="DR35" s="120">
        <v>-79818.799297028934</v>
      </c>
      <c r="DS35" s="120">
        <v>-745.95885052187418</v>
      </c>
      <c r="DT35" s="120">
        <v>-156.81626134582709</v>
      </c>
      <c r="DU35" s="120">
        <v>0</v>
      </c>
      <c r="DV35" s="120">
        <v>0</v>
      </c>
      <c r="DW35" s="120">
        <v>0</v>
      </c>
      <c r="DX35" s="120">
        <v>0</v>
      </c>
      <c r="DY35" s="120">
        <v>0</v>
      </c>
      <c r="DZ35" s="120">
        <v>0</v>
      </c>
      <c r="EA35" s="120">
        <v>0</v>
      </c>
      <c r="EB35" s="120">
        <v>0</v>
      </c>
      <c r="EC35" s="120">
        <v>0</v>
      </c>
      <c r="ED35" s="120">
        <f t="shared" si="0"/>
        <v>342881.66467586486</v>
      </c>
    </row>
    <row r="36" spans="1:134">
      <c r="A36" s="120">
        <v>35</v>
      </c>
      <c r="B36" s="120">
        <v>0</v>
      </c>
      <c r="C36" s="120">
        <v>0</v>
      </c>
      <c r="D36" s="120">
        <v>0</v>
      </c>
      <c r="E36" s="120">
        <v>0</v>
      </c>
      <c r="F36" s="120">
        <v>0</v>
      </c>
      <c r="G36" s="120">
        <v>0</v>
      </c>
      <c r="H36" s="120">
        <v>55.538723176672057</v>
      </c>
      <c r="I36" s="120">
        <v>0</v>
      </c>
      <c r="J36" s="120">
        <v>4730.756247797116</v>
      </c>
      <c r="K36" s="120">
        <v>0</v>
      </c>
      <c r="L36" s="120">
        <v>0</v>
      </c>
      <c r="M36" s="120">
        <v>0</v>
      </c>
      <c r="N36" s="120">
        <v>0</v>
      </c>
      <c r="O36" s="120">
        <v>0</v>
      </c>
      <c r="P36" s="120">
        <v>0</v>
      </c>
      <c r="Q36" s="120">
        <v>0</v>
      </c>
      <c r="R36" s="120">
        <v>0</v>
      </c>
      <c r="S36" s="120">
        <v>2264.0043430721639</v>
      </c>
      <c r="T36" s="120">
        <v>0</v>
      </c>
      <c r="U36" s="120">
        <v>0</v>
      </c>
      <c r="V36" s="120">
        <v>0</v>
      </c>
      <c r="W36" s="120">
        <v>0</v>
      </c>
      <c r="X36" s="120">
        <v>0</v>
      </c>
      <c r="Y36" s="120">
        <v>0</v>
      </c>
      <c r="Z36" s="120">
        <v>0</v>
      </c>
      <c r="AA36" s="120">
        <v>404.82376760023311</v>
      </c>
      <c r="AB36" s="120">
        <v>1721.0386974716189</v>
      </c>
      <c r="AC36" s="120">
        <v>2515.718980038409</v>
      </c>
      <c r="AD36" s="120">
        <v>4845.6740271349836</v>
      </c>
      <c r="AE36" s="120">
        <v>0</v>
      </c>
      <c r="AF36" s="120">
        <v>0</v>
      </c>
      <c r="AG36" s="120">
        <v>0</v>
      </c>
      <c r="AH36" s="120">
        <v>0</v>
      </c>
      <c r="AI36" s="120">
        <v>0</v>
      </c>
      <c r="AJ36" s="120">
        <v>0</v>
      </c>
      <c r="AK36" s="120">
        <v>0</v>
      </c>
      <c r="AL36" s="120">
        <v>0</v>
      </c>
      <c r="AM36" s="120">
        <v>0</v>
      </c>
      <c r="AN36" s="120">
        <v>0</v>
      </c>
      <c r="AO36" s="120">
        <v>0</v>
      </c>
      <c r="AP36" s="120">
        <v>0</v>
      </c>
      <c r="AQ36" s="120">
        <v>0</v>
      </c>
      <c r="AR36" s="120">
        <v>0</v>
      </c>
      <c r="AS36" s="120">
        <v>0</v>
      </c>
      <c r="AT36" s="120">
        <v>0</v>
      </c>
      <c r="AU36" s="120">
        <v>0</v>
      </c>
      <c r="AV36" s="120">
        <v>0</v>
      </c>
      <c r="AW36" s="120">
        <v>0</v>
      </c>
      <c r="AX36" s="120">
        <v>0</v>
      </c>
      <c r="AY36" s="120">
        <v>0</v>
      </c>
      <c r="AZ36" s="120">
        <v>0</v>
      </c>
      <c r="BA36" s="120">
        <v>0</v>
      </c>
      <c r="BB36" s="120">
        <v>0</v>
      </c>
      <c r="BC36" s="120">
        <v>0</v>
      </c>
      <c r="BD36" s="120">
        <v>0</v>
      </c>
      <c r="BE36" s="120">
        <v>0</v>
      </c>
      <c r="BF36" s="120">
        <v>0</v>
      </c>
      <c r="BG36" s="120">
        <v>0</v>
      </c>
      <c r="BH36" s="120">
        <v>0</v>
      </c>
      <c r="BI36" s="120">
        <v>0</v>
      </c>
      <c r="BJ36" s="120">
        <v>0</v>
      </c>
      <c r="BK36" s="120">
        <v>0</v>
      </c>
      <c r="BL36" s="120">
        <v>0</v>
      </c>
      <c r="BM36" s="120">
        <v>0</v>
      </c>
      <c r="BN36" s="120">
        <v>0</v>
      </c>
      <c r="BO36" s="120">
        <v>0</v>
      </c>
      <c r="BP36" s="120">
        <v>0</v>
      </c>
      <c r="BQ36" s="120">
        <v>0</v>
      </c>
      <c r="BR36" s="120">
        <v>0</v>
      </c>
      <c r="BS36" s="120">
        <v>0</v>
      </c>
      <c r="BT36" s="120">
        <v>0</v>
      </c>
      <c r="BU36" s="120">
        <v>0</v>
      </c>
      <c r="BV36" s="120">
        <v>0</v>
      </c>
      <c r="BW36" s="120">
        <v>0</v>
      </c>
      <c r="BX36" s="120">
        <v>0</v>
      </c>
      <c r="BY36" s="120">
        <v>0</v>
      </c>
      <c r="BZ36" s="120">
        <v>-256.26892374055382</v>
      </c>
      <c r="CA36" s="120">
        <v>-2344.6703881959188</v>
      </c>
      <c r="CB36" s="120">
        <v>-6575.2521390561069</v>
      </c>
      <c r="CC36" s="120">
        <v>0</v>
      </c>
      <c r="CD36" s="120">
        <v>0</v>
      </c>
      <c r="CE36" s="120">
        <v>0</v>
      </c>
      <c r="CF36" s="120">
        <v>0</v>
      </c>
      <c r="CG36" s="120">
        <v>0</v>
      </c>
      <c r="CH36" s="120">
        <v>0</v>
      </c>
      <c r="CI36" s="120">
        <v>2252.3227784730921</v>
      </c>
      <c r="CJ36" s="120">
        <v>0</v>
      </c>
      <c r="CK36" s="120">
        <v>0</v>
      </c>
      <c r="CL36" s="120">
        <v>0</v>
      </c>
      <c r="CM36" s="120">
        <v>0</v>
      </c>
      <c r="CN36" s="120">
        <v>0</v>
      </c>
      <c r="CO36" s="120">
        <v>0</v>
      </c>
      <c r="CP36" s="120">
        <v>0</v>
      </c>
      <c r="CQ36" s="120">
        <v>0</v>
      </c>
      <c r="CR36" s="120">
        <v>0</v>
      </c>
      <c r="CS36" s="120">
        <v>0</v>
      </c>
      <c r="CT36" s="120">
        <v>0</v>
      </c>
      <c r="CU36" s="120">
        <v>0</v>
      </c>
      <c r="CV36" s="120">
        <v>0</v>
      </c>
      <c r="CW36" s="120">
        <v>0</v>
      </c>
      <c r="CX36" s="120">
        <v>0</v>
      </c>
      <c r="CY36" s="120">
        <v>0</v>
      </c>
      <c r="CZ36" s="120">
        <v>0</v>
      </c>
      <c r="DA36" s="120">
        <v>0</v>
      </c>
      <c r="DB36" s="120">
        <v>0</v>
      </c>
      <c r="DC36" s="120">
        <v>0</v>
      </c>
      <c r="DD36" s="120">
        <v>0</v>
      </c>
      <c r="DE36" s="120">
        <v>0</v>
      </c>
      <c r="DF36" s="120">
        <v>0</v>
      </c>
      <c r="DG36" s="120">
        <v>0</v>
      </c>
      <c r="DH36" s="120">
        <v>0</v>
      </c>
      <c r="DI36" s="120">
        <v>0</v>
      </c>
      <c r="DJ36" s="120">
        <v>0</v>
      </c>
      <c r="DK36" s="120">
        <v>0</v>
      </c>
      <c r="DL36" s="120">
        <v>0</v>
      </c>
      <c r="DM36" s="120">
        <v>0</v>
      </c>
      <c r="DN36" s="120">
        <v>737.35446143343131</v>
      </c>
      <c r="DO36" s="120">
        <v>-171.94007147458461</v>
      </c>
      <c r="DP36" s="120">
        <v>146367.47376792639</v>
      </c>
      <c r="DQ36" s="120">
        <v>-32428.371172208379</v>
      </c>
      <c r="DR36" s="120">
        <v>-115436.6118611936</v>
      </c>
      <c r="DS36" s="120">
        <v>-1886.6653176524051</v>
      </c>
      <c r="DT36" s="120">
        <v>-4833.7600539858913</v>
      </c>
      <c r="DU36" s="120">
        <v>0</v>
      </c>
      <c r="DV36" s="120">
        <v>0</v>
      </c>
      <c r="DW36" s="120">
        <v>0</v>
      </c>
      <c r="DX36" s="120">
        <v>0</v>
      </c>
      <c r="DY36" s="120">
        <v>0</v>
      </c>
      <c r="DZ36" s="120">
        <v>0</v>
      </c>
      <c r="EA36" s="120">
        <v>0</v>
      </c>
      <c r="EB36" s="120">
        <v>0</v>
      </c>
      <c r="EC36" s="120">
        <v>0</v>
      </c>
      <c r="ED36" s="120">
        <f t="shared" si="0"/>
        <v>1961.1658666166759</v>
      </c>
    </row>
    <row r="37" spans="1:134">
      <c r="A37" s="120">
        <v>36</v>
      </c>
      <c r="B37" s="120">
        <v>0</v>
      </c>
      <c r="C37" s="120">
        <v>0</v>
      </c>
      <c r="D37" s="120">
        <v>0</v>
      </c>
      <c r="E37" s="120">
        <v>0</v>
      </c>
      <c r="F37" s="120">
        <v>0</v>
      </c>
      <c r="G37" s="120">
        <v>0</v>
      </c>
      <c r="H37" s="120">
        <v>0</v>
      </c>
      <c r="I37" s="120">
        <v>0</v>
      </c>
      <c r="J37" s="120">
        <v>0</v>
      </c>
      <c r="K37" s="120">
        <v>0</v>
      </c>
      <c r="L37" s="120">
        <v>0</v>
      </c>
      <c r="M37" s="120">
        <v>0</v>
      </c>
      <c r="N37" s="120">
        <v>0</v>
      </c>
      <c r="O37" s="120">
        <v>0</v>
      </c>
      <c r="P37" s="120">
        <v>0</v>
      </c>
      <c r="Q37" s="120">
        <v>0</v>
      </c>
      <c r="R37" s="120">
        <v>0</v>
      </c>
      <c r="S37" s="120">
        <v>0</v>
      </c>
      <c r="T37" s="120">
        <v>0</v>
      </c>
      <c r="U37" s="120">
        <v>0</v>
      </c>
      <c r="V37" s="120">
        <v>0</v>
      </c>
      <c r="W37" s="120">
        <v>0</v>
      </c>
      <c r="X37" s="120">
        <v>0</v>
      </c>
      <c r="Y37" s="120">
        <v>0</v>
      </c>
      <c r="Z37" s="120">
        <v>0</v>
      </c>
      <c r="AA37" s="120">
        <v>0</v>
      </c>
      <c r="AB37" s="120">
        <v>621418.72340596886</v>
      </c>
      <c r="AC37" s="120">
        <v>2734.367882399391</v>
      </c>
      <c r="AD37" s="120">
        <v>0</v>
      </c>
      <c r="AE37" s="120">
        <v>0</v>
      </c>
      <c r="AF37" s="120">
        <v>0</v>
      </c>
      <c r="AG37" s="120">
        <v>0</v>
      </c>
      <c r="AH37" s="120">
        <v>0</v>
      </c>
      <c r="AI37" s="120">
        <v>0</v>
      </c>
      <c r="AJ37" s="120">
        <v>0</v>
      </c>
      <c r="AK37" s="120">
        <v>0</v>
      </c>
      <c r="AL37" s="120">
        <v>0</v>
      </c>
      <c r="AM37" s="120">
        <v>0</v>
      </c>
      <c r="AN37" s="120">
        <v>0</v>
      </c>
      <c r="AO37" s="120">
        <v>0</v>
      </c>
      <c r="AP37" s="120">
        <v>0</v>
      </c>
      <c r="AQ37" s="120">
        <v>0</v>
      </c>
      <c r="AR37" s="120">
        <v>0</v>
      </c>
      <c r="AS37" s="120">
        <v>0</v>
      </c>
      <c r="AT37" s="120">
        <v>0</v>
      </c>
      <c r="AU37" s="120">
        <v>0</v>
      </c>
      <c r="AV37" s="120">
        <v>0</v>
      </c>
      <c r="AW37" s="120">
        <v>0</v>
      </c>
      <c r="AX37" s="120">
        <v>0</v>
      </c>
      <c r="AY37" s="120">
        <v>0</v>
      </c>
      <c r="AZ37" s="120">
        <v>0</v>
      </c>
      <c r="BA37" s="120">
        <v>0</v>
      </c>
      <c r="BB37" s="120">
        <v>0</v>
      </c>
      <c r="BC37" s="120">
        <v>0</v>
      </c>
      <c r="BD37" s="120">
        <v>0</v>
      </c>
      <c r="BE37" s="120">
        <v>0</v>
      </c>
      <c r="BF37" s="120">
        <v>0</v>
      </c>
      <c r="BG37" s="120">
        <v>0</v>
      </c>
      <c r="BH37" s="120">
        <v>0</v>
      </c>
      <c r="BI37" s="120">
        <v>0</v>
      </c>
      <c r="BJ37" s="120">
        <v>0</v>
      </c>
      <c r="BK37" s="120">
        <v>0</v>
      </c>
      <c r="BL37" s="120">
        <v>0</v>
      </c>
      <c r="BM37" s="120">
        <v>0</v>
      </c>
      <c r="BN37" s="120">
        <v>0</v>
      </c>
      <c r="BO37" s="120">
        <v>0</v>
      </c>
      <c r="BP37" s="120">
        <v>0</v>
      </c>
      <c r="BQ37" s="120">
        <v>0</v>
      </c>
      <c r="BR37" s="120">
        <v>0</v>
      </c>
      <c r="BS37" s="120">
        <v>0</v>
      </c>
      <c r="BT37" s="120">
        <v>0</v>
      </c>
      <c r="BU37" s="120">
        <v>0</v>
      </c>
      <c r="BV37" s="120">
        <v>0</v>
      </c>
      <c r="BW37" s="120">
        <v>0</v>
      </c>
      <c r="BX37" s="120">
        <v>0</v>
      </c>
      <c r="BY37" s="120">
        <v>0</v>
      </c>
      <c r="BZ37" s="120">
        <v>-4816.1953196290406</v>
      </c>
      <c r="CA37" s="120">
        <v>-83872.112232325875</v>
      </c>
      <c r="CB37" s="120">
        <v>-267032.56032009551</v>
      </c>
      <c r="CC37" s="120">
        <v>0</v>
      </c>
      <c r="CD37" s="120">
        <v>0</v>
      </c>
      <c r="CE37" s="120">
        <v>0</v>
      </c>
      <c r="CF37" s="120">
        <v>0</v>
      </c>
      <c r="CG37" s="120">
        <v>0</v>
      </c>
      <c r="CH37" s="120">
        <v>0</v>
      </c>
      <c r="CI37" s="120">
        <v>0</v>
      </c>
      <c r="CJ37" s="120">
        <v>0</v>
      </c>
      <c r="CK37" s="120">
        <v>0</v>
      </c>
      <c r="CL37" s="120">
        <v>0</v>
      </c>
      <c r="CM37" s="120">
        <v>0</v>
      </c>
      <c r="CN37" s="120">
        <v>0</v>
      </c>
      <c r="CO37" s="120">
        <v>0</v>
      </c>
      <c r="CP37" s="120">
        <v>0</v>
      </c>
      <c r="CQ37" s="120">
        <v>0</v>
      </c>
      <c r="CR37" s="120">
        <v>0</v>
      </c>
      <c r="CS37" s="120">
        <v>0</v>
      </c>
      <c r="CT37" s="120">
        <v>0</v>
      </c>
      <c r="CU37" s="120">
        <v>0</v>
      </c>
      <c r="CV37" s="120">
        <v>0</v>
      </c>
      <c r="CW37" s="120">
        <v>0</v>
      </c>
      <c r="CX37" s="120">
        <v>0</v>
      </c>
      <c r="CY37" s="120">
        <v>0</v>
      </c>
      <c r="CZ37" s="120">
        <v>0</v>
      </c>
      <c r="DA37" s="120">
        <v>0</v>
      </c>
      <c r="DB37" s="120">
        <v>0</v>
      </c>
      <c r="DC37" s="120">
        <v>0</v>
      </c>
      <c r="DD37" s="120">
        <v>0</v>
      </c>
      <c r="DE37" s="120">
        <v>0</v>
      </c>
      <c r="DF37" s="120">
        <v>0</v>
      </c>
      <c r="DG37" s="120">
        <v>0</v>
      </c>
      <c r="DH37" s="120">
        <v>0</v>
      </c>
      <c r="DI37" s="120">
        <v>0</v>
      </c>
      <c r="DJ37" s="120">
        <v>0</v>
      </c>
      <c r="DK37" s="120">
        <v>0</v>
      </c>
      <c r="DL37" s="120">
        <v>0</v>
      </c>
      <c r="DM37" s="120">
        <v>0</v>
      </c>
      <c r="DN37" s="120">
        <v>4796.5000116553174</v>
      </c>
      <c r="DO37" s="120">
        <v>-1494.8929781070569</v>
      </c>
      <c r="DP37" s="120">
        <v>83601.225467887023</v>
      </c>
      <c r="DQ37" s="120">
        <v>-27041.641118598342</v>
      </c>
      <c r="DR37" s="120">
        <v>-228868.29656212029</v>
      </c>
      <c r="DS37" s="120">
        <v>-307.15357677703338</v>
      </c>
      <c r="DT37" s="120">
        <v>-148.60991630691609</v>
      </c>
      <c r="DU37" s="120">
        <v>0</v>
      </c>
      <c r="DV37" s="120">
        <v>0</v>
      </c>
      <c r="DW37" s="120">
        <v>0</v>
      </c>
      <c r="DX37" s="120">
        <v>0</v>
      </c>
      <c r="DY37" s="120">
        <v>0</v>
      </c>
      <c r="DZ37" s="120">
        <v>0</v>
      </c>
      <c r="EA37" s="120">
        <v>0</v>
      </c>
      <c r="EB37" s="120">
        <v>0</v>
      </c>
      <c r="EC37" s="120">
        <v>0</v>
      </c>
      <c r="ED37" s="120">
        <f t="shared" si="0"/>
        <v>98969.354743950549</v>
      </c>
    </row>
    <row r="38" spans="1:134">
      <c r="A38" s="120">
        <v>37</v>
      </c>
      <c r="B38" s="120">
        <v>0</v>
      </c>
      <c r="C38" s="120">
        <v>0</v>
      </c>
      <c r="D38" s="120">
        <v>450.02763391211221</v>
      </c>
      <c r="E38" s="120">
        <v>0</v>
      </c>
      <c r="F38" s="120">
        <v>0</v>
      </c>
      <c r="G38" s="120">
        <v>0</v>
      </c>
      <c r="H38" s="120">
        <v>6686.8622704713162</v>
      </c>
      <c r="I38" s="120">
        <v>0</v>
      </c>
      <c r="J38" s="120">
        <v>0</v>
      </c>
      <c r="K38" s="120">
        <v>0</v>
      </c>
      <c r="L38" s="120">
        <v>0</v>
      </c>
      <c r="M38" s="120">
        <v>0</v>
      </c>
      <c r="N38" s="120">
        <v>0</v>
      </c>
      <c r="O38" s="120">
        <v>0</v>
      </c>
      <c r="P38" s="120">
        <v>0</v>
      </c>
      <c r="Q38" s="120">
        <v>0</v>
      </c>
      <c r="R38" s="120">
        <v>0</v>
      </c>
      <c r="S38" s="120">
        <v>0</v>
      </c>
      <c r="T38" s="120">
        <v>0</v>
      </c>
      <c r="U38" s="120">
        <v>0</v>
      </c>
      <c r="V38" s="120">
        <v>0</v>
      </c>
      <c r="W38" s="120">
        <v>0</v>
      </c>
      <c r="X38" s="120">
        <v>0</v>
      </c>
      <c r="Y38" s="120">
        <v>0</v>
      </c>
      <c r="Z38" s="120">
        <v>38.803092587047068</v>
      </c>
      <c r="AA38" s="120">
        <v>0</v>
      </c>
      <c r="AB38" s="120">
        <v>0</v>
      </c>
      <c r="AC38" s="120">
        <v>0</v>
      </c>
      <c r="AD38" s="120">
        <v>31746.881176377399</v>
      </c>
      <c r="AE38" s="120">
        <v>115332.28690903071</v>
      </c>
      <c r="AF38" s="120">
        <v>0</v>
      </c>
      <c r="AG38" s="120">
        <v>4547.4954455897887</v>
      </c>
      <c r="AH38" s="120">
        <v>0</v>
      </c>
      <c r="AI38" s="120">
        <v>0</v>
      </c>
      <c r="AJ38" s="120">
        <v>0</v>
      </c>
      <c r="AK38" s="120">
        <v>0</v>
      </c>
      <c r="AL38" s="120">
        <v>0</v>
      </c>
      <c r="AM38" s="120">
        <v>0</v>
      </c>
      <c r="AN38" s="120">
        <v>0</v>
      </c>
      <c r="AO38" s="120">
        <v>0</v>
      </c>
      <c r="AP38" s="120">
        <v>0</v>
      </c>
      <c r="AQ38" s="120">
        <v>0</v>
      </c>
      <c r="AR38" s="120">
        <v>0</v>
      </c>
      <c r="AS38" s="120">
        <v>0</v>
      </c>
      <c r="AT38" s="120">
        <v>0</v>
      </c>
      <c r="AU38" s="120">
        <v>0</v>
      </c>
      <c r="AV38" s="120">
        <v>0</v>
      </c>
      <c r="AW38" s="120">
        <v>0</v>
      </c>
      <c r="AX38" s="120">
        <v>0</v>
      </c>
      <c r="AY38" s="120">
        <v>0</v>
      </c>
      <c r="AZ38" s="120">
        <v>0</v>
      </c>
      <c r="BA38" s="120">
        <v>0</v>
      </c>
      <c r="BB38" s="120">
        <v>0</v>
      </c>
      <c r="BC38" s="120">
        <v>0</v>
      </c>
      <c r="BD38" s="120">
        <v>0</v>
      </c>
      <c r="BE38" s="120">
        <v>0</v>
      </c>
      <c r="BF38" s="120">
        <v>0</v>
      </c>
      <c r="BG38" s="120">
        <v>0</v>
      </c>
      <c r="BH38" s="120">
        <v>0</v>
      </c>
      <c r="BI38" s="120">
        <v>0</v>
      </c>
      <c r="BJ38" s="120">
        <v>0</v>
      </c>
      <c r="BK38" s="120">
        <v>0</v>
      </c>
      <c r="BL38" s="120">
        <v>0</v>
      </c>
      <c r="BM38" s="120">
        <v>0</v>
      </c>
      <c r="BN38" s="120">
        <v>0</v>
      </c>
      <c r="BO38" s="120">
        <v>0</v>
      </c>
      <c r="BP38" s="120">
        <v>0</v>
      </c>
      <c r="BQ38" s="120">
        <v>0</v>
      </c>
      <c r="BR38" s="120">
        <v>0</v>
      </c>
      <c r="BS38" s="120">
        <v>0</v>
      </c>
      <c r="BT38" s="120">
        <v>0</v>
      </c>
      <c r="BU38" s="120">
        <v>0</v>
      </c>
      <c r="BV38" s="120">
        <v>0</v>
      </c>
      <c r="BW38" s="120">
        <v>0</v>
      </c>
      <c r="BX38" s="120">
        <v>0</v>
      </c>
      <c r="BY38" s="120">
        <v>0</v>
      </c>
      <c r="BZ38" s="120">
        <v>-1490.5477421573651</v>
      </c>
      <c r="CA38" s="120">
        <v>-9736.4624694108243</v>
      </c>
      <c r="CB38" s="120">
        <v>-74651.979106612009</v>
      </c>
      <c r="CC38" s="120">
        <v>0</v>
      </c>
      <c r="CD38" s="120">
        <v>0</v>
      </c>
      <c r="CE38" s="120">
        <v>0</v>
      </c>
      <c r="CF38" s="120">
        <v>0</v>
      </c>
      <c r="CG38" s="120">
        <v>0</v>
      </c>
      <c r="CH38" s="120">
        <v>0</v>
      </c>
      <c r="CI38" s="120">
        <v>0</v>
      </c>
      <c r="CJ38" s="120">
        <v>0</v>
      </c>
      <c r="CK38" s="120">
        <v>0</v>
      </c>
      <c r="CL38" s="120">
        <v>0</v>
      </c>
      <c r="CM38" s="120">
        <v>0</v>
      </c>
      <c r="CN38" s="120">
        <v>0</v>
      </c>
      <c r="CO38" s="120">
        <v>0</v>
      </c>
      <c r="CP38" s="120">
        <v>0</v>
      </c>
      <c r="CQ38" s="120">
        <v>0</v>
      </c>
      <c r="CR38" s="120">
        <v>0</v>
      </c>
      <c r="CS38" s="120">
        <v>0</v>
      </c>
      <c r="CT38" s="120">
        <v>0</v>
      </c>
      <c r="CU38" s="120">
        <v>0</v>
      </c>
      <c r="CV38" s="120">
        <v>0</v>
      </c>
      <c r="CW38" s="120">
        <v>0</v>
      </c>
      <c r="CX38" s="120">
        <v>0</v>
      </c>
      <c r="CY38" s="120">
        <v>0</v>
      </c>
      <c r="CZ38" s="120">
        <v>0</v>
      </c>
      <c r="DA38" s="120">
        <v>0</v>
      </c>
      <c r="DB38" s="120">
        <v>0</v>
      </c>
      <c r="DC38" s="120">
        <v>0</v>
      </c>
      <c r="DD38" s="120">
        <v>0</v>
      </c>
      <c r="DE38" s="120">
        <v>0</v>
      </c>
      <c r="DF38" s="120">
        <v>0</v>
      </c>
      <c r="DG38" s="120">
        <v>0</v>
      </c>
      <c r="DH38" s="120">
        <v>0</v>
      </c>
      <c r="DI38" s="120">
        <v>0</v>
      </c>
      <c r="DJ38" s="120">
        <v>0</v>
      </c>
      <c r="DK38" s="120">
        <v>0</v>
      </c>
      <c r="DL38" s="120">
        <v>0</v>
      </c>
      <c r="DM38" s="120">
        <v>0</v>
      </c>
      <c r="DN38" s="120">
        <v>349.73516748440318</v>
      </c>
      <c r="DO38" s="120">
        <v>-56.400724082427423</v>
      </c>
      <c r="DP38" s="120">
        <v>31083.118279898619</v>
      </c>
      <c r="DQ38" s="120">
        <v>-5245.7928418778138</v>
      </c>
      <c r="DR38" s="120">
        <v>-21095.871176389879</v>
      </c>
      <c r="DS38" s="120">
        <v>-233.4748236082076</v>
      </c>
      <c r="DT38" s="120">
        <v>-477.33728821988541</v>
      </c>
      <c r="DU38" s="120">
        <v>0</v>
      </c>
      <c r="DV38" s="120">
        <v>0</v>
      </c>
      <c r="DW38" s="120">
        <v>0</v>
      </c>
      <c r="DX38" s="120">
        <v>0</v>
      </c>
      <c r="DY38" s="120">
        <v>0</v>
      </c>
      <c r="DZ38" s="120">
        <v>0</v>
      </c>
      <c r="EA38" s="120">
        <v>0</v>
      </c>
      <c r="EB38" s="120">
        <v>0</v>
      </c>
      <c r="EC38" s="120">
        <v>0</v>
      </c>
      <c r="ED38" s="120">
        <f t="shared" si="0"/>
        <v>77247.343802992997</v>
      </c>
    </row>
    <row r="39" spans="1:134">
      <c r="A39" s="120">
        <v>38</v>
      </c>
      <c r="B39" s="120">
        <v>0</v>
      </c>
      <c r="C39" s="120">
        <v>0</v>
      </c>
      <c r="D39" s="120">
        <v>0</v>
      </c>
      <c r="E39" s="120">
        <v>1380.021049410718</v>
      </c>
      <c r="F39" s="120">
        <v>26.5871579294428</v>
      </c>
      <c r="G39" s="120">
        <v>29627.97906085553</v>
      </c>
      <c r="H39" s="120">
        <v>0</v>
      </c>
      <c r="I39" s="120">
        <v>0</v>
      </c>
      <c r="J39" s="120">
        <v>0</v>
      </c>
      <c r="K39" s="120">
        <v>0</v>
      </c>
      <c r="L39" s="120">
        <v>0</v>
      </c>
      <c r="M39" s="120">
        <v>0</v>
      </c>
      <c r="N39" s="120">
        <v>0</v>
      </c>
      <c r="O39" s="120">
        <v>0</v>
      </c>
      <c r="P39" s="120">
        <v>0</v>
      </c>
      <c r="Q39" s="120">
        <v>0</v>
      </c>
      <c r="R39" s="120">
        <v>0</v>
      </c>
      <c r="S39" s="120">
        <v>0</v>
      </c>
      <c r="T39" s="120">
        <v>0</v>
      </c>
      <c r="U39" s="120">
        <v>0</v>
      </c>
      <c r="V39" s="120">
        <v>0</v>
      </c>
      <c r="W39" s="120">
        <v>0</v>
      </c>
      <c r="X39" s="120">
        <v>0</v>
      </c>
      <c r="Y39" s="120">
        <v>0</v>
      </c>
      <c r="Z39" s="120">
        <v>0</v>
      </c>
      <c r="AA39" s="120">
        <v>0</v>
      </c>
      <c r="AB39" s="120">
        <v>857.48381427222898</v>
      </c>
      <c r="AC39" s="120">
        <v>5446.1725167447103</v>
      </c>
      <c r="AD39" s="120">
        <v>8319.8044764803744</v>
      </c>
      <c r="AE39" s="120">
        <v>0</v>
      </c>
      <c r="AF39" s="120">
        <v>0</v>
      </c>
      <c r="AG39" s="120">
        <v>0</v>
      </c>
      <c r="AH39" s="120">
        <v>0</v>
      </c>
      <c r="AI39" s="120">
        <v>0</v>
      </c>
      <c r="AJ39" s="120">
        <v>0</v>
      </c>
      <c r="AK39" s="120">
        <v>0</v>
      </c>
      <c r="AL39" s="120">
        <v>0</v>
      </c>
      <c r="AM39" s="120">
        <v>0</v>
      </c>
      <c r="AN39" s="120">
        <v>0</v>
      </c>
      <c r="AO39" s="120">
        <v>0</v>
      </c>
      <c r="AP39" s="120">
        <v>0</v>
      </c>
      <c r="AQ39" s="120">
        <v>0</v>
      </c>
      <c r="AR39" s="120">
        <v>0</v>
      </c>
      <c r="AS39" s="120">
        <v>0</v>
      </c>
      <c r="AT39" s="120">
        <v>0</v>
      </c>
      <c r="AU39" s="120">
        <v>0</v>
      </c>
      <c r="AV39" s="120">
        <v>0</v>
      </c>
      <c r="AW39" s="120">
        <v>0</v>
      </c>
      <c r="AX39" s="120">
        <v>0</v>
      </c>
      <c r="AY39" s="120">
        <v>0</v>
      </c>
      <c r="AZ39" s="120">
        <v>0</v>
      </c>
      <c r="BA39" s="120">
        <v>0</v>
      </c>
      <c r="BB39" s="120">
        <v>0</v>
      </c>
      <c r="BC39" s="120">
        <v>0</v>
      </c>
      <c r="BD39" s="120">
        <v>0</v>
      </c>
      <c r="BE39" s="120">
        <v>0</v>
      </c>
      <c r="BF39" s="120">
        <v>0</v>
      </c>
      <c r="BG39" s="120">
        <v>0</v>
      </c>
      <c r="BH39" s="120">
        <v>0</v>
      </c>
      <c r="BI39" s="120">
        <v>0</v>
      </c>
      <c r="BJ39" s="120">
        <v>0</v>
      </c>
      <c r="BK39" s="120">
        <v>0</v>
      </c>
      <c r="BL39" s="120">
        <v>0</v>
      </c>
      <c r="BM39" s="120">
        <v>0</v>
      </c>
      <c r="BN39" s="120">
        <v>0</v>
      </c>
      <c r="BO39" s="120">
        <v>0</v>
      </c>
      <c r="BP39" s="120">
        <v>0</v>
      </c>
      <c r="BQ39" s="120">
        <v>0</v>
      </c>
      <c r="BR39" s="120">
        <v>0</v>
      </c>
      <c r="BS39" s="120">
        <v>0</v>
      </c>
      <c r="BT39" s="120">
        <v>0</v>
      </c>
      <c r="BU39" s="120">
        <v>0</v>
      </c>
      <c r="BV39" s="120">
        <v>0</v>
      </c>
      <c r="BW39" s="120">
        <v>0</v>
      </c>
      <c r="BX39" s="120">
        <v>0</v>
      </c>
      <c r="BY39" s="120">
        <v>0</v>
      </c>
      <c r="BZ39" s="120">
        <v>-611.07001051738052</v>
      </c>
      <c r="CA39" s="120">
        <v>-5132.6927187688198</v>
      </c>
      <c r="CB39" s="120">
        <v>-10979.219361998301</v>
      </c>
      <c r="CC39" s="120">
        <v>0</v>
      </c>
      <c r="CD39" s="120">
        <v>0</v>
      </c>
      <c r="CE39" s="120">
        <v>0</v>
      </c>
      <c r="CF39" s="120">
        <v>0</v>
      </c>
      <c r="CG39" s="120">
        <v>0</v>
      </c>
      <c r="CH39" s="120">
        <v>0</v>
      </c>
      <c r="CI39" s="120">
        <v>0</v>
      </c>
      <c r="CJ39" s="120">
        <v>0</v>
      </c>
      <c r="CK39" s="120">
        <v>0</v>
      </c>
      <c r="CL39" s="120">
        <v>0</v>
      </c>
      <c r="CM39" s="120">
        <v>0</v>
      </c>
      <c r="CN39" s="120">
        <v>0</v>
      </c>
      <c r="CO39" s="120">
        <v>0</v>
      </c>
      <c r="CP39" s="120">
        <v>0</v>
      </c>
      <c r="CQ39" s="120">
        <v>0</v>
      </c>
      <c r="CR39" s="120">
        <v>0</v>
      </c>
      <c r="CS39" s="120">
        <v>0</v>
      </c>
      <c r="CT39" s="120">
        <v>0</v>
      </c>
      <c r="CU39" s="120">
        <v>0</v>
      </c>
      <c r="CV39" s="120">
        <v>0</v>
      </c>
      <c r="CW39" s="120">
        <v>0</v>
      </c>
      <c r="CX39" s="120">
        <v>0</v>
      </c>
      <c r="CY39" s="120">
        <v>0</v>
      </c>
      <c r="CZ39" s="120">
        <v>0</v>
      </c>
      <c r="DA39" s="120">
        <v>0</v>
      </c>
      <c r="DB39" s="120">
        <v>90.788398130312231</v>
      </c>
      <c r="DC39" s="120">
        <v>0</v>
      </c>
      <c r="DD39" s="120">
        <v>334.98603430934628</v>
      </c>
      <c r="DE39" s="120">
        <v>0</v>
      </c>
      <c r="DF39" s="120">
        <v>-10.32330040483536</v>
      </c>
      <c r="DG39" s="120">
        <v>-405.91556188356628</v>
      </c>
      <c r="DH39" s="120">
        <v>0</v>
      </c>
      <c r="DI39" s="120">
        <v>0</v>
      </c>
      <c r="DJ39" s="120">
        <v>0</v>
      </c>
      <c r="DK39" s="120">
        <v>0</v>
      </c>
      <c r="DL39" s="120">
        <v>0</v>
      </c>
      <c r="DM39" s="120">
        <v>0</v>
      </c>
      <c r="DN39" s="120">
        <v>2262.5170216812371</v>
      </c>
      <c r="DO39" s="120">
        <v>-512.07961894387665</v>
      </c>
      <c r="DP39" s="120">
        <v>23756.11922010409</v>
      </c>
      <c r="DQ39" s="120">
        <v>-4177.1538750473492</v>
      </c>
      <c r="DR39" s="120">
        <v>-43706.752613007768</v>
      </c>
      <c r="DS39" s="120">
        <v>-1316.1428873251521</v>
      </c>
      <c r="DT39" s="120">
        <v>-3634.080893151885</v>
      </c>
      <c r="DU39" s="120">
        <v>0</v>
      </c>
      <c r="DV39" s="120">
        <v>0</v>
      </c>
      <c r="DW39" s="120">
        <v>0</v>
      </c>
      <c r="DX39" s="120">
        <v>0</v>
      </c>
      <c r="DY39" s="120">
        <v>0</v>
      </c>
      <c r="DZ39" s="120">
        <v>0</v>
      </c>
      <c r="EA39" s="120">
        <v>0</v>
      </c>
      <c r="EB39" s="120">
        <v>0</v>
      </c>
      <c r="EC39" s="120">
        <v>0</v>
      </c>
      <c r="ED39" s="120">
        <f t="shared" si="0"/>
        <v>1617.0279088690631</v>
      </c>
    </row>
    <row r="40" spans="1:134">
      <c r="A40" s="120">
        <v>39</v>
      </c>
      <c r="B40" s="120">
        <v>0</v>
      </c>
      <c r="C40" s="120">
        <v>0</v>
      </c>
      <c r="D40" s="120">
        <v>51951.531311996347</v>
      </c>
      <c r="E40" s="120">
        <v>561.2703060019428</v>
      </c>
      <c r="F40" s="120">
        <v>10.94765326506468</v>
      </c>
      <c r="G40" s="120">
        <v>0</v>
      </c>
      <c r="H40" s="120">
        <v>331.82287724446081</v>
      </c>
      <c r="I40" s="120">
        <v>0</v>
      </c>
      <c r="J40" s="120">
        <v>0</v>
      </c>
      <c r="K40" s="120">
        <v>4444.8574164192478</v>
      </c>
      <c r="L40" s="120">
        <v>0</v>
      </c>
      <c r="M40" s="120">
        <v>0</v>
      </c>
      <c r="N40" s="120">
        <v>0</v>
      </c>
      <c r="O40" s="120">
        <v>0</v>
      </c>
      <c r="P40" s="120">
        <v>0</v>
      </c>
      <c r="Q40" s="120">
        <v>0</v>
      </c>
      <c r="R40" s="120">
        <v>0</v>
      </c>
      <c r="S40" s="120">
        <v>0</v>
      </c>
      <c r="T40" s="120">
        <v>0</v>
      </c>
      <c r="U40" s="120">
        <v>0</v>
      </c>
      <c r="V40" s="120">
        <v>0</v>
      </c>
      <c r="W40" s="120">
        <v>0</v>
      </c>
      <c r="X40" s="120">
        <v>0</v>
      </c>
      <c r="Y40" s="120">
        <v>0</v>
      </c>
      <c r="Z40" s="120">
        <v>0</v>
      </c>
      <c r="AA40" s="120">
        <v>0</v>
      </c>
      <c r="AB40" s="120">
        <v>0</v>
      </c>
      <c r="AC40" s="120">
        <v>827.69728047681599</v>
      </c>
      <c r="AD40" s="120">
        <v>0</v>
      </c>
      <c r="AE40" s="120">
        <v>2620.7058641805038</v>
      </c>
      <c r="AF40" s="120">
        <v>0</v>
      </c>
      <c r="AG40" s="120">
        <v>1196.4842237514631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20">
        <v>0</v>
      </c>
      <c r="AT40" s="120">
        <v>0</v>
      </c>
      <c r="AU40" s="120">
        <v>0</v>
      </c>
      <c r="AV40" s="120">
        <v>0</v>
      </c>
      <c r="AW40" s="120">
        <v>0</v>
      </c>
      <c r="AX40" s="120">
        <v>0</v>
      </c>
      <c r="AY40" s="120">
        <v>0</v>
      </c>
      <c r="AZ40" s="120">
        <v>0</v>
      </c>
      <c r="BA40" s="120">
        <v>0</v>
      </c>
      <c r="BB40" s="120">
        <v>0</v>
      </c>
      <c r="BC40" s="120">
        <v>0</v>
      </c>
      <c r="BD40" s="120">
        <v>0</v>
      </c>
      <c r="BE40" s="120">
        <v>0</v>
      </c>
      <c r="BF40" s="120">
        <v>0</v>
      </c>
      <c r="BG40" s="120">
        <v>0</v>
      </c>
      <c r="BH40" s="120">
        <v>0</v>
      </c>
      <c r="BI40" s="120">
        <v>0</v>
      </c>
      <c r="BJ40" s="120">
        <v>0</v>
      </c>
      <c r="BK40" s="120">
        <v>0</v>
      </c>
      <c r="BL40" s="120">
        <v>0</v>
      </c>
      <c r="BM40" s="120">
        <v>0</v>
      </c>
      <c r="BN40" s="120">
        <v>0</v>
      </c>
      <c r="BO40" s="120">
        <v>0</v>
      </c>
      <c r="BP40" s="120">
        <v>0</v>
      </c>
      <c r="BQ40" s="120">
        <v>0</v>
      </c>
      <c r="BR40" s="120">
        <v>0</v>
      </c>
      <c r="BS40" s="120">
        <v>0</v>
      </c>
      <c r="BT40" s="120">
        <v>0</v>
      </c>
      <c r="BU40" s="120">
        <v>0</v>
      </c>
      <c r="BV40" s="120">
        <v>0</v>
      </c>
      <c r="BW40" s="120">
        <v>0</v>
      </c>
      <c r="BX40" s="120">
        <v>0</v>
      </c>
      <c r="BY40" s="120">
        <v>0</v>
      </c>
      <c r="BZ40" s="120">
        <v>-556.83820295714054</v>
      </c>
      <c r="CA40" s="120">
        <v>-6497.2678929256144</v>
      </c>
      <c r="CB40" s="120">
        <v>-31351.845552517589</v>
      </c>
      <c r="CC40" s="120">
        <v>0</v>
      </c>
      <c r="CD40" s="120">
        <v>0</v>
      </c>
      <c r="CE40" s="120">
        <v>0</v>
      </c>
      <c r="CF40" s="120">
        <v>0</v>
      </c>
      <c r="CG40" s="120">
        <v>0</v>
      </c>
      <c r="CH40" s="120">
        <v>0</v>
      </c>
      <c r="CI40" s="120">
        <v>0</v>
      </c>
      <c r="CJ40" s="120">
        <v>0</v>
      </c>
      <c r="CK40" s="120">
        <v>0</v>
      </c>
      <c r="CL40" s="120">
        <v>636.04727511490478</v>
      </c>
      <c r="CM40" s="120">
        <v>0</v>
      </c>
      <c r="CN40" s="120">
        <v>0</v>
      </c>
      <c r="CO40" s="120">
        <v>0</v>
      </c>
      <c r="CP40" s="120">
        <v>0</v>
      </c>
      <c r="CQ40" s="120">
        <v>0</v>
      </c>
      <c r="CR40" s="120">
        <v>0</v>
      </c>
      <c r="CS40" s="120">
        <v>0</v>
      </c>
      <c r="CT40" s="120">
        <v>0</v>
      </c>
      <c r="CU40" s="120">
        <v>0</v>
      </c>
      <c r="CV40" s="120">
        <v>0</v>
      </c>
      <c r="CW40" s="120">
        <v>0</v>
      </c>
      <c r="CX40" s="120">
        <v>0</v>
      </c>
      <c r="CY40" s="120">
        <v>0</v>
      </c>
      <c r="CZ40" s="120">
        <v>0</v>
      </c>
      <c r="DA40" s="120">
        <v>0</v>
      </c>
      <c r="DB40" s="120">
        <v>28.53349655524098</v>
      </c>
      <c r="DC40" s="120">
        <v>0</v>
      </c>
      <c r="DD40" s="120">
        <v>85.190413897635494</v>
      </c>
      <c r="DE40" s="120">
        <v>-9.4215235587381105</v>
      </c>
      <c r="DF40" s="120">
        <v>-132.38130203700791</v>
      </c>
      <c r="DG40" s="120">
        <v>-93.696717509731485</v>
      </c>
      <c r="DH40" s="120">
        <v>0</v>
      </c>
      <c r="DI40" s="120">
        <v>0</v>
      </c>
      <c r="DJ40" s="120">
        <v>0</v>
      </c>
      <c r="DK40" s="120">
        <v>0</v>
      </c>
      <c r="DL40" s="120">
        <v>0</v>
      </c>
      <c r="DM40" s="120">
        <v>0</v>
      </c>
      <c r="DN40" s="120">
        <v>525.16096898663307</v>
      </c>
      <c r="DO40" s="120">
        <v>-98.79796995928055</v>
      </c>
      <c r="DP40" s="120">
        <v>11050.318301310421</v>
      </c>
      <c r="DQ40" s="120">
        <v>-3051.9281147557649</v>
      </c>
      <c r="DR40" s="120">
        <v>-30961.302830870511</v>
      </c>
      <c r="DS40" s="120">
        <v>-796.35979877004854</v>
      </c>
      <c r="DT40" s="120">
        <v>-1338.822511121615</v>
      </c>
      <c r="DU40" s="120">
        <v>0</v>
      </c>
      <c r="DV40" s="120">
        <v>0</v>
      </c>
      <c r="DW40" s="120">
        <v>0</v>
      </c>
      <c r="DX40" s="120">
        <v>0</v>
      </c>
      <c r="DY40" s="120">
        <v>12.09879797915452</v>
      </c>
      <c r="DZ40" s="120">
        <v>-3.2996721761330501</v>
      </c>
      <c r="EA40" s="120">
        <v>0</v>
      </c>
      <c r="EB40" s="120">
        <v>0</v>
      </c>
      <c r="EC40" s="120">
        <v>0</v>
      </c>
      <c r="ED40" s="120">
        <f t="shared" si="0"/>
        <v>-609.29590197933499</v>
      </c>
    </row>
    <row r="41" spans="1:134">
      <c r="A41" s="120">
        <v>40</v>
      </c>
      <c r="B41" s="120">
        <v>0</v>
      </c>
      <c r="C41" s="120">
        <v>0</v>
      </c>
      <c r="D41" s="120">
        <v>684.63919661510909</v>
      </c>
      <c r="E41" s="120">
        <v>3590.7873676305462</v>
      </c>
      <c r="F41" s="120">
        <v>0</v>
      </c>
      <c r="G41" s="120">
        <v>16408.167549826729</v>
      </c>
      <c r="H41" s="120">
        <v>385.79406812157191</v>
      </c>
      <c r="I41" s="120">
        <v>0</v>
      </c>
      <c r="J41" s="120">
        <v>0</v>
      </c>
      <c r="K41" s="120">
        <v>0</v>
      </c>
      <c r="L41" s="120">
        <v>0</v>
      </c>
      <c r="M41" s="120">
        <v>0</v>
      </c>
      <c r="N41" s="120">
        <v>0</v>
      </c>
      <c r="O41" s="120">
        <v>0</v>
      </c>
      <c r="P41" s="120">
        <v>0</v>
      </c>
      <c r="Q41" s="120">
        <v>0</v>
      </c>
      <c r="R41" s="120">
        <v>0</v>
      </c>
      <c r="S41" s="120">
        <v>0</v>
      </c>
      <c r="T41" s="120">
        <v>0</v>
      </c>
      <c r="U41" s="120">
        <v>0</v>
      </c>
      <c r="V41" s="120">
        <v>0</v>
      </c>
      <c r="W41" s="120">
        <v>0</v>
      </c>
      <c r="X41" s="120">
        <v>0</v>
      </c>
      <c r="Y41" s="120">
        <v>0</v>
      </c>
      <c r="Z41" s="120">
        <v>0</v>
      </c>
      <c r="AA41" s="120">
        <v>0</v>
      </c>
      <c r="AB41" s="120">
        <v>0</v>
      </c>
      <c r="AC41" s="120">
        <v>0</v>
      </c>
      <c r="AD41" s="120">
        <v>0</v>
      </c>
      <c r="AE41" s="120">
        <v>0</v>
      </c>
      <c r="AF41" s="120">
        <v>0</v>
      </c>
      <c r="AG41" s="120">
        <v>0</v>
      </c>
      <c r="AH41" s="120">
        <v>0</v>
      </c>
      <c r="AI41" s="120">
        <v>0</v>
      </c>
      <c r="AJ41" s="120">
        <v>0</v>
      </c>
      <c r="AK41" s="120">
        <v>0</v>
      </c>
      <c r="AL41" s="120">
        <v>0</v>
      </c>
      <c r="AM41" s="120">
        <v>0</v>
      </c>
      <c r="AN41" s="120">
        <v>0</v>
      </c>
      <c r="AO41" s="120">
        <v>0</v>
      </c>
      <c r="AP41" s="120">
        <v>0</v>
      </c>
      <c r="AQ41" s="120">
        <v>0</v>
      </c>
      <c r="AR41" s="120">
        <v>0</v>
      </c>
      <c r="AS41" s="120">
        <v>0</v>
      </c>
      <c r="AT41" s="120">
        <v>0</v>
      </c>
      <c r="AU41" s="120">
        <v>0</v>
      </c>
      <c r="AV41" s="120">
        <v>0</v>
      </c>
      <c r="AW41" s="120">
        <v>0</v>
      </c>
      <c r="AX41" s="120">
        <v>0</v>
      </c>
      <c r="AY41" s="120">
        <v>0</v>
      </c>
      <c r="AZ41" s="120">
        <v>0</v>
      </c>
      <c r="BA41" s="120">
        <v>0</v>
      </c>
      <c r="BB41" s="120">
        <v>0</v>
      </c>
      <c r="BC41" s="120">
        <v>0</v>
      </c>
      <c r="BD41" s="120">
        <v>0</v>
      </c>
      <c r="BE41" s="120">
        <v>0</v>
      </c>
      <c r="BF41" s="120">
        <v>0</v>
      </c>
      <c r="BG41" s="120">
        <v>0</v>
      </c>
      <c r="BH41" s="120">
        <v>0</v>
      </c>
      <c r="BI41" s="120">
        <v>0</v>
      </c>
      <c r="BJ41" s="120">
        <v>0</v>
      </c>
      <c r="BK41" s="120">
        <v>0</v>
      </c>
      <c r="BL41" s="120">
        <v>0</v>
      </c>
      <c r="BM41" s="120">
        <v>0</v>
      </c>
      <c r="BN41" s="120">
        <v>0</v>
      </c>
      <c r="BO41" s="120">
        <v>0</v>
      </c>
      <c r="BP41" s="120">
        <v>0</v>
      </c>
      <c r="BQ41" s="120">
        <v>0</v>
      </c>
      <c r="BR41" s="120">
        <v>0</v>
      </c>
      <c r="BS41" s="120">
        <v>8874.0888991321481</v>
      </c>
      <c r="BT41" s="120">
        <v>0</v>
      </c>
      <c r="BU41" s="120">
        <v>0</v>
      </c>
      <c r="BV41" s="120">
        <v>0</v>
      </c>
      <c r="BW41" s="120">
        <v>0</v>
      </c>
      <c r="BX41" s="120">
        <v>0</v>
      </c>
      <c r="BY41" s="120">
        <v>0</v>
      </c>
      <c r="BZ41" s="120">
        <v>-3031.4332836995191</v>
      </c>
      <c r="CA41" s="120">
        <v>-4803.4154196352174</v>
      </c>
      <c r="CB41" s="120">
        <v>-5717.0123233480963</v>
      </c>
      <c r="CC41" s="120">
        <v>0</v>
      </c>
      <c r="CD41" s="120">
        <v>0</v>
      </c>
      <c r="CE41" s="120">
        <v>0</v>
      </c>
      <c r="CF41" s="120">
        <v>0</v>
      </c>
      <c r="CG41" s="120">
        <v>0</v>
      </c>
      <c r="CH41" s="120">
        <v>0</v>
      </c>
      <c r="CI41" s="120">
        <v>0</v>
      </c>
      <c r="CJ41" s="120">
        <v>0</v>
      </c>
      <c r="CK41" s="120">
        <v>0</v>
      </c>
      <c r="CL41" s="120">
        <v>0</v>
      </c>
      <c r="CM41" s="120">
        <v>0</v>
      </c>
      <c r="CN41" s="120">
        <v>0</v>
      </c>
      <c r="CO41" s="120">
        <v>0</v>
      </c>
      <c r="CP41" s="120">
        <v>0</v>
      </c>
      <c r="CQ41" s="120">
        <v>0</v>
      </c>
      <c r="CR41" s="120">
        <v>0</v>
      </c>
      <c r="CS41" s="120">
        <v>0</v>
      </c>
      <c r="CT41" s="120">
        <v>0</v>
      </c>
      <c r="CU41" s="120">
        <v>0</v>
      </c>
      <c r="CV41" s="120">
        <v>0</v>
      </c>
      <c r="CW41" s="120">
        <v>0</v>
      </c>
      <c r="CX41" s="120">
        <v>0</v>
      </c>
      <c r="CY41" s="120">
        <v>0</v>
      </c>
      <c r="CZ41" s="120">
        <v>0</v>
      </c>
      <c r="DA41" s="120">
        <v>0</v>
      </c>
      <c r="DB41" s="120">
        <v>0</v>
      </c>
      <c r="DC41" s="120">
        <v>0</v>
      </c>
      <c r="DD41" s="120">
        <v>0</v>
      </c>
      <c r="DE41" s="120">
        <v>0</v>
      </c>
      <c r="DF41" s="120">
        <v>0</v>
      </c>
      <c r="DG41" s="120">
        <v>0</v>
      </c>
      <c r="DH41" s="120">
        <v>0</v>
      </c>
      <c r="DI41" s="120">
        <v>0</v>
      </c>
      <c r="DJ41" s="120">
        <v>0</v>
      </c>
      <c r="DK41" s="120">
        <v>0</v>
      </c>
      <c r="DL41" s="120">
        <v>0</v>
      </c>
      <c r="DM41" s="120">
        <v>0</v>
      </c>
      <c r="DN41" s="120">
        <v>891.16260028225236</v>
      </c>
      <c r="DO41" s="120">
        <v>-467.54095202980182</v>
      </c>
      <c r="DP41" s="120">
        <v>11941.12450939709</v>
      </c>
      <c r="DQ41" s="120">
        <v>-4375.3902079737336</v>
      </c>
      <c r="DR41" s="120">
        <v>-31026.596416372398</v>
      </c>
      <c r="DS41" s="120">
        <v>-1106.8714715314641</v>
      </c>
      <c r="DT41" s="120">
        <v>-2105.9558042086851</v>
      </c>
      <c r="DU41" s="120">
        <v>0</v>
      </c>
      <c r="DV41" s="120">
        <v>0</v>
      </c>
      <c r="DW41" s="120">
        <v>0</v>
      </c>
      <c r="DX41" s="120">
        <v>0</v>
      </c>
      <c r="DY41" s="120">
        <v>0</v>
      </c>
      <c r="DZ41" s="120">
        <v>0</v>
      </c>
      <c r="EA41" s="120">
        <v>0</v>
      </c>
      <c r="EB41" s="120">
        <v>0</v>
      </c>
      <c r="EC41" s="120">
        <v>0</v>
      </c>
      <c r="ED41" s="120">
        <f t="shared" si="0"/>
        <v>-9858.4516877934675</v>
      </c>
    </row>
    <row r="42" spans="1:134">
      <c r="A42" s="120">
        <v>41</v>
      </c>
      <c r="B42" s="120">
        <v>0</v>
      </c>
      <c r="C42" s="120">
        <v>0</v>
      </c>
      <c r="D42" s="120">
        <v>0</v>
      </c>
      <c r="E42" s="120">
        <v>0</v>
      </c>
      <c r="F42" s="120">
        <v>0</v>
      </c>
      <c r="G42" s="120">
        <v>0</v>
      </c>
      <c r="H42" s="120">
        <v>0</v>
      </c>
      <c r="I42" s="120">
        <v>0</v>
      </c>
      <c r="J42" s="120">
        <v>0</v>
      </c>
      <c r="K42" s="120">
        <v>0</v>
      </c>
      <c r="L42" s="120">
        <v>0</v>
      </c>
      <c r="M42" s="120">
        <v>0</v>
      </c>
      <c r="N42" s="120">
        <v>0</v>
      </c>
      <c r="O42" s="120">
        <v>0</v>
      </c>
      <c r="P42" s="120">
        <v>0</v>
      </c>
      <c r="Q42" s="120">
        <v>0</v>
      </c>
      <c r="R42" s="120">
        <v>0</v>
      </c>
      <c r="S42" s="120">
        <v>0</v>
      </c>
      <c r="T42" s="120">
        <v>0</v>
      </c>
      <c r="U42" s="120">
        <v>0</v>
      </c>
      <c r="V42" s="120">
        <v>0</v>
      </c>
      <c r="W42" s="120">
        <v>0</v>
      </c>
      <c r="X42" s="120">
        <v>0</v>
      </c>
      <c r="Y42" s="120">
        <v>0</v>
      </c>
      <c r="Z42" s="120">
        <v>0</v>
      </c>
      <c r="AA42" s="120">
        <v>0</v>
      </c>
      <c r="AB42" s="120">
        <v>0</v>
      </c>
      <c r="AC42" s="120">
        <v>0</v>
      </c>
      <c r="AD42" s="120">
        <v>0</v>
      </c>
      <c r="AE42" s="120">
        <v>0</v>
      </c>
      <c r="AF42" s="120">
        <v>0</v>
      </c>
      <c r="AG42" s="120">
        <v>0</v>
      </c>
      <c r="AH42" s="120">
        <v>0</v>
      </c>
      <c r="AI42" s="120">
        <v>0</v>
      </c>
      <c r="AJ42" s="120">
        <v>0</v>
      </c>
      <c r="AK42" s="120">
        <v>0</v>
      </c>
      <c r="AL42" s="120">
        <v>0</v>
      </c>
      <c r="AM42" s="120">
        <v>0</v>
      </c>
      <c r="AN42" s="120">
        <v>0</v>
      </c>
      <c r="AO42" s="120">
        <v>0</v>
      </c>
      <c r="AP42" s="120">
        <v>0</v>
      </c>
      <c r="AQ42" s="120">
        <v>0</v>
      </c>
      <c r="AR42" s="120">
        <v>0</v>
      </c>
      <c r="AS42" s="120">
        <v>0</v>
      </c>
      <c r="AT42" s="120">
        <v>0</v>
      </c>
      <c r="AU42" s="120">
        <v>0</v>
      </c>
      <c r="AV42" s="120">
        <v>0</v>
      </c>
      <c r="AW42" s="120">
        <v>0</v>
      </c>
      <c r="AX42" s="120">
        <v>0</v>
      </c>
      <c r="AY42" s="120">
        <v>0</v>
      </c>
      <c r="AZ42" s="120">
        <v>0</v>
      </c>
      <c r="BA42" s="120">
        <v>0</v>
      </c>
      <c r="BB42" s="120">
        <v>0</v>
      </c>
      <c r="BC42" s="120">
        <v>0</v>
      </c>
      <c r="BD42" s="120">
        <v>0</v>
      </c>
      <c r="BE42" s="120">
        <v>0</v>
      </c>
      <c r="BF42" s="120">
        <v>0</v>
      </c>
      <c r="BG42" s="120">
        <v>0</v>
      </c>
      <c r="BH42" s="120">
        <v>0</v>
      </c>
      <c r="BI42" s="120">
        <v>0</v>
      </c>
      <c r="BJ42" s="120">
        <v>0</v>
      </c>
      <c r="BK42" s="120">
        <v>0</v>
      </c>
      <c r="BL42" s="120">
        <v>0</v>
      </c>
      <c r="BM42" s="120">
        <v>0</v>
      </c>
      <c r="BN42" s="120">
        <v>0</v>
      </c>
      <c r="BO42" s="120">
        <v>0</v>
      </c>
      <c r="BP42" s="120">
        <v>0</v>
      </c>
      <c r="BQ42" s="120">
        <v>0</v>
      </c>
      <c r="BR42" s="120">
        <v>0</v>
      </c>
      <c r="BS42" s="120">
        <v>0</v>
      </c>
      <c r="BT42" s="120">
        <v>0</v>
      </c>
      <c r="BU42" s="120">
        <v>0</v>
      </c>
      <c r="BV42" s="120">
        <v>0</v>
      </c>
      <c r="BW42" s="120">
        <v>0</v>
      </c>
      <c r="BX42" s="120">
        <v>0</v>
      </c>
      <c r="BY42" s="120">
        <v>0</v>
      </c>
      <c r="BZ42" s="120">
        <v>0</v>
      </c>
      <c r="CA42" s="120">
        <v>0</v>
      </c>
      <c r="CB42" s="120">
        <v>0</v>
      </c>
      <c r="CC42" s="120">
        <v>0</v>
      </c>
      <c r="CD42" s="120">
        <v>0</v>
      </c>
      <c r="CE42" s="120">
        <v>0</v>
      </c>
      <c r="CF42" s="120">
        <v>0</v>
      </c>
      <c r="CG42" s="120">
        <v>0</v>
      </c>
      <c r="CH42" s="120">
        <v>0</v>
      </c>
      <c r="CI42" s="120">
        <v>0</v>
      </c>
      <c r="CJ42" s="120">
        <v>0</v>
      </c>
      <c r="CK42" s="120">
        <v>0</v>
      </c>
      <c r="CL42" s="120">
        <v>0</v>
      </c>
      <c r="CM42" s="120">
        <v>0</v>
      </c>
      <c r="CN42" s="120">
        <v>0</v>
      </c>
      <c r="CO42" s="120">
        <v>0</v>
      </c>
      <c r="CP42" s="120">
        <v>0</v>
      </c>
      <c r="CQ42" s="120">
        <v>0</v>
      </c>
      <c r="CR42" s="120">
        <v>0</v>
      </c>
      <c r="CS42" s="120">
        <v>0</v>
      </c>
      <c r="CT42" s="120">
        <v>0</v>
      </c>
      <c r="CU42" s="120">
        <v>0</v>
      </c>
      <c r="CV42" s="120">
        <v>0</v>
      </c>
      <c r="CW42" s="120">
        <v>0</v>
      </c>
      <c r="CX42" s="120">
        <v>0</v>
      </c>
      <c r="CY42" s="120">
        <v>0</v>
      </c>
      <c r="CZ42" s="120">
        <v>0</v>
      </c>
      <c r="DA42" s="120">
        <v>0</v>
      </c>
      <c r="DB42" s="120">
        <v>0</v>
      </c>
      <c r="DC42" s="120">
        <v>0</v>
      </c>
      <c r="DD42" s="120">
        <v>0</v>
      </c>
      <c r="DE42" s="120">
        <v>0</v>
      </c>
      <c r="DF42" s="120">
        <v>0</v>
      </c>
      <c r="DG42" s="120">
        <v>0</v>
      </c>
      <c r="DH42" s="120">
        <v>0</v>
      </c>
      <c r="DI42" s="120">
        <v>0</v>
      </c>
      <c r="DJ42" s="120">
        <v>0</v>
      </c>
      <c r="DK42" s="120">
        <v>0</v>
      </c>
      <c r="DL42" s="120">
        <v>0</v>
      </c>
      <c r="DM42" s="120">
        <v>0</v>
      </c>
      <c r="DN42" s="120">
        <v>778.98332572517995</v>
      </c>
      <c r="DO42" s="120">
        <v>-59.138056552754449</v>
      </c>
      <c r="DP42" s="120">
        <v>16316.50132597365</v>
      </c>
      <c r="DQ42" s="120">
        <v>-2635.5072131786928</v>
      </c>
      <c r="DR42" s="120">
        <v>-45565.282098998701</v>
      </c>
      <c r="DS42" s="120">
        <v>-738.70677309422751</v>
      </c>
      <c r="DT42" s="120">
        <v>-2176.947898998551</v>
      </c>
      <c r="DU42" s="120">
        <v>0</v>
      </c>
      <c r="DV42" s="120">
        <v>0</v>
      </c>
      <c r="DW42" s="120">
        <v>0</v>
      </c>
      <c r="DX42" s="120">
        <v>0</v>
      </c>
      <c r="DY42" s="120">
        <v>0</v>
      </c>
      <c r="DZ42" s="120">
        <v>0</v>
      </c>
      <c r="EA42" s="120">
        <v>0</v>
      </c>
      <c r="EB42" s="120">
        <v>0</v>
      </c>
      <c r="EC42" s="120">
        <v>0</v>
      </c>
      <c r="ED42" s="120">
        <f t="shared" si="0"/>
        <v>-34080.097389124101</v>
      </c>
    </row>
    <row r="43" spans="1:134">
      <c r="A43" s="120">
        <v>42</v>
      </c>
      <c r="B43" s="120">
        <v>0</v>
      </c>
      <c r="C43" s="120">
        <v>0</v>
      </c>
      <c r="D43" s="120">
        <v>44.789480152390318</v>
      </c>
      <c r="E43" s="120">
        <v>914.49262197125324</v>
      </c>
      <c r="F43" s="120">
        <v>0</v>
      </c>
      <c r="G43" s="120">
        <v>700.93023477408872</v>
      </c>
      <c r="H43" s="120">
        <v>137.92637668595049</v>
      </c>
      <c r="I43" s="120">
        <v>0</v>
      </c>
      <c r="J43" s="120">
        <v>149.86666890451659</v>
      </c>
      <c r="K43" s="120">
        <v>0</v>
      </c>
      <c r="L43" s="120">
        <v>0</v>
      </c>
      <c r="M43" s="120">
        <v>0</v>
      </c>
      <c r="N43" s="120">
        <v>0</v>
      </c>
      <c r="O43" s="120">
        <v>0</v>
      </c>
      <c r="P43" s="120">
        <v>0</v>
      </c>
      <c r="Q43" s="120">
        <v>0</v>
      </c>
      <c r="R43" s="120">
        <v>0</v>
      </c>
      <c r="S43" s="120">
        <v>0</v>
      </c>
      <c r="T43" s="120">
        <v>0</v>
      </c>
      <c r="U43" s="120">
        <v>0</v>
      </c>
      <c r="V43" s="120">
        <v>0</v>
      </c>
      <c r="W43" s="120">
        <v>0</v>
      </c>
      <c r="X43" s="120">
        <v>0</v>
      </c>
      <c r="Y43" s="120">
        <v>0</v>
      </c>
      <c r="Z43" s="120">
        <v>0</v>
      </c>
      <c r="AA43" s="120">
        <v>0</v>
      </c>
      <c r="AB43" s="120">
        <v>0</v>
      </c>
      <c r="AC43" s="120">
        <v>0</v>
      </c>
      <c r="AD43" s="120">
        <v>0</v>
      </c>
      <c r="AE43" s="120">
        <v>0</v>
      </c>
      <c r="AF43" s="120">
        <v>0</v>
      </c>
      <c r="AG43" s="120">
        <v>0</v>
      </c>
      <c r="AH43" s="120">
        <v>0</v>
      </c>
      <c r="AI43" s="120">
        <v>0</v>
      </c>
      <c r="AJ43" s="120">
        <v>0</v>
      </c>
      <c r="AK43" s="120">
        <v>0</v>
      </c>
      <c r="AL43" s="120">
        <v>0</v>
      </c>
      <c r="AM43" s="120">
        <v>0</v>
      </c>
      <c r="AN43" s="120">
        <v>0</v>
      </c>
      <c r="AO43" s="120">
        <v>0</v>
      </c>
      <c r="AP43" s="120">
        <v>0</v>
      </c>
      <c r="AQ43" s="120">
        <v>0</v>
      </c>
      <c r="AR43" s="120">
        <v>0</v>
      </c>
      <c r="AS43" s="120">
        <v>0</v>
      </c>
      <c r="AT43" s="120">
        <v>0</v>
      </c>
      <c r="AU43" s="120">
        <v>0</v>
      </c>
      <c r="AV43" s="120">
        <v>0</v>
      </c>
      <c r="AW43" s="120">
        <v>0</v>
      </c>
      <c r="AX43" s="120">
        <v>0</v>
      </c>
      <c r="AY43" s="120">
        <v>0</v>
      </c>
      <c r="AZ43" s="120">
        <v>0</v>
      </c>
      <c r="BA43" s="120">
        <v>0</v>
      </c>
      <c r="BB43" s="120">
        <v>0</v>
      </c>
      <c r="BC43" s="120">
        <v>0</v>
      </c>
      <c r="BD43" s="120">
        <v>0</v>
      </c>
      <c r="BE43" s="120">
        <v>0</v>
      </c>
      <c r="BF43" s="120">
        <v>0</v>
      </c>
      <c r="BG43" s="120">
        <v>0</v>
      </c>
      <c r="BH43" s="120">
        <v>0</v>
      </c>
      <c r="BI43" s="120">
        <v>0</v>
      </c>
      <c r="BJ43" s="120">
        <v>0</v>
      </c>
      <c r="BK43" s="120">
        <v>0</v>
      </c>
      <c r="BL43" s="120">
        <v>0</v>
      </c>
      <c r="BM43" s="120">
        <v>0</v>
      </c>
      <c r="BN43" s="120">
        <v>0</v>
      </c>
      <c r="BO43" s="120">
        <v>0</v>
      </c>
      <c r="BP43" s="120">
        <v>0</v>
      </c>
      <c r="BQ43" s="120">
        <v>0</v>
      </c>
      <c r="BR43" s="120">
        <v>0</v>
      </c>
      <c r="BS43" s="120">
        <v>0</v>
      </c>
      <c r="BT43" s="120">
        <v>0</v>
      </c>
      <c r="BU43" s="120">
        <v>0</v>
      </c>
      <c r="BV43" s="120">
        <v>0</v>
      </c>
      <c r="BW43" s="120">
        <v>0</v>
      </c>
      <c r="BX43" s="120">
        <v>0</v>
      </c>
      <c r="BY43" s="120">
        <v>0</v>
      </c>
      <c r="BZ43" s="120">
        <v>-26.39408114534584</v>
      </c>
      <c r="CA43" s="120">
        <v>-94.415068449296712</v>
      </c>
      <c r="CB43" s="120">
        <v>-945.5471355394302</v>
      </c>
      <c r="CC43" s="120">
        <v>0</v>
      </c>
      <c r="CD43" s="120">
        <v>0</v>
      </c>
      <c r="CE43" s="120">
        <v>0</v>
      </c>
      <c r="CF43" s="120">
        <v>0</v>
      </c>
      <c r="CG43" s="120">
        <v>0</v>
      </c>
      <c r="CH43" s="120">
        <v>0</v>
      </c>
      <c r="CI43" s="120">
        <v>0</v>
      </c>
      <c r="CJ43" s="120">
        <v>0</v>
      </c>
      <c r="CK43" s="120">
        <v>0</v>
      </c>
      <c r="CL43" s="120">
        <v>0</v>
      </c>
      <c r="CM43" s="120">
        <v>0</v>
      </c>
      <c r="CN43" s="120">
        <v>0</v>
      </c>
      <c r="CO43" s="120">
        <v>0</v>
      </c>
      <c r="CP43" s="120">
        <v>0</v>
      </c>
      <c r="CQ43" s="120">
        <v>0</v>
      </c>
      <c r="CR43" s="120">
        <v>0</v>
      </c>
      <c r="CS43" s="120">
        <v>0</v>
      </c>
      <c r="CT43" s="120">
        <v>0</v>
      </c>
      <c r="CU43" s="120">
        <v>0</v>
      </c>
      <c r="CV43" s="120">
        <v>0</v>
      </c>
      <c r="CW43" s="120">
        <v>0</v>
      </c>
      <c r="CX43" s="120">
        <v>0</v>
      </c>
      <c r="CY43" s="120">
        <v>0</v>
      </c>
      <c r="CZ43" s="120">
        <v>0</v>
      </c>
      <c r="DA43" s="120">
        <v>0</v>
      </c>
      <c r="DB43" s="120">
        <v>0</v>
      </c>
      <c r="DC43" s="120">
        <v>0</v>
      </c>
      <c r="DD43" s="120">
        <v>0</v>
      </c>
      <c r="DE43" s="120">
        <v>0</v>
      </c>
      <c r="DF43" s="120">
        <v>0</v>
      </c>
      <c r="DG43" s="120">
        <v>0</v>
      </c>
      <c r="DH43" s="120">
        <v>0</v>
      </c>
      <c r="DI43" s="120">
        <v>0</v>
      </c>
      <c r="DJ43" s="120">
        <v>0</v>
      </c>
      <c r="DK43" s="120">
        <v>0</v>
      </c>
      <c r="DL43" s="120">
        <v>0</v>
      </c>
      <c r="DM43" s="120">
        <v>0</v>
      </c>
      <c r="DN43" s="120">
        <v>-34.405096886195452</v>
      </c>
      <c r="DO43" s="120">
        <v>-4.6687939383753534</v>
      </c>
      <c r="DP43" s="120">
        <v>937.67161154686391</v>
      </c>
      <c r="DQ43" s="120">
        <v>-145.01594713662661</v>
      </c>
      <c r="DR43" s="120">
        <v>-4920.713294320457</v>
      </c>
      <c r="DS43" s="120">
        <v>-111.0018171247382</v>
      </c>
      <c r="DT43" s="120">
        <v>-257.53947301852457</v>
      </c>
      <c r="DU43" s="120">
        <v>0</v>
      </c>
      <c r="DV43" s="120">
        <v>0</v>
      </c>
      <c r="DW43" s="120">
        <v>0</v>
      </c>
      <c r="DX43" s="120">
        <v>0</v>
      </c>
      <c r="DY43" s="120">
        <v>0</v>
      </c>
      <c r="DZ43" s="120">
        <v>0</v>
      </c>
      <c r="EA43" s="120">
        <v>0</v>
      </c>
      <c r="EB43" s="120">
        <v>0</v>
      </c>
      <c r="EC43" s="120">
        <v>0</v>
      </c>
      <c r="ED43" s="120">
        <f t="shared" si="0"/>
        <v>-3654.0237135239267</v>
      </c>
    </row>
    <row r="44" spans="1:134">
      <c r="A44" s="120">
        <v>43</v>
      </c>
      <c r="B44" s="120">
        <v>0</v>
      </c>
      <c r="C44" s="120">
        <v>0</v>
      </c>
      <c r="D44" s="120">
        <v>0</v>
      </c>
      <c r="E44" s="120">
        <v>0</v>
      </c>
      <c r="F44" s="120">
        <v>0</v>
      </c>
      <c r="G44" s="120">
        <v>0</v>
      </c>
      <c r="H44" s="120">
        <v>0</v>
      </c>
      <c r="I44" s="120">
        <v>0</v>
      </c>
      <c r="J44" s="120">
        <v>0</v>
      </c>
      <c r="K44" s="120">
        <v>0</v>
      </c>
      <c r="L44" s="120">
        <v>0</v>
      </c>
      <c r="M44" s="120">
        <v>0</v>
      </c>
      <c r="N44" s="120">
        <v>0</v>
      </c>
      <c r="O44" s="120">
        <v>0</v>
      </c>
      <c r="P44" s="120">
        <v>0</v>
      </c>
      <c r="Q44" s="120">
        <v>0</v>
      </c>
      <c r="R44" s="120">
        <v>0</v>
      </c>
      <c r="S44" s="120">
        <v>0</v>
      </c>
      <c r="T44" s="120">
        <v>0</v>
      </c>
      <c r="U44" s="120">
        <v>0</v>
      </c>
      <c r="V44" s="120">
        <v>0</v>
      </c>
      <c r="W44" s="120">
        <v>0</v>
      </c>
      <c r="X44" s="120">
        <v>0</v>
      </c>
      <c r="Y44" s="120">
        <v>0</v>
      </c>
      <c r="Z44" s="120">
        <v>0</v>
      </c>
      <c r="AA44" s="120">
        <v>0</v>
      </c>
      <c r="AB44" s="120">
        <v>0</v>
      </c>
      <c r="AC44" s="120">
        <v>0</v>
      </c>
      <c r="AD44" s="120">
        <v>0</v>
      </c>
      <c r="AE44" s="120">
        <v>0</v>
      </c>
      <c r="AF44" s="120">
        <v>0</v>
      </c>
      <c r="AG44" s="120">
        <v>0</v>
      </c>
      <c r="AH44" s="120">
        <v>0</v>
      </c>
      <c r="AI44" s="120">
        <v>0</v>
      </c>
      <c r="AJ44" s="120">
        <v>0</v>
      </c>
      <c r="AK44" s="120">
        <v>0</v>
      </c>
      <c r="AL44" s="120">
        <v>0</v>
      </c>
      <c r="AM44" s="120">
        <v>0</v>
      </c>
      <c r="AN44" s="120">
        <v>0</v>
      </c>
      <c r="AO44" s="120">
        <v>0</v>
      </c>
      <c r="AP44" s="120">
        <v>0</v>
      </c>
      <c r="AQ44" s="120">
        <v>0</v>
      </c>
      <c r="AR44" s="120">
        <v>0</v>
      </c>
      <c r="AS44" s="120">
        <v>0</v>
      </c>
      <c r="AT44" s="120">
        <v>0</v>
      </c>
      <c r="AU44" s="120">
        <v>0</v>
      </c>
      <c r="AV44" s="120">
        <v>0</v>
      </c>
      <c r="AW44" s="120">
        <v>0</v>
      </c>
      <c r="AX44" s="120">
        <v>0</v>
      </c>
      <c r="AY44" s="120">
        <v>0</v>
      </c>
      <c r="AZ44" s="120">
        <v>0</v>
      </c>
      <c r="BA44" s="120">
        <v>0</v>
      </c>
      <c r="BB44" s="120">
        <v>0</v>
      </c>
      <c r="BC44" s="120">
        <v>0</v>
      </c>
      <c r="BD44" s="120">
        <v>0</v>
      </c>
      <c r="BE44" s="120">
        <v>0</v>
      </c>
      <c r="BF44" s="120">
        <v>0</v>
      </c>
      <c r="BG44" s="120">
        <v>0</v>
      </c>
      <c r="BH44" s="120">
        <v>0</v>
      </c>
      <c r="BI44" s="120">
        <v>0</v>
      </c>
      <c r="BJ44" s="120">
        <v>0</v>
      </c>
      <c r="BK44" s="120">
        <v>0</v>
      </c>
      <c r="BL44" s="120">
        <v>0</v>
      </c>
      <c r="BM44" s="120">
        <v>0</v>
      </c>
      <c r="BN44" s="120">
        <v>0</v>
      </c>
      <c r="BO44" s="120">
        <v>0</v>
      </c>
      <c r="BP44" s="120">
        <v>0</v>
      </c>
      <c r="BQ44" s="120">
        <v>0</v>
      </c>
      <c r="BR44" s="120">
        <v>0</v>
      </c>
      <c r="BS44" s="120">
        <v>0</v>
      </c>
      <c r="BT44" s="120">
        <v>0</v>
      </c>
      <c r="BU44" s="120">
        <v>0</v>
      </c>
      <c r="BV44" s="120">
        <v>0</v>
      </c>
      <c r="BW44" s="120">
        <v>0</v>
      </c>
      <c r="BX44" s="120">
        <v>0</v>
      </c>
      <c r="BY44" s="120">
        <v>0</v>
      </c>
      <c r="BZ44" s="120">
        <v>0</v>
      </c>
      <c r="CA44" s="120">
        <v>0</v>
      </c>
      <c r="CB44" s="120">
        <v>0</v>
      </c>
      <c r="CC44" s="120">
        <v>0</v>
      </c>
      <c r="CD44" s="120">
        <v>0</v>
      </c>
      <c r="CE44" s="120">
        <v>0</v>
      </c>
      <c r="CF44" s="120">
        <v>0</v>
      </c>
      <c r="CG44" s="120">
        <v>0</v>
      </c>
      <c r="CH44" s="120">
        <v>0</v>
      </c>
      <c r="CI44" s="120">
        <v>0</v>
      </c>
      <c r="CJ44" s="120">
        <v>0</v>
      </c>
      <c r="CK44" s="120">
        <v>0</v>
      </c>
      <c r="CL44" s="120">
        <v>0</v>
      </c>
      <c r="CM44" s="120">
        <v>0</v>
      </c>
      <c r="CN44" s="120">
        <v>0</v>
      </c>
      <c r="CO44" s="120">
        <v>0</v>
      </c>
      <c r="CP44" s="120">
        <v>0</v>
      </c>
      <c r="CQ44" s="120">
        <v>0</v>
      </c>
      <c r="CR44" s="120">
        <v>0</v>
      </c>
      <c r="CS44" s="120">
        <v>0</v>
      </c>
      <c r="CT44" s="120">
        <v>0</v>
      </c>
      <c r="CU44" s="120">
        <v>0</v>
      </c>
      <c r="CV44" s="120">
        <v>0</v>
      </c>
      <c r="CW44" s="120">
        <v>0</v>
      </c>
      <c r="CX44" s="120">
        <v>0</v>
      </c>
      <c r="CY44" s="120">
        <v>0</v>
      </c>
      <c r="CZ44" s="120">
        <v>0</v>
      </c>
      <c r="DA44" s="120">
        <v>0</v>
      </c>
      <c r="DB44" s="120">
        <v>0</v>
      </c>
      <c r="DC44" s="120">
        <v>0</v>
      </c>
      <c r="DD44" s="120">
        <v>0</v>
      </c>
      <c r="DE44" s="120">
        <v>0</v>
      </c>
      <c r="DF44" s="120">
        <v>0</v>
      </c>
      <c r="DG44" s="120">
        <v>0</v>
      </c>
      <c r="DH44" s="120">
        <v>0</v>
      </c>
      <c r="DI44" s="120">
        <v>0</v>
      </c>
      <c r="DJ44" s="120">
        <v>0</v>
      </c>
      <c r="DK44" s="120">
        <v>0</v>
      </c>
      <c r="DL44" s="120">
        <v>0</v>
      </c>
      <c r="DM44" s="120">
        <v>0</v>
      </c>
      <c r="DN44" s="120">
        <v>238.88821988905511</v>
      </c>
      <c r="DO44" s="120">
        <v>-19.45330807656396</v>
      </c>
      <c r="DP44" s="120">
        <v>6527.2643509446352</v>
      </c>
      <c r="DQ44" s="120">
        <v>-1034.0267534959471</v>
      </c>
      <c r="DR44" s="120">
        <v>-23158.930727350911</v>
      </c>
      <c r="DS44" s="120">
        <v>-236.09898037197911</v>
      </c>
      <c r="DT44" s="120">
        <v>-990.56471632714192</v>
      </c>
      <c r="DU44" s="120">
        <v>0</v>
      </c>
      <c r="DV44" s="120">
        <v>0</v>
      </c>
      <c r="DW44" s="120">
        <v>0</v>
      </c>
      <c r="DX44" s="120">
        <v>0</v>
      </c>
      <c r="DY44" s="120">
        <v>0</v>
      </c>
      <c r="DZ44" s="120">
        <v>0</v>
      </c>
      <c r="EA44" s="120">
        <v>0</v>
      </c>
      <c r="EB44" s="120">
        <v>0</v>
      </c>
      <c r="EC44" s="120">
        <v>0</v>
      </c>
      <c r="ED44" s="120">
        <f t="shared" si="0"/>
        <v>-18672.921914788851</v>
      </c>
    </row>
    <row r="45" spans="1:134">
      <c r="A45" s="120">
        <v>44</v>
      </c>
      <c r="B45" s="120">
        <v>0</v>
      </c>
      <c r="C45" s="120">
        <v>0</v>
      </c>
      <c r="D45" s="120">
        <v>0</v>
      </c>
      <c r="E45" s="120">
        <v>0</v>
      </c>
      <c r="F45" s="120">
        <v>52.351184034444643</v>
      </c>
      <c r="G45" s="120">
        <v>0</v>
      </c>
      <c r="H45" s="120">
        <v>0</v>
      </c>
      <c r="I45" s="120">
        <v>0</v>
      </c>
      <c r="J45" s="120">
        <v>0</v>
      </c>
      <c r="K45" s="120">
        <v>0</v>
      </c>
      <c r="L45" s="120">
        <v>0</v>
      </c>
      <c r="M45" s="120">
        <v>0</v>
      </c>
      <c r="N45" s="120">
        <v>0</v>
      </c>
      <c r="O45" s="120">
        <v>0</v>
      </c>
      <c r="P45" s="120">
        <v>0</v>
      </c>
      <c r="Q45" s="120">
        <v>0</v>
      </c>
      <c r="R45" s="120">
        <v>0</v>
      </c>
      <c r="S45" s="120">
        <v>0</v>
      </c>
      <c r="T45" s="120">
        <v>0</v>
      </c>
      <c r="U45" s="120">
        <v>0</v>
      </c>
      <c r="V45" s="120">
        <v>0</v>
      </c>
      <c r="W45" s="120">
        <v>0</v>
      </c>
      <c r="X45" s="120">
        <v>0</v>
      </c>
      <c r="Y45" s="120">
        <v>0</v>
      </c>
      <c r="Z45" s="120">
        <v>0</v>
      </c>
      <c r="AA45" s="120">
        <v>0</v>
      </c>
      <c r="AB45" s="120">
        <v>0</v>
      </c>
      <c r="AC45" s="120">
        <v>0</v>
      </c>
      <c r="AD45" s="120">
        <v>0</v>
      </c>
      <c r="AE45" s="120">
        <v>0</v>
      </c>
      <c r="AF45" s="120">
        <v>0</v>
      </c>
      <c r="AG45" s="120">
        <v>0</v>
      </c>
      <c r="AH45" s="120">
        <v>0</v>
      </c>
      <c r="AI45" s="120">
        <v>0</v>
      </c>
      <c r="AJ45" s="120">
        <v>0</v>
      </c>
      <c r="AK45" s="120">
        <v>0</v>
      </c>
      <c r="AL45" s="120">
        <v>0</v>
      </c>
      <c r="AM45" s="120">
        <v>0</v>
      </c>
      <c r="AN45" s="120">
        <v>0</v>
      </c>
      <c r="AO45" s="120">
        <v>0</v>
      </c>
      <c r="AP45" s="120">
        <v>0</v>
      </c>
      <c r="AQ45" s="120">
        <v>0</v>
      </c>
      <c r="AR45" s="120">
        <v>0</v>
      </c>
      <c r="AS45" s="120">
        <v>0</v>
      </c>
      <c r="AT45" s="120">
        <v>0</v>
      </c>
      <c r="AU45" s="120">
        <v>0</v>
      </c>
      <c r="AV45" s="120">
        <v>0</v>
      </c>
      <c r="AW45" s="120">
        <v>0</v>
      </c>
      <c r="AX45" s="120">
        <v>0</v>
      </c>
      <c r="AY45" s="120">
        <v>0</v>
      </c>
      <c r="AZ45" s="120">
        <v>0</v>
      </c>
      <c r="BA45" s="120">
        <v>0</v>
      </c>
      <c r="BB45" s="120">
        <v>0</v>
      </c>
      <c r="BC45" s="120">
        <v>0</v>
      </c>
      <c r="BD45" s="120">
        <v>0</v>
      </c>
      <c r="BE45" s="120">
        <v>0</v>
      </c>
      <c r="BF45" s="120">
        <v>0</v>
      </c>
      <c r="BG45" s="120">
        <v>0</v>
      </c>
      <c r="BH45" s="120">
        <v>0</v>
      </c>
      <c r="BI45" s="120">
        <v>0</v>
      </c>
      <c r="BJ45" s="120">
        <v>0</v>
      </c>
      <c r="BK45" s="120">
        <v>0</v>
      </c>
      <c r="BL45" s="120">
        <v>0</v>
      </c>
      <c r="BM45" s="120">
        <v>0</v>
      </c>
      <c r="BN45" s="120">
        <v>0</v>
      </c>
      <c r="BO45" s="120">
        <v>0</v>
      </c>
      <c r="BP45" s="120">
        <v>0</v>
      </c>
      <c r="BQ45" s="120">
        <v>0</v>
      </c>
      <c r="BR45" s="120">
        <v>0</v>
      </c>
      <c r="BS45" s="120">
        <v>0</v>
      </c>
      <c r="BT45" s="120">
        <v>0</v>
      </c>
      <c r="BU45" s="120">
        <v>0</v>
      </c>
      <c r="BV45" s="120">
        <v>0</v>
      </c>
      <c r="BW45" s="120">
        <v>0</v>
      </c>
      <c r="BX45" s="120">
        <v>0</v>
      </c>
      <c r="BY45" s="120">
        <v>0</v>
      </c>
      <c r="BZ45" s="120">
        <v>-0.98775818932914405</v>
      </c>
      <c r="CA45" s="120">
        <v>-2.9632745679874319</v>
      </c>
      <c r="CB45" s="120">
        <v>-17.779647407924589</v>
      </c>
      <c r="CC45" s="120">
        <v>0</v>
      </c>
      <c r="CD45" s="120">
        <v>0</v>
      </c>
      <c r="CE45" s="120">
        <v>0</v>
      </c>
      <c r="CF45" s="120">
        <v>0</v>
      </c>
      <c r="CG45" s="120">
        <v>0</v>
      </c>
      <c r="CH45" s="120">
        <v>0</v>
      </c>
      <c r="CI45" s="120">
        <v>0</v>
      </c>
      <c r="CJ45" s="120">
        <v>0</v>
      </c>
      <c r="CK45" s="120">
        <v>0</v>
      </c>
      <c r="CL45" s="120">
        <v>0</v>
      </c>
      <c r="CM45" s="120">
        <v>0</v>
      </c>
      <c r="CN45" s="120">
        <v>0</v>
      </c>
      <c r="CO45" s="120">
        <v>0</v>
      </c>
      <c r="CP45" s="120">
        <v>0</v>
      </c>
      <c r="CQ45" s="120">
        <v>0</v>
      </c>
      <c r="CR45" s="120">
        <v>0</v>
      </c>
      <c r="CS45" s="120">
        <v>0</v>
      </c>
      <c r="CT45" s="120">
        <v>0</v>
      </c>
      <c r="CU45" s="120">
        <v>0</v>
      </c>
      <c r="CV45" s="120">
        <v>0</v>
      </c>
      <c r="CW45" s="120">
        <v>0</v>
      </c>
      <c r="CX45" s="120">
        <v>0</v>
      </c>
      <c r="CY45" s="120">
        <v>0</v>
      </c>
      <c r="CZ45" s="120">
        <v>0</v>
      </c>
      <c r="DA45" s="120">
        <v>0</v>
      </c>
      <c r="DB45" s="120">
        <v>0</v>
      </c>
      <c r="DC45" s="120">
        <v>0</v>
      </c>
      <c r="DD45" s="120">
        <v>0</v>
      </c>
      <c r="DE45" s="120">
        <v>0</v>
      </c>
      <c r="DF45" s="120">
        <v>0</v>
      </c>
      <c r="DG45" s="120">
        <v>0</v>
      </c>
      <c r="DH45" s="120">
        <v>0</v>
      </c>
      <c r="DI45" s="120">
        <v>0</v>
      </c>
      <c r="DJ45" s="120">
        <v>0</v>
      </c>
      <c r="DK45" s="120">
        <v>0</v>
      </c>
      <c r="DL45" s="120">
        <v>0</v>
      </c>
      <c r="DM45" s="120">
        <v>0</v>
      </c>
      <c r="DN45" s="120">
        <v>277.83738617531418</v>
      </c>
      <c r="DO45" s="120">
        <v>-19.45330807656396</v>
      </c>
      <c r="DP45" s="120">
        <v>15374.308691054581</v>
      </c>
      <c r="DQ45" s="120">
        <v>-2247.7471806177118</v>
      </c>
      <c r="DR45" s="120">
        <v>-37230.059130925532</v>
      </c>
      <c r="DS45" s="120">
        <v>-117.3878027996461</v>
      </c>
      <c r="DT45" s="120">
        <v>-383.44270288161692</v>
      </c>
      <c r="DU45" s="120">
        <v>0</v>
      </c>
      <c r="DV45" s="120">
        <v>0</v>
      </c>
      <c r="DW45" s="120">
        <v>0</v>
      </c>
      <c r="DX45" s="120">
        <v>0</v>
      </c>
      <c r="DY45" s="120">
        <v>0</v>
      </c>
      <c r="DZ45" s="120">
        <v>0</v>
      </c>
      <c r="EA45" s="120">
        <v>0</v>
      </c>
      <c r="EB45" s="120">
        <v>0</v>
      </c>
      <c r="EC45" s="120">
        <v>0</v>
      </c>
      <c r="ED45" s="120">
        <f t="shared" si="0"/>
        <v>-24315.323544201972</v>
      </c>
    </row>
    <row r="46" spans="1:134">
      <c r="A46" s="120">
        <v>45</v>
      </c>
      <c r="B46" s="120">
        <v>0</v>
      </c>
      <c r="C46" s="120">
        <v>0</v>
      </c>
      <c r="D46" s="120">
        <v>0</v>
      </c>
      <c r="E46" s="120">
        <v>0</v>
      </c>
      <c r="F46" s="120">
        <v>0</v>
      </c>
      <c r="G46" s="120">
        <v>26.51022067980669</v>
      </c>
      <c r="H46" s="120">
        <v>0</v>
      </c>
      <c r="I46" s="120">
        <v>0</v>
      </c>
      <c r="J46" s="120">
        <v>0</v>
      </c>
      <c r="K46" s="120">
        <v>0</v>
      </c>
      <c r="L46" s="120">
        <v>0</v>
      </c>
      <c r="M46" s="120">
        <v>0</v>
      </c>
      <c r="N46" s="120">
        <v>0</v>
      </c>
      <c r="O46" s="120">
        <v>0</v>
      </c>
      <c r="P46" s="120">
        <v>0</v>
      </c>
      <c r="Q46" s="120">
        <v>0</v>
      </c>
      <c r="R46" s="120">
        <v>0</v>
      </c>
      <c r="S46" s="120">
        <v>0</v>
      </c>
      <c r="T46" s="120">
        <v>0</v>
      </c>
      <c r="U46" s="120">
        <v>0</v>
      </c>
      <c r="V46" s="120">
        <v>0</v>
      </c>
      <c r="W46" s="120">
        <v>0</v>
      </c>
      <c r="X46" s="120">
        <v>0</v>
      </c>
      <c r="Y46" s="120">
        <v>0</v>
      </c>
      <c r="Z46" s="120">
        <v>0</v>
      </c>
      <c r="AA46" s="120">
        <v>0</v>
      </c>
      <c r="AB46" s="120">
        <v>0</v>
      </c>
      <c r="AC46" s="120">
        <v>0</v>
      </c>
      <c r="AD46" s="120">
        <v>0</v>
      </c>
      <c r="AE46" s="120">
        <v>0</v>
      </c>
      <c r="AF46" s="120">
        <v>0</v>
      </c>
      <c r="AG46" s="120">
        <v>0</v>
      </c>
      <c r="AH46" s="120">
        <v>0</v>
      </c>
      <c r="AI46" s="120">
        <v>0</v>
      </c>
      <c r="AJ46" s="120">
        <v>0</v>
      </c>
      <c r="AK46" s="120">
        <v>0</v>
      </c>
      <c r="AL46" s="120">
        <v>0</v>
      </c>
      <c r="AM46" s="120">
        <v>0</v>
      </c>
      <c r="AN46" s="120">
        <v>0</v>
      </c>
      <c r="AO46" s="120">
        <v>0</v>
      </c>
      <c r="AP46" s="120">
        <v>0</v>
      </c>
      <c r="AQ46" s="120">
        <v>0</v>
      </c>
      <c r="AR46" s="120">
        <v>0</v>
      </c>
      <c r="AS46" s="120">
        <v>0</v>
      </c>
      <c r="AT46" s="120">
        <v>0</v>
      </c>
      <c r="AU46" s="120">
        <v>0</v>
      </c>
      <c r="AV46" s="120">
        <v>0</v>
      </c>
      <c r="AW46" s="120">
        <v>0</v>
      </c>
      <c r="AX46" s="120">
        <v>0</v>
      </c>
      <c r="AY46" s="120">
        <v>0</v>
      </c>
      <c r="AZ46" s="120">
        <v>0</v>
      </c>
      <c r="BA46" s="120">
        <v>0</v>
      </c>
      <c r="BB46" s="120">
        <v>0</v>
      </c>
      <c r="BC46" s="120">
        <v>0</v>
      </c>
      <c r="BD46" s="120">
        <v>0</v>
      </c>
      <c r="BE46" s="120">
        <v>0</v>
      </c>
      <c r="BF46" s="120">
        <v>0</v>
      </c>
      <c r="BG46" s="120">
        <v>0</v>
      </c>
      <c r="BH46" s="120">
        <v>0</v>
      </c>
      <c r="BI46" s="120">
        <v>0</v>
      </c>
      <c r="BJ46" s="120">
        <v>0</v>
      </c>
      <c r="BK46" s="120">
        <v>0</v>
      </c>
      <c r="BL46" s="120">
        <v>0</v>
      </c>
      <c r="BM46" s="120">
        <v>0</v>
      </c>
      <c r="BN46" s="120">
        <v>0</v>
      </c>
      <c r="BO46" s="120">
        <v>0</v>
      </c>
      <c r="BP46" s="120">
        <v>0</v>
      </c>
      <c r="BQ46" s="120">
        <v>0</v>
      </c>
      <c r="BR46" s="120">
        <v>0</v>
      </c>
      <c r="BS46" s="120">
        <v>0</v>
      </c>
      <c r="BT46" s="120">
        <v>0</v>
      </c>
      <c r="BU46" s="120">
        <v>0</v>
      </c>
      <c r="BV46" s="120">
        <v>0</v>
      </c>
      <c r="BW46" s="120">
        <v>0</v>
      </c>
      <c r="BX46" s="120">
        <v>0</v>
      </c>
      <c r="BY46" s="120">
        <v>0</v>
      </c>
      <c r="BZ46" s="120">
        <v>-1.096319835347183</v>
      </c>
      <c r="CA46" s="120">
        <v>-2.2887875065216048</v>
      </c>
      <c r="CB46" s="120">
        <v>-1.8671217363895991</v>
      </c>
      <c r="CC46" s="120">
        <v>0</v>
      </c>
      <c r="CD46" s="120">
        <v>0</v>
      </c>
      <c r="CE46" s="120">
        <v>0</v>
      </c>
      <c r="CF46" s="120">
        <v>0</v>
      </c>
      <c r="CG46" s="120">
        <v>0</v>
      </c>
      <c r="CH46" s="120">
        <v>0</v>
      </c>
      <c r="CI46" s="120">
        <v>0</v>
      </c>
      <c r="CJ46" s="120">
        <v>0</v>
      </c>
      <c r="CK46" s="120">
        <v>0</v>
      </c>
      <c r="CL46" s="120">
        <v>0</v>
      </c>
      <c r="CM46" s="120">
        <v>0</v>
      </c>
      <c r="CN46" s="120">
        <v>0</v>
      </c>
      <c r="CO46" s="120">
        <v>0</v>
      </c>
      <c r="CP46" s="120">
        <v>0</v>
      </c>
      <c r="CQ46" s="120">
        <v>0</v>
      </c>
      <c r="CR46" s="120">
        <v>0</v>
      </c>
      <c r="CS46" s="120">
        <v>0</v>
      </c>
      <c r="CT46" s="120">
        <v>0</v>
      </c>
      <c r="CU46" s="120">
        <v>0</v>
      </c>
      <c r="CV46" s="120">
        <v>0</v>
      </c>
      <c r="CW46" s="120">
        <v>0</v>
      </c>
      <c r="CX46" s="120">
        <v>0</v>
      </c>
      <c r="CY46" s="120">
        <v>0</v>
      </c>
      <c r="CZ46" s="120">
        <v>0</v>
      </c>
      <c r="DA46" s="120">
        <v>0</v>
      </c>
      <c r="DB46" s="120">
        <v>0</v>
      </c>
      <c r="DC46" s="120">
        <v>0</v>
      </c>
      <c r="DD46" s="120">
        <v>0</v>
      </c>
      <c r="DE46" s="120">
        <v>0</v>
      </c>
      <c r="DF46" s="120">
        <v>0</v>
      </c>
      <c r="DG46" s="120">
        <v>0</v>
      </c>
      <c r="DH46" s="120">
        <v>0</v>
      </c>
      <c r="DI46" s="120">
        <v>0</v>
      </c>
      <c r="DJ46" s="120">
        <v>0</v>
      </c>
      <c r="DK46" s="120">
        <v>0</v>
      </c>
      <c r="DL46" s="120">
        <v>0</v>
      </c>
      <c r="DM46" s="120">
        <v>0</v>
      </c>
      <c r="DN46" s="120">
        <v>53.879680029324952</v>
      </c>
      <c r="DO46" s="120">
        <v>-3.890661615312792</v>
      </c>
      <c r="DP46" s="120">
        <v>1591.3411038593581</v>
      </c>
      <c r="DQ46" s="120">
        <v>-165.50733097114991</v>
      </c>
      <c r="DR46" s="120">
        <v>-1498.019537288327</v>
      </c>
      <c r="DS46" s="120">
        <v>-68.772831340176054</v>
      </c>
      <c r="DT46" s="120">
        <v>-230.2454856439966</v>
      </c>
      <c r="DU46" s="120">
        <v>0</v>
      </c>
      <c r="DV46" s="120">
        <v>0</v>
      </c>
      <c r="DW46" s="120">
        <v>0</v>
      </c>
      <c r="DX46" s="120">
        <v>0</v>
      </c>
      <c r="DY46" s="120">
        <v>0</v>
      </c>
      <c r="DZ46" s="120">
        <v>0</v>
      </c>
      <c r="EA46" s="120">
        <v>0</v>
      </c>
      <c r="EB46" s="120">
        <v>0</v>
      </c>
      <c r="EC46" s="120">
        <v>0</v>
      </c>
      <c r="ED46" s="120">
        <f t="shared" si="0"/>
        <v>-299.95707136873114</v>
      </c>
    </row>
    <row r="47" spans="1:134">
      <c r="A47" s="120">
        <v>46</v>
      </c>
      <c r="B47" s="120">
        <v>0</v>
      </c>
      <c r="C47" s="120">
        <v>0</v>
      </c>
      <c r="D47" s="120">
        <v>3333.6170227707648</v>
      </c>
      <c r="E47" s="120">
        <v>5467.6001173098584</v>
      </c>
      <c r="F47" s="120">
        <v>0</v>
      </c>
      <c r="G47" s="120">
        <v>6971.5665616124197</v>
      </c>
      <c r="H47" s="120">
        <v>12471.30085184533</v>
      </c>
      <c r="I47" s="120">
        <v>0</v>
      </c>
      <c r="J47" s="120">
        <v>29391.683422567599</v>
      </c>
      <c r="K47" s="120">
        <v>213.90346269390909</v>
      </c>
      <c r="L47" s="120">
        <v>0</v>
      </c>
      <c r="M47" s="120">
        <v>0</v>
      </c>
      <c r="N47" s="120">
        <v>0</v>
      </c>
      <c r="O47" s="120">
        <v>0</v>
      </c>
      <c r="P47" s="120">
        <v>0</v>
      </c>
      <c r="Q47" s="120">
        <v>0</v>
      </c>
      <c r="R47" s="120">
        <v>0</v>
      </c>
      <c r="S47" s="120">
        <v>0</v>
      </c>
      <c r="T47" s="120">
        <v>0</v>
      </c>
      <c r="U47" s="120">
        <v>0</v>
      </c>
      <c r="V47" s="120">
        <v>0</v>
      </c>
      <c r="W47" s="120">
        <v>0</v>
      </c>
      <c r="X47" s="120">
        <v>0</v>
      </c>
      <c r="Y47" s="120">
        <v>0</v>
      </c>
      <c r="Z47" s="120">
        <v>0</v>
      </c>
      <c r="AA47" s="120">
        <v>0</v>
      </c>
      <c r="AB47" s="120">
        <v>0</v>
      </c>
      <c r="AC47" s="120">
        <v>0</v>
      </c>
      <c r="AD47" s="120">
        <v>2306.0496531746121</v>
      </c>
      <c r="AE47" s="120">
        <v>5699.9556462735154</v>
      </c>
      <c r="AF47" s="120">
        <v>0</v>
      </c>
      <c r="AG47" s="120">
        <v>0</v>
      </c>
      <c r="AH47" s="120">
        <v>0</v>
      </c>
      <c r="AI47" s="120">
        <v>0</v>
      </c>
      <c r="AJ47" s="120">
        <v>0</v>
      </c>
      <c r="AK47" s="120">
        <v>0</v>
      </c>
      <c r="AL47" s="120">
        <v>0</v>
      </c>
      <c r="AM47" s="120">
        <v>0</v>
      </c>
      <c r="AN47" s="120">
        <v>0</v>
      </c>
      <c r="AO47" s="120">
        <v>0</v>
      </c>
      <c r="AP47" s="120">
        <v>0</v>
      </c>
      <c r="AQ47" s="120">
        <v>0</v>
      </c>
      <c r="AR47" s="120">
        <v>0</v>
      </c>
      <c r="AS47" s="120">
        <v>0</v>
      </c>
      <c r="AT47" s="120">
        <v>0</v>
      </c>
      <c r="AU47" s="120">
        <v>0</v>
      </c>
      <c r="AV47" s="120">
        <v>0</v>
      </c>
      <c r="AW47" s="120">
        <v>0</v>
      </c>
      <c r="AX47" s="120">
        <v>0</v>
      </c>
      <c r="AY47" s="120">
        <v>0</v>
      </c>
      <c r="AZ47" s="120">
        <v>0</v>
      </c>
      <c r="BA47" s="120">
        <v>0</v>
      </c>
      <c r="BB47" s="120">
        <v>0</v>
      </c>
      <c r="BC47" s="120">
        <v>0</v>
      </c>
      <c r="BD47" s="120">
        <v>0</v>
      </c>
      <c r="BE47" s="120">
        <v>0</v>
      </c>
      <c r="BF47" s="120">
        <v>0</v>
      </c>
      <c r="BG47" s="120">
        <v>0</v>
      </c>
      <c r="BH47" s="120">
        <v>0</v>
      </c>
      <c r="BI47" s="120">
        <v>0</v>
      </c>
      <c r="BJ47" s="120">
        <v>0</v>
      </c>
      <c r="BK47" s="120">
        <v>0</v>
      </c>
      <c r="BL47" s="120">
        <v>0</v>
      </c>
      <c r="BM47" s="120">
        <v>0</v>
      </c>
      <c r="BN47" s="120">
        <v>0</v>
      </c>
      <c r="BO47" s="120">
        <v>0</v>
      </c>
      <c r="BP47" s="120">
        <v>0</v>
      </c>
      <c r="BQ47" s="120">
        <v>0</v>
      </c>
      <c r="BR47" s="120">
        <v>0</v>
      </c>
      <c r="BS47" s="120">
        <v>87.307324283943146</v>
      </c>
      <c r="BT47" s="120">
        <v>0</v>
      </c>
      <c r="BU47" s="120">
        <v>0</v>
      </c>
      <c r="BV47" s="120">
        <v>0</v>
      </c>
      <c r="BW47" s="120">
        <v>0</v>
      </c>
      <c r="BX47" s="120">
        <v>0</v>
      </c>
      <c r="BY47" s="120">
        <v>0</v>
      </c>
      <c r="BZ47" s="120">
        <v>-776.39871940120281</v>
      </c>
      <c r="CA47" s="120">
        <v>-10989.150757240481</v>
      </c>
      <c r="CB47" s="120">
        <v>-28563.13948140914</v>
      </c>
      <c r="CC47" s="120">
        <v>0</v>
      </c>
      <c r="CD47" s="120">
        <v>0</v>
      </c>
      <c r="CE47" s="120">
        <v>0</v>
      </c>
      <c r="CF47" s="120">
        <v>0</v>
      </c>
      <c r="CG47" s="120">
        <v>0</v>
      </c>
      <c r="CH47" s="120">
        <v>0</v>
      </c>
      <c r="CI47" s="120">
        <v>6399.3474840104464</v>
      </c>
      <c r="CJ47" s="120">
        <v>0</v>
      </c>
      <c r="CK47" s="120">
        <v>0</v>
      </c>
      <c r="CL47" s="120">
        <v>129.32961260669731</v>
      </c>
      <c r="CM47" s="120">
        <v>0</v>
      </c>
      <c r="CN47" s="120">
        <v>0</v>
      </c>
      <c r="CO47" s="120">
        <v>0</v>
      </c>
      <c r="CP47" s="120">
        <v>0</v>
      </c>
      <c r="CQ47" s="120">
        <v>0</v>
      </c>
      <c r="CR47" s="120">
        <v>0</v>
      </c>
      <c r="CS47" s="120">
        <v>0</v>
      </c>
      <c r="CT47" s="120">
        <v>0</v>
      </c>
      <c r="CU47" s="120">
        <v>0</v>
      </c>
      <c r="CV47" s="120">
        <v>0</v>
      </c>
      <c r="CW47" s="120">
        <v>0</v>
      </c>
      <c r="CX47" s="120">
        <v>0</v>
      </c>
      <c r="CY47" s="120">
        <v>0</v>
      </c>
      <c r="CZ47" s="120">
        <v>0</v>
      </c>
      <c r="DA47" s="120">
        <v>0</v>
      </c>
      <c r="DB47" s="120">
        <v>13.47182681933665</v>
      </c>
      <c r="DC47" s="120">
        <v>0</v>
      </c>
      <c r="DD47" s="120">
        <v>0</v>
      </c>
      <c r="DE47" s="120">
        <v>-137.0939355537829</v>
      </c>
      <c r="DF47" s="120">
        <v>-1876.4419826745041</v>
      </c>
      <c r="DG47" s="120">
        <v>-8.293059380220642</v>
      </c>
      <c r="DH47" s="120">
        <v>0</v>
      </c>
      <c r="DI47" s="120">
        <v>0</v>
      </c>
      <c r="DJ47" s="120">
        <v>0</v>
      </c>
      <c r="DK47" s="120">
        <v>0</v>
      </c>
      <c r="DL47" s="120">
        <v>0</v>
      </c>
      <c r="DM47" s="120">
        <v>0</v>
      </c>
      <c r="DN47" s="120">
        <v>2113.6255774482829</v>
      </c>
      <c r="DO47" s="120">
        <v>-1088.6468273830531</v>
      </c>
      <c r="DP47" s="120">
        <v>37765.396264463867</v>
      </c>
      <c r="DQ47" s="120">
        <v>-13805.97481337751</v>
      </c>
      <c r="DR47" s="120">
        <v>-69549.583225955299</v>
      </c>
      <c r="DS47" s="120">
        <v>-1066.26464651028</v>
      </c>
      <c r="DT47" s="120">
        <v>-5892.6564786526524</v>
      </c>
      <c r="DU47" s="120">
        <v>0</v>
      </c>
      <c r="DV47" s="120">
        <v>173.02648686030429</v>
      </c>
      <c r="DW47" s="120">
        <v>-56.959029836000788</v>
      </c>
      <c r="DX47" s="120">
        <v>0</v>
      </c>
      <c r="DY47" s="120">
        <v>33.101402047906213</v>
      </c>
      <c r="DZ47" s="120">
        <v>-8.5525985714712967</v>
      </c>
      <c r="EA47" s="120">
        <v>0</v>
      </c>
      <c r="EB47" s="120">
        <v>138.3538731929423</v>
      </c>
      <c r="EC47" s="120">
        <v>-32.331868599794468</v>
      </c>
      <c r="ED47" s="120">
        <f t="shared" si="0"/>
        <v>-21142.850834563655</v>
      </c>
    </row>
    <row r="48" spans="1:134">
      <c r="A48" s="120">
        <v>47</v>
      </c>
      <c r="B48" s="120">
        <v>0</v>
      </c>
      <c r="C48" s="120">
        <v>0</v>
      </c>
      <c r="D48" s="120">
        <v>0</v>
      </c>
      <c r="E48" s="120">
        <v>751.35080534991584</v>
      </c>
      <c r="F48" s="120">
        <v>0</v>
      </c>
      <c r="G48" s="120">
        <v>810.49856609435847</v>
      </c>
      <c r="H48" s="120">
        <v>0</v>
      </c>
      <c r="I48" s="120">
        <v>0</v>
      </c>
      <c r="J48" s="120">
        <v>0</v>
      </c>
      <c r="K48" s="120">
        <v>0</v>
      </c>
      <c r="L48" s="120">
        <v>0</v>
      </c>
      <c r="M48" s="120">
        <v>0</v>
      </c>
      <c r="N48" s="120">
        <v>0</v>
      </c>
      <c r="O48" s="120">
        <v>0</v>
      </c>
      <c r="P48" s="120">
        <v>0</v>
      </c>
      <c r="Q48" s="120">
        <v>0</v>
      </c>
      <c r="R48" s="120">
        <v>0</v>
      </c>
      <c r="S48" s="120">
        <v>0</v>
      </c>
      <c r="T48" s="120">
        <v>0</v>
      </c>
      <c r="U48" s="120">
        <v>0</v>
      </c>
      <c r="V48" s="120">
        <v>0</v>
      </c>
      <c r="W48" s="120">
        <v>0</v>
      </c>
      <c r="X48" s="120">
        <v>0</v>
      </c>
      <c r="Y48" s="120">
        <v>0</v>
      </c>
      <c r="Z48" s="120">
        <v>0</v>
      </c>
      <c r="AA48" s="120">
        <v>0</v>
      </c>
      <c r="AB48" s="120">
        <v>0</v>
      </c>
      <c r="AC48" s="120">
        <v>0</v>
      </c>
      <c r="AD48" s="120">
        <v>0</v>
      </c>
      <c r="AE48" s="120">
        <v>0</v>
      </c>
      <c r="AF48" s="120">
        <v>0</v>
      </c>
      <c r="AG48" s="120">
        <v>0</v>
      </c>
      <c r="AH48" s="120">
        <v>0</v>
      </c>
      <c r="AI48" s="120">
        <v>0</v>
      </c>
      <c r="AJ48" s="120">
        <v>0</v>
      </c>
      <c r="AK48" s="120">
        <v>0</v>
      </c>
      <c r="AL48" s="120">
        <v>0</v>
      </c>
      <c r="AM48" s="120">
        <v>0</v>
      </c>
      <c r="AN48" s="120">
        <v>0</v>
      </c>
      <c r="AO48" s="120">
        <v>0</v>
      </c>
      <c r="AP48" s="120">
        <v>0</v>
      </c>
      <c r="AQ48" s="120">
        <v>0</v>
      </c>
      <c r="AR48" s="120">
        <v>0</v>
      </c>
      <c r="AS48" s="120">
        <v>0</v>
      </c>
      <c r="AT48" s="120">
        <v>0</v>
      </c>
      <c r="AU48" s="120">
        <v>0</v>
      </c>
      <c r="AV48" s="120">
        <v>0</v>
      </c>
      <c r="AW48" s="120">
        <v>0</v>
      </c>
      <c r="AX48" s="120">
        <v>0</v>
      </c>
      <c r="AY48" s="120">
        <v>0</v>
      </c>
      <c r="AZ48" s="120">
        <v>0</v>
      </c>
      <c r="BA48" s="120">
        <v>0</v>
      </c>
      <c r="BB48" s="120">
        <v>0</v>
      </c>
      <c r="BC48" s="120">
        <v>0</v>
      </c>
      <c r="BD48" s="120">
        <v>0</v>
      </c>
      <c r="BE48" s="120">
        <v>0</v>
      </c>
      <c r="BF48" s="120">
        <v>0</v>
      </c>
      <c r="BG48" s="120">
        <v>0</v>
      </c>
      <c r="BH48" s="120">
        <v>0</v>
      </c>
      <c r="BI48" s="120">
        <v>0</v>
      </c>
      <c r="BJ48" s="120">
        <v>0</v>
      </c>
      <c r="BK48" s="120">
        <v>0</v>
      </c>
      <c r="BL48" s="120">
        <v>0</v>
      </c>
      <c r="BM48" s="120">
        <v>0</v>
      </c>
      <c r="BN48" s="120">
        <v>0</v>
      </c>
      <c r="BO48" s="120">
        <v>0</v>
      </c>
      <c r="BP48" s="120">
        <v>0</v>
      </c>
      <c r="BQ48" s="120">
        <v>0</v>
      </c>
      <c r="BR48" s="120">
        <v>0</v>
      </c>
      <c r="BS48" s="120">
        <v>0</v>
      </c>
      <c r="BT48" s="120">
        <v>0</v>
      </c>
      <c r="BU48" s="120">
        <v>0</v>
      </c>
      <c r="BV48" s="120">
        <v>0</v>
      </c>
      <c r="BW48" s="120">
        <v>0</v>
      </c>
      <c r="BX48" s="120">
        <v>0</v>
      </c>
      <c r="BY48" s="120">
        <v>0</v>
      </c>
      <c r="BZ48" s="120">
        <v>-25.39566032355825</v>
      </c>
      <c r="CA48" s="120">
        <v>-99.552723896601904</v>
      </c>
      <c r="CB48" s="120">
        <v>-617.00293353771406</v>
      </c>
      <c r="CC48" s="120">
        <v>0</v>
      </c>
      <c r="CD48" s="120">
        <v>0</v>
      </c>
      <c r="CE48" s="120">
        <v>0</v>
      </c>
      <c r="CF48" s="120">
        <v>0</v>
      </c>
      <c r="CG48" s="120">
        <v>0</v>
      </c>
      <c r="CH48" s="120">
        <v>0</v>
      </c>
      <c r="CI48" s="120">
        <v>11985.891940269899</v>
      </c>
      <c r="CJ48" s="120">
        <v>0</v>
      </c>
      <c r="CK48" s="120">
        <v>0</v>
      </c>
      <c r="CL48" s="120">
        <v>0</v>
      </c>
      <c r="CM48" s="120">
        <v>0</v>
      </c>
      <c r="CN48" s="120">
        <v>0</v>
      </c>
      <c r="CO48" s="120">
        <v>0</v>
      </c>
      <c r="CP48" s="120">
        <v>0</v>
      </c>
      <c r="CQ48" s="120">
        <v>0</v>
      </c>
      <c r="CR48" s="120">
        <v>0</v>
      </c>
      <c r="CS48" s="120">
        <v>0</v>
      </c>
      <c r="CT48" s="120">
        <v>0</v>
      </c>
      <c r="CU48" s="120">
        <v>0</v>
      </c>
      <c r="CV48" s="120">
        <v>0</v>
      </c>
      <c r="CW48" s="120">
        <v>0</v>
      </c>
      <c r="CX48" s="120">
        <v>0</v>
      </c>
      <c r="CY48" s="120">
        <v>0</v>
      </c>
      <c r="CZ48" s="120">
        <v>0</v>
      </c>
      <c r="DA48" s="120">
        <v>0</v>
      </c>
      <c r="DB48" s="120">
        <v>0</v>
      </c>
      <c r="DC48" s="120">
        <v>0</v>
      </c>
      <c r="DD48" s="120">
        <v>0</v>
      </c>
      <c r="DE48" s="120">
        <v>-286.91110534509602</v>
      </c>
      <c r="DF48" s="120">
        <v>-2257.4697616394892</v>
      </c>
      <c r="DG48" s="120">
        <v>0</v>
      </c>
      <c r="DH48" s="120">
        <v>0</v>
      </c>
      <c r="DI48" s="120">
        <v>0</v>
      </c>
      <c r="DJ48" s="120">
        <v>0</v>
      </c>
      <c r="DK48" s="120">
        <v>0</v>
      </c>
      <c r="DL48" s="120">
        <v>0</v>
      </c>
      <c r="DM48" s="120">
        <v>0</v>
      </c>
      <c r="DN48" s="120">
        <v>1772.8346582183519</v>
      </c>
      <c r="DO48" s="120">
        <v>-259.20162556739359</v>
      </c>
      <c r="DP48" s="120">
        <v>7653.8631945974312</v>
      </c>
      <c r="DQ48" s="120">
        <v>-1417.212901160111</v>
      </c>
      <c r="DR48" s="120">
        <v>-14579.58412476483</v>
      </c>
      <c r="DS48" s="120">
        <v>-337.72019138286828</v>
      </c>
      <c r="DT48" s="120">
        <v>-640.92409790729323</v>
      </c>
      <c r="DU48" s="120">
        <v>0</v>
      </c>
      <c r="DV48" s="120">
        <v>0</v>
      </c>
      <c r="DW48" s="120">
        <v>0</v>
      </c>
      <c r="DX48" s="120">
        <v>0</v>
      </c>
      <c r="DY48" s="120">
        <v>25.4358142052332</v>
      </c>
      <c r="DZ48" s="120">
        <v>-8.9697985017869701</v>
      </c>
      <c r="EA48" s="120">
        <v>0</v>
      </c>
      <c r="EB48" s="120">
        <v>17.18119993899284</v>
      </c>
      <c r="EC48" s="120">
        <v>-1.3287069287586759</v>
      </c>
      <c r="ED48" s="120">
        <f t="shared" si="0"/>
        <v>2485.782547718683</v>
      </c>
    </row>
    <row r="49" spans="1:134">
      <c r="A49" s="120">
        <v>48</v>
      </c>
      <c r="B49" s="120">
        <v>0</v>
      </c>
      <c r="C49" s="120">
        <v>0</v>
      </c>
      <c r="D49" s="120">
        <v>0</v>
      </c>
      <c r="E49" s="120">
        <v>0</v>
      </c>
      <c r="F49" s="120">
        <v>0</v>
      </c>
      <c r="G49" s="120">
        <v>0</v>
      </c>
      <c r="H49" s="120">
        <v>3209.3290309508911</v>
      </c>
      <c r="I49" s="120">
        <v>0</v>
      </c>
      <c r="J49" s="120">
        <v>0</v>
      </c>
      <c r="K49" s="120">
        <v>0</v>
      </c>
      <c r="L49" s="120">
        <v>0</v>
      </c>
      <c r="M49" s="120">
        <v>0</v>
      </c>
      <c r="N49" s="120">
        <v>0</v>
      </c>
      <c r="O49" s="120">
        <v>0</v>
      </c>
      <c r="P49" s="120">
        <v>0</v>
      </c>
      <c r="Q49" s="120">
        <v>0</v>
      </c>
      <c r="R49" s="120">
        <v>0</v>
      </c>
      <c r="S49" s="120">
        <v>0</v>
      </c>
      <c r="T49" s="120">
        <v>0</v>
      </c>
      <c r="U49" s="120">
        <v>0</v>
      </c>
      <c r="V49" s="120">
        <v>0</v>
      </c>
      <c r="W49" s="120">
        <v>0</v>
      </c>
      <c r="X49" s="120">
        <v>0</v>
      </c>
      <c r="Y49" s="120">
        <v>0</v>
      </c>
      <c r="Z49" s="120">
        <v>0</v>
      </c>
      <c r="AA49" s="120">
        <v>0</v>
      </c>
      <c r="AB49" s="120">
        <v>0</v>
      </c>
      <c r="AC49" s="120">
        <v>0</v>
      </c>
      <c r="AD49" s="120">
        <v>0</v>
      </c>
      <c r="AE49" s="120">
        <v>0</v>
      </c>
      <c r="AF49" s="120">
        <v>0</v>
      </c>
      <c r="AG49" s="120">
        <v>0</v>
      </c>
      <c r="AH49" s="120">
        <v>0</v>
      </c>
      <c r="AI49" s="120">
        <v>0</v>
      </c>
      <c r="AJ49" s="120">
        <v>0</v>
      </c>
      <c r="AK49" s="120">
        <v>0</v>
      </c>
      <c r="AL49" s="120">
        <v>0</v>
      </c>
      <c r="AM49" s="120">
        <v>0</v>
      </c>
      <c r="AN49" s="120">
        <v>0</v>
      </c>
      <c r="AO49" s="120">
        <v>0</v>
      </c>
      <c r="AP49" s="120">
        <v>0</v>
      </c>
      <c r="AQ49" s="120">
        <v>0</v>
      </c>
      <c r="AR49" s="120">
        <v>0</v>
      </c>
      <c r="AS49" s="120">
        <v>0</v>
      </c>
      <c r="AT49" s="120">
        <v>0</v>
      </c>
      <c r="AU49" s="120">
        <v>0</v>
      </c>
      <c r="AV49" s="120">
        <v>0</v>
      </c>
      <c r="AW49" s="120">
        <v>0</v>
      </c>
      <c r="AX49" s="120">
        <v>0</v>
      </c>
      <c r="AY49" s="120">
        <v>0</v>
      </c>
      <c r="AZ49" s="120">
        <v>0</v>
      </c>
      <c r="BA49" s="120">
        <v>0</v>
      </c>
      <c r="BB49" s="120">
        <v>0</v>
      </c>
      <c r="BC49" s="120">
        <v>0</v>
      </c>
      <c r="BD49" s="120">
        <v>0</v>
      </c>
      <c r="BE49" s="120">
        <v>0</v>
      </c>
      <c r="BF49" s="120">
        <v>0</v>
      </c>
      <c r="BG49" s="120">
        <v>0</v>
      </c>
      <c r="BH49" s="120">
        <v>0</v>
      </c>
      <c r="BI49" s="120">
        <v>0</v>
      </c>
      <c r="BJ49" s="120">
        <v>0</v>
      </c>
      <c r="BK49" s="120">
        <v>0</v>
      </c>
      <c r="BL49" s="120">
        <v>0</v>
      </c>
      <c r="BM49" s="120">
        <v>0</v>
      </c>
      <c r="BN49" s="120">
        <v>0</v>
      </c>
      <c r="BO49" s="120">
        <v>0</v>
      </c>
      <c r="BP49" s="120">
        <v>0</v>
      </c>
      <c r="BQ49" s="120">
        <v>0</v>
      </c>
      <c r="BR49" s="120">
        <v>0</v>
      </c>
      <c r="BS49" s="120">
        <v>0</v>
      </c>
      <c r="BT49" s="120">
        <v>0</v>
      </c>
      <c r="BU49" s="120">
        <v>0</v>
      </c>
      <c r="BV49" s="120">
        <v>0</v>
      </c>
      <c r="BW49" s="120">
        <v>0</v>
      </c>
      <c r="BX49" s="120">
        <v>0</v>
      </c>
      <c r="BY49" s="120">
        <v>0</v>
      </c>
      <c r="BZ49" s="120">
        <v>-19.311725549248791</v>
      </c>
      <c r="CA49" s="120">
        <v>-402.23231680614089</v>
      </c>
      <c r="CB49" s="120">
        <v>-2170.0077177403869</v>
      </c>
      <c r="CC49" s="120">
        <v>0</v>
      </c>
      <c r="CD49" s="120">
        <v>0</v>
      </c>
      <c r="CE49" s="120">
        <v>0</v>
      </c>
      <c r="CF49" s="120">
        <v>0</v>
      </c>
      <c r="CG49" s="120">
        <v>0</v>
      </c>
      <c r="CH49" s="120">
        <v>0</v>
      </c>
      <c r="CI49" s="120">
        <v>0</v>
      </c>
      <c r="CJ49" s="120">
        <v>0</v>
      </c>
      <c r="CK49" s="120">
        <v>0</v>
      </c>
      <c r="CL49" s="120">
        <v>0</v>
      </c>
      <c r="CM49" s="120">
        <v>0</v>
      </c>
      <c r="CN49" s="120">
        <v>0</v>
      </c>
      <c r="CO49" s="120">
        <v>0</v>
      </c>
      <c r="CP49" s="120">
        <v>0</v>
      </c>
      <c r="CQ49" s="120">
        <v>0</v>
      </c>
      <c r="CR49" s="120">
        <v>0</v>
      </c>
      <c r="CS49" s="120">
        <v>0</v>
      </c>
      <c r="CT49" s="120">
        <v>0</v>
      </c>
      <c r="CU49" s="120">
        <v>0</v>
      </c>
      <c r="CV49" s="120">
        <v>0</v>
      </c>
      <c r="CW49" s="120">
        <v>0</v>
      </c>
      <c r="CX49" s="120">
        <v>0</v>
      </c>
      <c r="CY49" s="120">
        <v>0</v>
      </c>
      <c r="CZ49" s="120">
        <v>0</v>
      </c>
      <c r="DA49" s="120">
        <v>0</v>
      </c>
      <c r="DB49" s="120">
        <v>0</v>
      </c>
      <c r="DC49" s="120">
        <v>0</v>
      </c>
      <c r="DD49" s="120">
        <v>0</v>
      </c>
      <c r="DE49" s="120">
        <v>0</v>
      </c>
      <c r="DF49" s="120">
        <v>0</v>
      </c>
      <c r="DG49" s="120">
        <v>0</v>
      </c>
      <c r="DH49" s="120">
        <v>0</v>
      </c>
      <c r="DI49" s="120">
        <v>0</v>
      </c>
      <c r="DJ49" s="120">
        <v>0</v>
      </c>
      <c r="DK49" s="120">
        <v>0</v>
      </c>
      <c r="DL49" s="120">
        <v>0</v>
      </c>
      <c r="DM49" s="120">
        <v>0</v>
      </c>
      <c r="DN49" s="120">
        <v>99.076198942888283</v>
      </c>
      <c r="DO49" s="120">
        <v>-185.5337951429766</v>
      </c>
      <c r="DP49" s="120">
        <v>5575.9310598162983</v>
      </c>
      <c r="DQ49" s="120">
        <v>-2729.810317113478</v>
      </c>
      <c r="DR49" s="120">
        <v>-6007.6170890253252</v>
      </c>
      <c r="DS49" s="120">
        <v>-197.89658753055659</v>
      </c>
      <c r="DT49" s="120">
        <v>-608.77478682300273</v>
      </c>
      <c r="DU49" s="120">
        <v>0</v>
      </c>
      <c r="DV49" s="120">
        <v>0</v>
      </c>
      <c r="DW49" s="120">
        <v>0</v>
      </c>
      <c r="DX49" s="120">
        <v>0</v>
      </c>
      <c r="DY49" s="120">
        <v>197.7373227598608</v>
      </c>
      <c r="DZ49" s="120">
        <v>-6.6751988850507677</v>
      </c>
      <c r="EA49" s="120">
        <v>0</v>
      </c>
      <c r="EB49" s="120">
        <v>0</v>
      </c>
      <c r="EC49" s="120">
        <v>0</v>
      </c>
      <c r="ED49" s="120">
        <f t="shared" si="0"/>
        <v>-3245.7859221462272</v>
      </c>
    </row>
    <row r="50" spans="1:134">
      <c r="A50" s="120">
        <v>49</v>
      </c>
      <c r="B50" s="120">
        <v>0</v>
      </c>
      <c r="C50" s="120">
        <v>0</v>
      </c>
      <c r="D50" s="120">
        <v>0</v>
      </c>
      <c r="E50" s="120">
        <v>0</v>
      </c>
      <c r="F50" s="120">
        <v>0</v>
      </c>
      <c r="G50" s="120">
        <v>0</v>
      </c>
      <c r="H50" s="120">
        <v>0</v>
      </c>
      <c r="I50" s="120">
        <v>0</v>
      </c>
      <c r="J50" s="120">
        <v>0</v>
      </c>
      <c r="K50" s="120">
        <v>0</v>
      </c>
      <c r="L50" s="120">
        <v>0</v>
      </c>
      <c r="M50" s="120">
        <v>0</v>
      </c>
      <c r="N50" s="120">
        <v>0</v>
      </c>
      <c r="O50" s="120">
        <v>0</v>
      </c>
      <c r="P50" s="120">
        <v>0</v>
      </c>
      <c r="Q50" s="120">
        <v>0</v>
      </c>
      <c r="R50" s="120">
        <v>0</v>
      </c>
      <c r="S50" s="120">
        <v>0</v>
      </c>
      <c r="T50" s="120">
        <v>0</v>
      </c>
      <c r="U50" s="120">
        <v>0</v>
      </c>
      <c r="V50" s="120">
        <v>0</v>
      </c>
      <c r="W50" s="120">
        <v>0</v>
      </c>
      <c r="X50" s="120">
        <v>0</v>
      </c>
      <c r="Y50" s="120">
        <v>0</v>
      </c>
      <c r="Z50" s="120">
        <v>0</v>
      </c>
      <c r="AA50" s="120">
        <v>0</v>
      </c>
      <c r="AB50" s="120">
        <v>0</v>
      </c>
      <c r="AC50" s="120">
        <v>0</v>
      </c>
      <c r="AD50" s="120">
        <v>0</v>
      </c>
      <c r="AE50" s="120">
        <v>0</v>
      </c>
      <c r="AF50" s="120">
        <v>0</v>
      </c>
      <c r="AG50" s="120">
        <v>0</v>
      </c>
      <c r="AH50" s="120">
        <v>0</v>
      </c>
      <c r="AI50" s="120">
        <v>0</v>
      </c>
      <c r="AJ50" s="120">
        <v>0</v>
      </c>
      <c r="AK50" s="120">
        <v>0</v>
      </c>
      <c r="AL50" s="120">
        <v>0</v>
      </c>
      <c r="AM50" s="120">
        <v>0</v>
      </c>
      <c r="AN50" s="120">
        <v>0</v>
      </c>
      <c r="AO50" s="120">
        <v>0</v>
      </c>
      <c r="AP50" s="120">
        <v>0</v>
      </c>
      <c r="AQ50" s="120">
        <v>0</v>
      </c>
      <c r="AR50" s="120">
        <v>0</v>
      </c>
      <c r="AS50" s="120">
        <v>0</v>
      </c>
      <c r="AT50" s="120">
        <v>0</v>
      </c>
      <c r="AU50" s="120">
        <v>0</v>
      </c>
      <c r="AV50" s="120">
        <v>0</v>
      </c>
      <c r="AW50" s="120">
        <v>0</v>
      </c>
      <c r="AX50" s="120">
        <v>0</v>
      </c>
      <c r="AY50" s="120">
        <v>0</v>
      </c>
      <c r="AZ50" s="120">
        <v>0</v>
      </c>
      <c r="BA50" s="120">
        <v>0</v>
      </c>
      <c r="BB50" s="120">
        <v>0</v>
      </c>
      <c r="BC50" s="120">
        <v>0</v>
      </c>
      <c r="BD50" s="120">
        <v>0</v>
      </c>
      <c r="BE50" s="120">
        <v>0</v>
      </c>
      <c r="BF50" s="120">
        <v>0</v>
      </c>
      <c r="BG50" s="120">
        <v>0</v>
      </c>
      <c r="BH50" s="120">
        <v>0</v>
      </c>
      <c r="BI50" s="120">
        <v>0</v>
      </c>
      <c r="BJ50" s="120">
        <v>0</v>
      </c>
      <c r="BK50" s="120">
        <v>0</v>
      </c>
      <c r="BL50" s="120">
        <v>0</v>
      </c>
      <c r="BM50" s="120">
        <v>0</v>
      </c>
      <c r="BN50" s="120">
        <v>0</v>
      </c>
      <c r="BO50" s="120">
        <v>0</v>
      </c>
      <c r="BP50" s="120">
        <v>0</v>
      </c>
      <c r="BQ50" s="120">
        <v>0</v>
      </c>
      <c r="BR50" s="120">
        <v>0</v>
      </c>
      <c r="BS50" s="120">
        <v>0</v>
      </c>
      <c r="BT50" s="120">
        <v>0</v>
      </c>
      <c r="BU50" s="120">
        <v>0</v>
      </c>
      <c r="BV50" s="120">
        <v>0</v>
      </c>
      <c r="BW50" s="120">
        <v>0</v>
      </c>
      <c r="BX50" s="120">
        <v>0</v>
      </c>
      <c r="BY50" s="120">
        <v>0</v>
      </c>
      <c r="BZ50" s="120">
        <v>0</v>
      </c>
      <c r="CA50" s="120">
        <v>0</v>
      </c>
      <c r="CB50" s="120">
        <v>0</v>
      </c>
      <c r="CC50" s="120">
        <v>0</v>
      </c>
      <c r="CD50" s="120">
        <v>0</v>
      </c>
      <c r="CE50" s="120">
        <v>0</v>
      </c>
      <c r="CF50" s="120">
        <v>0</v>
      </c>
      <c r="CG50" s="120">
        <v>0</v>
      </c>
      <c r="CH50" s="120">
        <v>0</v>
      </c>
      <c r="CI50" s="120">
        <v>0</v>
      </c>
      <c r="CJ50" s="120">
        <v>0</v>
      </c>
      <c r="CK50" s="120">
        <v>0</v>
      </c>
      <c r="CL50" s="120">
        <v>0</v>
      </c>
      <c r="CM50" s="120">
        <v>0</v>
      </c>
      <c r="CN50" s="120">
        <v>0</v>
      </c>
      <c r="CO50" s="120">
        <v>0</v>
      </c>
      <c r="CP50" s="120">
        <v>0</v>
      </c>
      <c r="CQ50" s="120">
        <v>0</v>
      </c>
      <c r="CR50" s="120">
        <v>0</v>
      </c>
      <c r="CS50" s="120">
        <v>0</v>
      </c>
      <c r="CT50" s="120">
        <v>0</v>
      </c>
      <c r="CU50" s="120">
        <v>0</v>
      </c>
      <c r="CV50" s="120">
        <v>0</v>
      </c>
      <c r="CW50" s="120">
        <v>0</v>
      </c>
      <c r="CX50" s="120">
        <v>0</v>
      </c>
      <c r="CY50" s="120">
        <v>0</v>
      </c>
      <c r="CZ50" s="120">
        <v>0</v>
      </c>
      <c r="DA50" s="120">
        <v>0</v>
      </c>
      <c r="DB50" s="120">
        <v>0</v>
      </c>
      <c r="DC50" s="120">
        <v>0</v>
      </c>
      <c r="DD50" s="120">
        <v>0</v>
      </c>
      <c r="DE50" s="120">
        <v>0</v>
      </c>
      <c r="DF50" s="120">
        <v>0</v>
      </c>
      <c r="DG50" s="120">
        <v>0</v>
      </c>
      <c r="DH50" s="120">
        <v>0</v>
      </c>
      <c r="DI50" s="120">
        <v>0</v>
      </c>
      <c r="DJ50" s="120">
        <v>0</v>
      </c>
      <c r="DK50" s="120">
        <v>0</v>
      </c>
      <c r="DL50" s="120">
        <v>0</v>
      </c>
      <c r="DM50" s="120">
        <v>0</v>
      </c>
      <c r="DN50" s="120">
        <v>210.75340811739099</v>
      </c>
      <c r="DO50" s="120">
        <v>-8.1853144916019041</v>
      </c>
      <c r="DP50" s="120">
        <v>218.40587851251269</v>
      </c>
      <c r="DQ50" s="120">
        <v>0</v>
      </c>
      <c r="DR50" s="120">
        <v>0</v>
      </c>
      <c r="DS50" s="120">
        <v>0</v>
      </c>
      <c r="DT50" s="120">
        <v>0</v>
      </c>
      <c r="DU50" s="120">
        <v>0</v>
      </c>
      <c r="DV50" s="120">
        <v>0</v>
      </c>
      <c r="DW50" s="120">
        <v>0</v>
      </c>
      <c r="DX50" s="120">
        <v>0</v>
      </c>
      <c r="DY50" s="120">
        <v>0</v>
      </c>
      <c r="DZ50" s="120">
        <v>0</v>
      </c>
      <c r="EA50" s="120">
        <v>0</v>
      </c>
      <c r="EB50" s="120">
        <v>0</v>
      </c>
      <c r="EC50" s="120">
        <v>0</v>
      </c>
      <c r="ED50" s="120">
        <f t="shared" si="0"/>
        <v>420.97397213830175</v>
      </c>
    </row>
    <row r="51" spans="1:134">
      <c r="A51" s="120">
        <v>50</v>
      </c>
      <c r="B51" s="120">
        <v>0</v>
      </c>
      <c r="C51" s="120">
        <v>0</v>
      </c>
      <c r="D51" s="120">
        <v>0</v>
      </c>
      <c r="E51" s="120">
        <v>0</v>
      </c>
      <c r="F51" s="120">
        <v>16539.02312212719</v>
      </c>
      <c r="G51" s="120">
        <v>0</v>
      </c>
      <c r="H51" s="120">
        <v>31134.640520282279</v>
      </c>
      <c r="I51" s="120">
        <v>0</v>
      </c>
      <c r="J51" s="120">
        <v>0</v>
      </c>
      <c r="K51" s="120">
        <v>0</v>
      </c>
      <c r="L51" s="120">
        <v>0</v>
      </c>
      <c r="M51" s="120">
        <v>0</v>
      </c>
      <c r="N51" s="120">
        <v>0</v>
      </c>
      <c r="O51" s="120">
        <v>0</v>
      </c>
      <c r="P51" s="120">
        <v>0</v>
      </c>
      <c r="Q51" s="120">
        <v>0</v>
      </c>
      <c r="R51" s="120">
        <v>0</v>
      </c>
      <c r="S51" s="120">
        <v>0</v>
      </c>
      <c r="T51" s="120">
        <v>0</v>
      </c>
      <c r="U51" s="120">
        <v>0</v>
      </c>
      <c r="V51" s="120">
        <v>0</v>
      </c>
      <c r="W51" s="120">
        <v>0</v>
      </c>
      <c r="X51" s="120">
        <v>0</v>
      </c>
      <c r="Y51" s="120">
        <v>0</v>
      </c>
      <c r="Z51" s="120">
        <v>0</v>
      </c>
      <c r="AA51" s="120">
        <v>0</v>
      </c>
      <c r="AB51" s="120">
        <v>0</v>
      </c>
      <c r="AC51" s="120">
        <v>0</v>
      </c>
      <c r="AD51" s="120">
        <v>0</v>
      </c>
      <c r="AE51" s="120">
        <v>743.01097809896839</v>
      </c>
      <c r="AF51" s="120">
        <v>0</v>
      </c>
      <c r="AG51" s="120">
        <v>0</v>
      </c>
      <c r="AH51" s="120">
        <v>0</v>
      </c>
      <c r="AI51" s="120">
        <v>0</v>
      </c>
      <c r="AJ51" s="120">
        <v>0</v>
      </c>
      <c r="AK51" s="120">
        <v>0</v>
      </c>
      <c r="AL51" s="120">
        <v>0</v>
      </c>
      <c r="AM51" s="120">
        <v>0</v>
      </c>
      <c r="AN51" s="120">
        <v>0</v>
      </c>
      <c r="AO51" s="120">
        <v>0</v>
      </c>
      <c r="AP51" s="120">
        <v>0</v>
      </c>
      <c r="AQ51" s="120">
        <v>0</v>
      </c>
      <c r="AR51" s="120">
        <v>0</v>
      </c>
      <c r="AS51" s="120">
        <v>0</v>
      </c>
      <c r="AT51" s="120">
        <v>0</v>
      </c>
      <c r="AU51" s="120">
        <v>0</v>
      </c>
      <c r="AV51" s="120">
        <v>0</v>
      </c>
      <c r="AW51" s="120">
        <v>0</v>
      </c>
      <c r="AX51" s="120">
        <v>0</v>
      </c>
      <c r="AY51" s="120">
        <v>0</v>
      </c>
      <c r="AZ51" s="120">
        <v>0</v>
      </c>
      <c r="BA51" s="120">
        <v>0</v>
      </c>
      <c r="BB51" s="120">
        <v>0</v>
      </c>
      <c r="BC51" s="120">
        <v>0</v>
      </c>
      <c r="BD51" s="120">
        <v>0</v>
      </c>
      <c r="BE51" s="120">
        <v>0</v>
      </c>
      <c r="BF51" s="120">
        <v>0</v>
      </c>
      <c r="BG51" s="120">
        <v>0</v>
      </c>
      <c r="BH51" s="120">
        <v>0</v>
      </c>
      <c r="BI51" s="120">
        <v>0</v>
      </c>
      <c r="BJ51" s="120">
        <v>0</v>
      </c>
      <c r="BK51" s="120">
        <v>0</v>
      </c>
      <c r="BL51" s="120">
        <v>0</v>
      </c>
      <c r="BM51" s="120">
        <v>0</v>
      </c>
      <c r="BN51" s="120">
        <v>0</v>
      </c>
      <c r="BO51" s="120">
        <v>0</v>
      </c>
      <c r="BP51" s="120">
        <v>0</v>
      </c>
      <c r="BQ51" s="120">
        <v>0</v>
      </c>
      <c r="BR51" s="120">
        <v>0</v>
      </c>
      <c r="BS51" s="120">
        <v>0</v>
      </c>
      <c r="BT51" s="120">
        <v>0</v>
      </c>
      <c r="BU51" s="120">
        <v>0</v>
      </c>
      <c r="BV51" s="120">
        <v>0</v>
      </c>
      <c r="BW51" s="120">
        <v>0</v>
      </c>
      <c r="BX51" s="120">
        <v>0</v>
      </c>
      <c r="BY51" s="120">
        <v>0</v>
      </c>
      <c r="BZ51" s="120">
        <v>-459.18977117629458</v>
      </c>
      <c r="CA51" s="120">
        <v>-5913.7636927794338</v>
      </c>
      <c r="CB51" s="120">
        <v>-27444.530237061939</v>
      </c>
      <c r="CC51" s="120">
        <v>0</v>
      </c>
      <c r="CD51" s="120">
        <v>0</v>
      </c>
      <c r="CE51" s="120">
        <v>0</v>
      </c>
      <c r="CF51" s="120">
        <v>0</v>
      </c>
      <c r="CG51" s="120">
        <v>0</v>
      </c>
      <c r="CH51" s="120">
        <v>0</v>
      </c>
      <c r="CI51" s="120">
        <v>56.055360867751347</v>
      </c>
      <c r="CJ51" s="120">
        <v>0</v>
      </c>
      <c r="CK51" s="120">
        <v>0</v>
      </c>
      <c r="CL51" s="120">
        <v>44604.884728534424</v>
      </c>
      <c r="CM51" s="120">
        <v>105870.29743364771</v>
      </c>
      <c r="CN51" s="120">
        <v>0</v>
      </c>
      <c r="CO51" s="120">
        <v>0</v>
      </c>
      <c r="CP51" s="120">
        <v>0</v>
      </c>
      <c r="CQ51" s="120">
        <v>0</v>
      </c>
      <c r="CR51" s="120">
        <v>0</v>
      </c>
      <c r="CS51" s="120">
        <v>0</v>
      </c>
      <c r="CT51" s="120">
        <v>0</v>
      </c>
      <c r="CU51" s="120">
        <v>0</v>
      </c>
      <c r="CV51" s="120">
        <v>0</v>
      </c>
      <c r="CW51" s="120">
        <v>36144.586034912718</v>
      </c>
      <c r="CX51" s="120">
        <v>64627.046006378521</v>
      </c>
      <c r="CY51" s="120">
        <v>28099.938364737329</v>
      </c>
      <c r="CZ51" s="120">
        <v>18419.39757445209</v>
      </c>
      <c r="DA51" s="120">
        <v>0</v>
      </c>
      <c r="DB51" s="120">
        <v>39984.974752093382</v>
      </c>
      <c r="DC51" s="120">
        <v>0</v>
      </c>
      <c r="DD51" s="120">
        <v>0</v>
      </c>
      <c r="DE51" s="120">
        <v>-7361.0866381660744</v>
      </c>
      <c r="DF51" s="120">
        <v>-68912.651735211461</v>
      </c>
      <c r="DG51" s="120">
        <v>-28253.70944854656</v>
      </c>
      <c r="DH51" s="120">
        <v>0</v>
      </c>
      <c r="DI51" s="120">
        <v>0</v>
      </c>
      <c r="DJ51" s="120">
        <v>0</v>
      </c>
      <c r="DK51" s="120">
        <v>0</v>
      </c>
      <c r="DL51" s="120">
        <v>0</v>
      </c>
      <c r="DM51" s="120">
        <v>0</v>
      </c>
      <c r="DN51" s="120">
        <v>8062.471541453654</v>
      </c>
      <c r="DO51" s="120">
        <v>-2260.839486402092</v>
      </c>
      <c r="DP51" s="120">
        <v>102993.38006942951</v>
      </c>
      <c r="DQ51" s="120">
        <v>-27004.051794510659</v>
      </c>
      <c r="DR51" s="120">
        <v>-153901.10061439409</v>
      </c>
      <c r="DS51" s="120">
        <v>-1789.7941514551439</v>
      </c>
      <c r="DT51" s="120">
        <v>-5738.5622513570916</v>
      </c>
      <c r="DU51" s="120">
        <v>0</v>
      </c>
      <c r="DV51" s="120">
        <v>1846.909401181078</v>
      </c>
      <c r="DW51" s="120">
        <v>-464.64913351232627</v>
      </c>
      <c r="DX51" s="120">
        <v>0</v>
      </c>
      <c r="DY51" s="120">
        <v>51.87050555742384</v>
      </c>
      <c r="DZ51" s="120">
        <v>-11.39236409862739</v>
      </c>
      <c r="EA51" s="120">
        <v>0</v>
      </c>
      <c r="EB51" s="120">
        <v>11650.343812015941</v>
      </c>
      <c r="EC51" s="120">
        <v>-2667.7200954394089</v>
      </c>
      <c r="ED51" s="120">
        <f t="shared" si="0"/>
        <v>178645.78879165876</v>
      </c>
    </row>
    <row r="52" spans="1:134" ht="16.5" customHeight="1">
      <c r="A52" s="120">
        <v>51</v>
      </c>
      <c r="B52" s="120">
        <v>0</v>
      </c>
      <c r="C52" s="120">
        <v>0</v>
      </c>
      <c r="D52" s="120">
        <v>1.0664161941045309</v>
      </c>
      <c r="E52" s="120">
        <v>0</v>
      </c>
      <c r="F52" s="120">
        <v>0</v>
      </c>
      <c r="G52" s="120">
        <v>0</v>
      </c>
      <c r="H52" s="120">
        <v>0</v>
      </c>
      <c r="I52" s="120">
        <v>2381.5238512647888</v>
      </c>
      <c r="J52" s="120">
        <v>0</v>
      </c>
      <c r="K52" s="120">
        <v>0</v>
      </c>
      <c r="L52" s="120">
        <v>0</v>
      </c>
      <c r="M52" s="120">
        <v>0</v>
      </c>
      <c r="N52" s="120">
        <v>0</v>
      </c>
      <c r="O52" s="120">
        <v>0</v>
      </c>
      <c r="P52" s="120">
        <v>0</v>
      </c>
      <c r="Q52" s="120">
        <v>0</v>
      </c>
      <c r="R52" s="120">
        <v>0</v>
      </c>
      <c r="S52" s="120">
        <v>0</v>
      </c>
      <c r="T52" s="120">
        <v>0</v>
      </c>
      <c r="U52" s="120">
        <v>0</v>
      </c>
      <c r="V52" s="120">
        <v>0</v>
      </c>
      <c r="W52" s="120">
        <v>0</v>
      </c>
      <c r="X52" s="120">
        <v>0</v>
      </c>
      <c r="Y52" s="120">
        <v>0</v>
      </c>
      <c r="Z52" s="120">
        <v>0</v>
      </c>
      <c r="AA52" s="120">
        <v>0</v>
      </c>
      <c r="AB52" s="120">
        <v>0</v>
      </c>
      <c r="AC52" s="120">
        <v>0</v>
      </c>
      <c r="AD52" s="120">
        <v>0</v>
      </c>
      <c r="AE52" s="120">
        <v>0</v>
      </c>
      <c r="AF52" s="120">
        <v>0</v>
      </c>
      <c r="AG52" s="120">
        <v>0</v>
      </c>
      <c r="AH52" s="120">
        <v>0</v>
      </c>
      <c r="AI52" s="120">
        <v>0</v>
      </c>
      <c r="AJ52" s="120">
        <v>0</v>
      </c>
      <c r="AK52" s="120">
        <v>0</v>
      </c>
      <c r="AL52" s="120">
        <v>0</v>
      </c>
      <c r="AM52" s="120">
        <v>0</v>
      </c>
      <c r="AN52" s="120">
        <v>0</v>
      </c>
      <c r="AO52" s="120">
        <v>0</v>
      </c>
      <c r="AP52" s="120">
        <v>0</v>
      </c>
      <c r="AQ52" s="120">
        <v>0</v>
      </c>
      <c r="AR52" s="120">
        <v>0</v>
      </c>
      <c r="AS52" s="120">
        <v>0</v>
      </c>
      <c r="AT52" s="120">
        <v>0</v>
      </c>
      <c r="AU52" s="120">
        <v>0</v>
      </c>
      <c r="AV52" s="120">
        <v>0</v>
      </c>
      <c r="AW52" s="120">
        <v>0</v>
      </c>
      <c r="AX52" s="120">
        <v>0</v>
      </c>
      <c r="AY52" s="120">
        <v>0</v>
      </c>
      <c r="AZ52" s="120">
        <v>0</v>
      </c>
      <c r="BA52" s="120">
        <v>0</v>
      </c>
      <c r="BB52" s="120">
        <v>0</v>
      </c>
      <c r="BC52" s="120">
        <v>0</v>
      </c>
      <c r="BD52" s="120">
        <v>0</v>
      </c>
      <c r="BE52" s="120">
        <v>0</v>
      </c>
      <c r="BF52" s="120">
        <v>0</v>
      </c>
      <c r="BG52" s="120">
        <v>0</v>
      </c>
      <c r="BH52" s="120">
        <v>0</v>
      </c>
      <c r="BI52" s="120">
        <v>0</v>
      </c>
      <c r="BJ52" s="120">
        <v>0</v>
      </c>
      <c r="BK52" s="120">
        <v>0</v>
      </c>
      <c r="BL52" s="120">
        <v>0</v>
      </c>
      <c r="BM52" s="120">
        <v>0</v>
      </c>
      <c r="BN52" s="120">
        <v>0</v>
      </c>
      <c r="BO52" s="120">
        <v>0</v>
      </c>
      <c r="BP52" s="120">
        <v>0</v>
      </c>
      <c r="BQ52" s="120">
        <v>0</v>
      </c>
      <c r="BR52" s="120">
        <v>0</v>
      </c>
      <c r="BS52" s="120">
        <v>0</v>
      </c>
      <c r="BT52" s="120">
        <v>0</v>
      </c>
      <c r="BU52" s="120">
        <v>0</v>
      </c>
      <c r="BV52" s="120">
        <v>0</v>
      </c>
      <c r="BW52" s="120">
        <v>0</v>
      </c>
      <c r="BX52" s="120">
        <v>0</v>
      </c>
      <c r="BY52" s="120">
        <v>0</v>
      </c>
      <c r="BZ52" s="120">
        <v>-29.889125219018371</v>
      </c>
      <c r="CA52" s="120">
        <v>-909.48338166441624</v>
      </c>
      <c r="CB52" s="120">
        <v>-497.44044114509148</v>
      </c>
      <c r="CC52" s="120">
        <v>0</v>
      </c>
      <c r="CD52" s="120">
        <v>0</v>
      </c>
      <c r="CE52" s="120">
        <v>0</v>
      </c>
      <c r="CF52" s="120">
        <v>0</v>
      </c>
      <c r="CG52" s="120">
        <v>8766.0789896178958</v>
      </c>
      <c r="CH52" s="120">
        <v>3431.3355037077231</v>
      </c>
      <c r="CI52" s="120">
        <v>0</v>
      </c>
      <c r="CJ52" s="120">
        <v>0</v>
      </c>
      <c r="CK52" s="120">
        <v>0</v>
      </c>
      <c r="CL52" s="120">
        <v>1494.761693002012</v>
      </c>
      <c r="CM52" s="120">
        <v>0</v>
      </c>
      <c r="CN52" s="120">
        <v>0</v>
      </c>
      <c r="CO52" s="120">
        <v>0</v>
      </c>
      <c r="CP52" s="120">
        <v>0</v>
      </c>
      <c r="CQ52" s="120">
        <v>0</v>
      </c>
      <c r="CR52" s="120">
        <v>0</v>
      </c>
      <c r="CS52" s="120">
        <v>0</v>
      </c>
      <c r="CT52" s="120">
        <v>0</v>
      </c>
      <c r="CU52" s="120">
        <v>0</v>
      </c>
      <c r="CV52" s="120">
        <v>0</v>
      </c>
      <c r="CW52" s="120">
        <v>0</v>
      </c>
      <c r="CX52" s="120">
        <v>0</v>
      </c>
      <c r="CY52" s="120">
        <v>0</v>
      </c>
      <c r="CZ52" s="120">
        <v>18635.295069219981</v>
      </c>
      <c r="DA52" s="120">
        <v>0</v>
      </c>
      <c r="DB52" s="120">
        <v>166.84280959526441</v>
      </c>
      <c r="DC52" s="120">
        <v>0</v>
      </c>
      <c r="DD52" s="120">
        <v>0</v>
      </c>
      <c r="DE52" s="120">
        <v>-708.32553225629556</v>
      </c>
      <c r="DF52" s="120">
        <v>-7476.2705402356087</v>
      </c>
      <c r="DG52" s="120">
        <v>-3182.2092379150831</v>
      </c>
      <c r="DH52" s="120">
        <v>0</v>
      </c>
      <c r="DI52" s="120">
        <v>0</v>
      </c>
      <c r="DJ52" s="120">
        <v>0</v>
      </c>
      <c r="DK52" s="120">
        <v>0</v>
      </c>
      <c r="DL52" s="120">
        <v>0</v>
      </c>
      <c r="DM52" s="120">
        <v>0</v>
      </c>
      <c r="DN52" s="120">
        <v>1424.6078033424001</v>
      </c>
      <c r="DO52" s="120">
        <v>-498.80140104693658</v>
      </c>
      <c r="DP52" s="120">
        <v>8357.5861802776672</v>
      </c>
      <c r="DQ52" s="120">
        <v>-2402.4745485536901</v>
      </c>
      <c r="DR52" s="120">
        <v>-17954.43151876804</v>
      </c>
      <c r="DS52" s="120">
        <v>-97.444797666549107</v>
      </c>
      <c r="DT52" s="120">
        <v>-603.5588520074906</v>
      </c>
      <c r="DU52" s="120">
        <v>0</v>
      </c>
      <c r="DV52" s="120">
        <v>1294.21487142465</v>
      </c>
      <c r="DW52" s="120">
        <v>-395.10980740844047</v>
      </c>
      <c r="DX52" s="120">
        <v>0</v>
      </c>
      <c r="DY52" s="120">
        <v>5.0270974549045144</v>
      </c>
      <c r="DZ52" s="120">
        <v>-1.1624861325129989</v>
      </c>
      <c r="EA52" s="120">
        <v>0</v>
      </c>
      <c r="EB52" s="120">
        <v>973.60996617540502</v>
      </c>
      <c r="EC52" s="120">
        <v>-257.30781408340192</v>
      </c>
      <c r="ED52" s="120">
        <f t="shared" si="0"/>
        <v>11918.04076717422</v>
      </c>
    </row>
    <row r="53" spans="1:134">
      <c r="A53" s="120">
        <v>52</v>
      </c>
      <c r="B53" s="120">
        <v>0</v>
      </c>
      <c r="C53" s="120">
        <v>0</v>
      </c>
      <c r="D53" s="120">
        <v>0</v>
      </c>
      <c r="E53" s="120">
        <v>0</v>
      </c>
      <c r="F53" s="120">
        <v>0</v>
      </c>
      <c r="G53" s="120">
        <v>0</v>
      </c>
      <c r="H53" s="120">
        <v>871.27513634232628</v>
      </c>
      <c r="I53" s="120">
        <v>0</v>
      </c>
      <c r="J53" s="120">
        <v>0</v>
      </c>
      <c r="K53" s="120">
        <v>0</v>
      </c>
      <c r="L53" s="120">
        <v>0</v>
      </c>
      <c r="M53" s="120">
        <v>0</v>
      </c>
      <c r="N53" s="120">
        <v>0</v>
      </c>
      <c r="O53" s="120">
        <v>0</v>
      </c>
      <c r="P53" s="120">
        <v>0</v>
      </c>
      <c r="Q53" s="120">
        <v>0</v>
      </c>
      <c r="R53" s="120">
        <v>0</v>
      </c>
      <c r="S53" s="120">
        <v>0</v>
      </c>
      <c r="T53" s="120">
        <v>0</v>
      </c>
      <c r="U53" s="120">
        <v>0</v>
      </c>
      <c r="V53" s="120">
        <v>0</v>
      </c>
      <c r="W53" s="120">
        <v>0</v>
      </c>
      <c r="X53" s="120">
        <v>0</v>
      </c>
      <c r="Y53" s="120">
        <v>0</v>
      </c>
      <c r="Z53" s="120">
        <v>0</v>
      </c>
      <c r="AA53" s="120">
        <v>0</v>
      </c>
      <c r="AB53" s="120">
        <v>0</v>
      </c>
      <c r="AC53" s="120">
        <v>0</v>
      </c>
      <c r="AD53" s="120">
        <v>0</v>
      </c>
      <c r="AE53" s="120">
        <v>0</v>
      </c>
      <c r="AF53" s="120">
        <v>0</v>
      </c>
      <c r="AG53" s="120">
        <v>0</v>
      </c>
      <c r="AH53" s="120">
        <v>0</v>
      </c>
      <c r="AI53" s="120">
        <v>0</v>
      </c>
      <c r="AJ53" s="120">
        <v>0</v>
      </c>
      <c r="AK53" s="120">
        <v>0</v>
      </c>
      <c r="AL53" s="120">
        <v>0</v>
      </c>
      <c r="AM53" s="120">
        <v>0</v>
      </c>
      <c r="AN53" s="120">
        <v>0</v>
      </c>
      <c r="AO53" s="120">
        <v>0</v>
      </c>
      <c r="AP53" s="120">
        <v>0</v>
      </c>
      <c r="AQ53" s="120">
        <v>0</v>
      </c>
      <c r="AR53" s="120">
        <v>0</v>
      </c>
      <c r="AS53" s="120">
        <v>0</v>
      </c>
      <c r="AT53" s="120">
        <v>0</v>
      </c>
      <c r="AU53" s="120">
        <v>0</v>
      </c>
      <c r="AV53" s="120">
        <v>0</v>
      </c>
      <c r="AW53" s="120">
        <v>0</v>
      </c>
      <c r="AX53" s="120">
        <v>0</v>
      </c>
      <c r="AY53" s="120">
        <v>0</v>
      </c>
      <c r="AZ53" s="120">
        <v>0</v>
      </c>
      <c r="BA53" s="120">
        <v>0</v>
      </c>
      <c r="BB53" s="120">
        <v>0</v>
      </c>
      <c r="BC53" s="120">
        <v>0</v>
      </c>
      <c r="BD53" s="120">
        <v>0</v>
      </c>
      <c r="BE53" s="120">
        <v>0</v>
      </c>
      <c r="BF53" s="120">
        <v>0</v>
      </c>
      <c r="BG53" s="120">
        <v>0</v>
      </c>
      <c r="BH53" s="120">
        <v>0</v>
      </c>
      <c r="BI53" s="120">
        <v>0</v>
      </c>
      <c r="BJ53" s="120">
        <v>0</v>
      </c>
      <c r="BK53" s="120">
        <v>0</v>
      </c>
      <c r="BL53" s="120">
        <v>0</v>
      </c>
      <c r="BM53" s="120">
        <v>0</v>
      </c>
      <c r="BN53" s="120">
        <v>0</v>
      </c>
      <c r="BO53" s="120">
        <v>0</v>
      </c>
      <c r="BP53" s="120">
        <v>0</v>
      </c>
      <c r="BQ53" s="120">
        <v>0</v>
      </c>
      <c r="BR53" s="120">
        <v>0</v>
      </c>
      <c r="BS53" s="120">
        <v>0</v>
      </c>
      <c r="BT53" s="120">
        <v>0</v>
      </c>
      <c r="BU53" s="120">
        <v>0</v>
      </c>
      <c r="BV53" s="120">
        <v>0</v>
      </c>
      <c r="BW53" s="120">
        <v>0</v>
      </c>
      <c r="BX53" s="120">
        <v>0</v>
      </c>
      <c r="BY53" s="120">
        <v>0</v>
      </c>
      <c r="BZ53" s="120">
        <v>-6.1132416851096689</v>
      </c>
      <c r="CA53" s="120">
        <v>-33.405526226857482</v>
      </c>
      <c r="CB53" s="120">
        <v>-645.89569308075602</v>
      </c>
      <c r="CC53" s="120">
        <v>0</v>
      </c>
      <c r="CD53" s="120">
        <v>0</v>
      </c>
      <c r="CE53" s="120">
        <v>0</v>
      </c>
      <c r="CF53" s="120">
        <v>0</v>
      </c>
      <c r="CG53" s="120">
        <v>0</v>
      </c>
      <c r="CH53" s="120">
        <v>0</v>
      </c>
      <c r="CI53" s="120">
        <v>0</v>
      </c>
      <c r="CJ53" s="120">
        <v>0</v>
      </c>
      <c r="CK53" s="120">
        <v>34503.446516439282</v>
      </c>
      <c r="CL53" s="120">
        <v>0</v>
      </c>
      <c r="CM53" s="120">
        <v>0</v>
      </c>
      <c r="CN53" s="120">
        <v>0</v>
      </c>
      <c r="CO53" s="120">
        <v>0</v>
      </c>
      <c r="CP53" s="120">
        <v>0</v>
      </c>
      <c r="CQ53" s="120">
        <v>0</v>
      </c>
      <c r="CR53" s="120">
        <v>0</v>
      </c>
      <c r="CS53" s="120">
        <v>0</v>
      </c>
      <c r="CT53" s="120">
        <v>0</v>
      </c>
      <c r="CU53" s="120">
        <v>0</v>
      </c>
      <c r="CV53" s="120">
        <v>0</v>
      </c>
      <c r="CW53" s="120">
        <v>0</v>
      </c>
      <c r="CX53" s="120">
        <v>0</v>
      </c>
      <c r="CY53" s="120">
        <v>0</v>
      </c>
      <c r="CZ53" s="120">
        <v>0</v>
      </c>
      <c r="DA53" s="120">
        <v>0</v>
      </c>
      <c r="DB53" s="120">
        <v>0</v>
      </c>
      <c r="DC53" s="120">
        <v>0</v>
      </c>
      <c r="DD53" s="120">
        <v>0</v>
      </c>
      <c r="DE53" s="120">
        <v>-878.08625027957942</v>
      </c>
      <c r="DF53" s="120">
        <v>-5496.3561842988147</v>
      </c>
      <c r="DG53" s="120">
        <v>0</v>
      </c>
      <c r="DH53" s="120">
        <v>0</v>
      </c>
      <c r="DI53" s="120">
        <v>0</v>
      </c>
      <c r="DJ53" s="120">
        <v>0</v>
      </c>
      <c r="DK53" s="120">
        <v>0</v>
      </c>
      <c r="DL53" s="120">
        <v>0</v>
      </c>
      <c r="DM53" s="120">
        <v>0</v>
      </c>
      <c r="DN53" s="120">
        <v>772.95081149629436</v>
      </c>
      <c r="DO53" s="120">
        <v>-94.447602565100496</v>
      </c>
      <c r="DP53" s="120">
        <v>7438.7999372599916</v>
      </c>
      <c r="DQ53" s="120">
        <v>-1416.805844536922</v>
      </c>
      <c r="DR53" s="120">
        <v>-19776.746946308758</v>
      </c>
      <c r="DS53" s="120">
        <v>-143.7230157013509</v>
      </c>
      <c r="DT53" s="120">
        <v>-812.62752017971138</v>
      </c>
      <c r="DU53" s="120">
        <v>0</v>
      </c>
      <c r="DV53" s="120">
        <v>4.1348717936889781</v>
      </c>
      <c r="DW53" s="120">
        <v>-1.5804392296337619</v>
      </c>
      <c r="DX53" s="120">
        <v>0</v>
      </c>
      <c r="DY53" s="120">
        <v>18.508858811239339</v>
      </c>
      <c r="DZ53" s="120">
        <v>-3.2549611710363968</v>
      </c>
      <c r="EA53" s="120">
        <v>0</v>
      </c>
      <c r="EB53" s="120">
        <v>531.73448618385794</v>
      </c>
      <c r="EC53" s="120">
        <v>-83.551100550070174</v>
      </c>
      <c r="ED53" s="120">
        <f t="shared" si="0"/>
        <v>14748.256292512986</v>
      </c>
    </row>
    <row r="54" spans="1:134">
      <c r="A54" s="120">
        <v>53</v>
      </c>
      <c r="B54" s="120">
        <v>0</v>
      </c>
      <c r="C54" s="120">
        <v>0</v>
      </c>
      <c r="D54" s="120">
        <v>0</v>
      </c>
      <c r="E54" s="120">
        <v>0</v>
      </c>
      <c r="F54" s="120">
        <v>0</v>
      </c>
      <c r="G54" s="120">
        <v>0</v>
      </c>
      <c r="H54" s="120">
        <v>0</v>
      </c>
      <c r="I54" s="120">
        <v>0</v>
      </c>
      <c r="J54" s="120">
        <v>0</v>
      </c>
      <c r="K54" s="120">
        <v>748.1909664271534</v>
      </c>
      <c r="L54" s="120">
        <v>0</v>
      </c>
      <c r="M54" s="120">
        <v>0</v>
      </c>
      <c r="N54" s="120">
        <v>0</v>
      </c>
      <c r="O54" s="120">
        <v>0</v>
      </c>
      <c r="P54" s="120">
        <v>0</v>
      </c>
      <c r="Q54" s="120">
        <v>0</v>
      </c>
      <c r="R54" s="120">
        <v>0</v>
      </c>
      <c r="S54" s="120">
        <v>0</v>
      </c>
      <c r="T54" s="120">
        <v>0</v>
      </c>
      <c r="U54" s="120">
        <v>0</v>
      </c>
      <c r="V54" s="120">
        <v>0</v>
      </c>
      <c r="W54" s="120">
        <v>0</v>
      </c>
      <c r="X54" s="120">
        <v>0</v>
      </c>
      <c r="Y54" s="120">
        <v>0</v>
      </c>
      <c r="Z54" s="120">
        <v>0</v>
      </c>
      <c r="AA54" s="120">
        <v>0</v>
      </c>
      <c r="AB54" s="120">
        <v>0</v>
      </c>
      <c r="AC54" s="120">
        <v>0</v>
      </c>
      <c r="AD54" s="120">
        <v>0</v>
      </c>
      <c r="AE54" s="120">
        <v>0</v>
      </c>
      <c r="AF54" s="120">
        <v>0</v>
      </c>
      <c r="AG54" s="120">
        <v>0</v>
      </c>
      <c r="AH54" s="120">
        <v>0</v>
      </c>
      <c r="AI54" s="120">
        <v>0</v>
      </c>
      <c r="AJ54" s="120">
        <v>0</v>
      </c>
      <c r="AK54" s="120">
        <v>0</v>
      </c>
      <c r="AL54" s="120">
        <v>0</v>
      </c>
      <c r="AM54" s="120">
        <v>0</v>
      </c>
      <c r="AN54" s="120">
        <v>0</v>
      </c>
      <c r="AO54" s="120">
        <v>0</v>
      </c>
      <c r="AP54" s="120">
        <v>0</v>
      </c>
      <c r="AQ54" s="120">
        <v>0</v>
      </c>
      <c r="AR54" s="120">
        <v>0</v>
      </c>
      <c r="AS54" s="120">
        <v>0</v>
      </c>
      <c r="AT54" s="120">
        <v>0</v>
      </c>
      <c r="AU54" s="120">
        <v>0</v>
      </c>
      <c r="AV54" s="120">
        <v>0</v>
      </c>
      <c r="AW54" s="120">
        <v>0</v>
      </c>
      <c r="AX54" s="120">
        <v>0</v>
      </c>
      <c r="AY54" s="120">
        <v>0</v>
      </c>
      <c r="AZ54" s="120">
        <v>0</v>
      </c>
      <c r="BA54" s="120">
        <v>0</v>
      </c>
      <c r="BB54" s="120">
        <v>0</v>
      </c>
      <c r="BC54" s="120">
        <v>0</v>
      </c>
      <c r="BD54" s="120">
        <v>0</v>
      </c>
      <c r="BE54" s="120">
        <v>0</v>
      </c>
      <c r="BF54" s="120">
        <v>0</v>
      </c>
      <c r="BG54" s="120">
        <v>0</v>
      </c>
      <c r="BH54" s="120">
        <v>0</v>
      </c>
      <c r="BI54" s="120">
        <v>0</v>
      </c>
      <c r="BJ54" s="120">
        <v>0</v>
      </c>
      <c r="BK54" s="120">
        <v>0</v>
      </c>
      <c r="BL54" s="120">
        <v>0</v>
      </c>
      <c r="BM54" s="120">
        <v>0</v>
      </c>
      <c r="BN54" s="120">
        <v>0</v>
      </c>
      <c r="BO54" s="120">
        <v>0</v>
      </c>
      <c r="BP54" s="120">
        <v>0</v>
      </c>
      <c r="BQ54" s="120">
        <v>0</v>
      </c>
      <c r="BR54" s="120">
        <v>0</v>
      </c>
      <c r="BS54" s="120">
        <v>0</v>
      </c>
      <c r="BT54" s="120">
        <v>0</v>
      </c>
      <c r="BU54" s="120">
        <v>0</v>
      </c>
      <c r="BV54" s="120">
        <v>0</v>
      </c>
      <c r="BW54" s="120">
        <v>0</v>
      </c>
      <c r="BX54" s="120">
        <v>0</v>
      </c>
      <c r="BY54" s="120">
        <v>0</v>
      </c>
      <c r="BZ54" s="120">
        <v>-14.134590045853029</v>
      </c>
      <c r="CA54" s="120">
        <v>-84.807540275118143</v>
      </c>
      <c r="CB54" s="120">
        <v>-216.7303807030797</v>
      </c>
      <c r="CC54" s="120">
        <v>0</v>
      </c>
      <c r="CD54" s="120">
        <v>0</v>
      </c>
      <c r="CE54" s="120">
        <v>0</v>
      </c>
      <c r="CF54" s="120">
        <v>0</v>
      </c>
      <c r="CG54" s="120">
        <v>0</v>
      </c>
      <c r="CH54" s="120">
        <v>0</v>
      </c>
      <c r="CI54" s="120">
        <v>0</v>
      </c>
      <c r="CJ54" s="120">
        <v>8770.7701904136575</v>
      </c>
      <c r="CK54" s="120">
        <v>0</v>
      </c>
      <c r="CL54" s="120">
        <v>0</v>
      </c>
      <c r="CM54" s="120">
        <v>0</v>
      </c>
      <c r="CN54" s="120">
        <v>0</v>
      </c>
      <c r="CO54" s="120">
        <v>0</v>
      </c>
      <c r="CP54" s="120">
        <v>0</v>
      </c>
      <c r="CQ54" s="120">
        <v>0</v>
      </c>
      <c r="CR54" s="120">
        <v>0</v>
      </c>
      <c r="CS54" s="120">
        <v>0</v>
      </c>
      <c r="CT54" s="120">
        <v>0</v>
      </c>
      <c r="CU54" s="120">
        <v>0</v>
      </c>
      <c r="CV54" s="120">
        <v>0</v>
      </c>
      <c r="CW54" s="120">
        <v>0</v>
      </c>
      <c r="CX54" s="120">
        <v>0</v>
      </c>
      <c r="CY54" s="120">
        <v>0</v>
      </c>
      <c r="CZ54" s="120">
        <v>0</v>
      </c>
      <c r="DA54" s="120">
        <v>0</v>
      </c>
      <c r="DB54" s="120">
        <v>0</v>
      </c>
      <c r="DC54" s="120">
        <v>0</v>
      </c>
      <c r="DD54" s="120">
        <v>0</v>
      </c>
      <c r="DE54" s="120">
        <v>-225.8611293499672</v>
      </c>
      <c r="DF54" s="120">
        <v>-1398.0906106369009</v>
      </c>
      <c r="DG54" s="120">
        <v>-15.329940906106369</v>
      </c>
      <c r="DH54" s="120">
        <v>0</v>
      </c>
      <c r="DI54" s="120">
        <v>0</v>
      </c>
      <c r="DJ54" s="120">
        <v>0</v>
      </c>
      <c r="DK54" s="120">
        <v>0</v>
      </c>
      <c r="DL54" s="120">
        <v>0</v>
      </c>
      <c r="DM54" s="120">
        <v>0</v>
      </c>
      <c r="DN54" s="120">
        <v>175.99495400223319</v>
      </c>
      <c r="DO54" s="120">
        <v>-50.175288862709593</v>
      </c>
      <c r="DP54" s="120">
        <v>30098.035780271581</v>
      </c>
      <c r="DQ54" s="120">
        <v>-6365.9628817493194</v>
      </c>
      <c r="DR54" s="120">
        <v>-30579.87507720384</v>
      </c>
      <c r="DS54" s="120">
        <v>-237.39589471102829</v>
      </c>
      <c r="DT54" s="120">
        <v>-1098.7894506020309</v>
      </c>
      <c r="DU54" s="120">
        <v>0</v>
      </c>
      <c r="DV54" s="120">
        <v>396.94769219414201</v>
      </c>
      <c r="DW54" s="120">
        <v>-79.021961481688123</v>
      </c>
      <c r="DX54" s="120">
        <v>0</v>
      </c>
      <c r="DY54" s="120">
        <v>71.978895377041894</v>
      </c>
      <c r="DZ54" s="120">
        <v>-12.787347457642991</v>
      </c>
      <c r="EA54" s="120">
        <v>0</v>
      </c>
      <c r="EB54" s="120">
        <v>532.55888073608105</v>
      </c>
      <c r="EC54" s="120">
        <v>-83.55110055007016</v>
      </c>
      <c r="ED54" s="120">
        <f t="shared" si="0"/>
        <v>331.96416488653512</v>
      </c>
    </row>
    <row r="55" spans="1:134">
      <c r="A55" s="120">
        <v>54</v>
      </c>
      <c r="B55" s="120">
        <v>0</v>
      </c>
      <c r="C55" s="120">
        <v>0</v>
      </c>
      <c r="D55" s="120">
        <v>0</v>
      </c>
      <c r="E55" s="120">
        <v>0</v>
      </c>
      <c r="F55" s="120">
        <v>0</v>
      </c>
      <c r="G55" s="120">
        <v>0</v>
      </c>
      <c r="H55" s="120">
        <v>0</v>
      </c>
      <c r="I55" s="120">
        <v>90563.014335244545</v>
      </c>
      <c r="J55" s="120">
        <v>0</v>
      </c>
      <c r="K55" s="120">
        <v>0</v>
      </c>
      <c r="L55" s="120">
        <v>0</v>
      </c>
      <c r="M55" s="120">
        <v>0</v>
      </c>
      <c r="N55" s="120">
        <v>0</v>
      </c>
      <c r="O55" s="120">
        <v>0</v>
      </c>
      <c r="P55" s="120">
        <v>0</v>
      </c>
      <c r="Q55" s="120">
        <v>0</v>
      </c>
      <c r="R55" s="120">
        <v>0</v>
      </c>
      <c r="S55" s="120">
        <v>0</v>
      </c>
      <c r="T55" s="120">
        <v>0</v>
      </c>
      <c r="U55" s="120">
        <v>0</v>
      </c>
      <c r="V55" s="120">
        <v>0</v>
      </c>
      <c r="W55" s="120">
        <v>0</v>
      </c>
      <c r="X55" s="120">
        <v>0</v>
      </c>
      <c r="Y55" s="120">
        <v>0</v>
      </c>
      <c r="Z55" s="120">
        <v>0</v>
      </c>
      <c r="AA55" s="120">
        <v>0</v>
      </c>
      <c r="AB55" s="120">
        <v>0</v>
      </c>
      <c r="AC55" s="120">
        <v>0</v>
      </c>
      <c r="AD55" s="120">
        <v>0</v>
      </c>
      <c r="AE55" s="120">
        <v>0</v>
      </c>
      <c r="AF55" s="120">
        <v>0</v>
      </c>
      <c r="AG55" s="120">
        <v>0</v>
      </c>
      <c r="AH55" s="120">
        <v>0</v>
      </c>
      <c r="AI55" s="120">
        <v>0</v>
      </c>
      <c r="AJ55" s="120">
        <v>0</v>
      </c>
      <c r="AK55" s="120">
        <v>0</v>
      </c>
      <c r="AL55" s="120">
        <v>0</v>
      </c>
      <c r="AM55" s="120">
        <v>0</v>
      </c>
      <c r="AN55" s="120">
        <v>0</v>
      </c>
      <c r="AO55" s="120">
        <v>0</v>
      </c>
      <c r="AP55" s="120">
        <v>0</v>
      </c>
      <c r="AQ55" s="120">
        <v>0</v>
      </c>
      <c r="AR55" s="120">
        <v>0</v>
      </c>
      <c r="AS55" s="120">
        <v>0</v>
      </c>
      <c r="AT55" s="120">
        <v>0</v>
      </c>
      <c r="AU55" s="120">
        <v>0</v>
      </c>
      <c r="AV55" s="120">
        <v>0</v>
      </c>
      <c r="AW55" s="120">
        <v>0</v>
      </c>
      <c r="AX55" s="120">
        <v>0</v>
      </c>
      <c r="AY55" s="120">
        <v>0</v>
      </c>
      <c r="AZ55" s="120">
        <v>0</v>
      </c>
      <c r="BA55" s="120">
        <v>0</v>
      </c>
      <c r="BB55" s="120">
        <v>0</v>
      </c>
      <c r="BC55" s="120">
        <v>0</v>
      </c>
      <c r="BD55" s="120">
        <v>0</v>
      </c>
      <c r="BE55" s="120">
        <v>0</v>
      </c>
      <c r="BF55" s="120">
        <v>0</v>
      </c>
      <c r="BG55" s="120">
        <v>0</v>
      </c>
      <c r="BH55" s="120">
        <v>0</v>
      </c>
      <c r="BI55" s="120">
        <v>0</v>
      </c>
      <c r="BJ55" s="120">
        <v>0</v>
      </c>
      <c r="BK55" s="120">
        <v>0</v>
      </c>
      <c r="BL55" s="120">
        <v>0</v>
      </c>
      <c r="BM55" s="120">
        <v>0</v>
      </c>
      <c r="BN55" s="120">
        <v>0</v>
      </c>
      <c r="BO55" s="120">
        <v>0</v>
      </c>
      <c r="BP55" s="120">
        <v>0</v>
      </c>
      <c r="BQ55" s="120">
        <v>0</v>
      </c>
      <c r="BR55" s="120">
        <v>0</v>
      </c>
      <c r="BS55" s="120">
        <v>0</v>
      </c>
      <c r="BT55" s="120">
        <v>0</v>
      </c>
      <c r="BU55" s="120">
        <v>0</v>
      </c>
      <c r="BV55" s="120">
        <v>0</v>
      </c>
      <c r="BW55" s="120">
        <v>0</v>
      </c>
      <c r="BX55" s="120">
        <v>0</v>
      </c>
      <c r="BY55" s="120">
        <v>0</v>
      </c>
      <c r="BZ55" s="120">
        <v>-770.47556839564061</v>
      </c>
      <c r="CA55" s="120">
        <v>-13628.49834792764</v>
      </c>
      <c r="CB55" s="120">
        <v>-19005.679850123139</v>
      </c>
      <c r="CC55" s="120">
        <v>83481.941320786849</v>
      </c>
      <c r="CD55" s="120">
        <v>647.01524924121088</v>
      </c>
      <c r="CE55" s="120">
        <v>0</v>
      </c>
      <c r="CF55" s="120">
        <v>0</v>
      </c>
      <c r="CG55" s="120">
        <v>0</v>
      </c>
      <c r="CH55" s="120">
        <v>972.22571893651661</v>
      </c>
      <c r="CI55" s="120">
        <v>0</v>
      </c>
      <c r="CJ55" s="120">
        <v>0</v>
      </c>
      <c r="CK55" s="120">
        <v>0</v>
      </c>
      <c r="CL55" s="120">
        <v>0</v>
      </c>
      <c r="CM55" s="120">
        <v>0</v>
      </c>
      <c r="CN55" s="120">
        <v>0</v>
      </c>
      <c r="CO55" s="120">
        <v>0</v>
      </c>
      <c r="CP55" s="120">
        <v>0</v>
      </c>
      <c r="CQ55" s="120">
        <v>0</v>
      </c>
      <c r="CR55" s="120">
        <v>0</v>
      </c>
      <c r="CS55" s="120">
        <v>0</v>
      </c>
      <c r="CT55" s="120">
        <v>0</v>
      </c>
      <c r="CU55" s="120">
        <v>0</v>
      </c>
      <c r="CV55" s="120">
        <v>0</v>
      </c>
      <c r="CW55" s="120">
        <v>0</v>
      </c>
      <c r="CX55" s="120">
        <v>0</v>
      </c>
      <c r="CY55" s="120">
        <v>0</v>
      </c>
      <c r="CZ55" s="120">
        <v>0</v>
      </c>
      <c r="DA55" s="120">
        <v>0</v>
      </c>
      <c r="DB55" s="120">
        <v>0</v>
      </c>
      <c r="DC55" s="120">
        <v>0</v>
      </c>
      <c r="DD55" s="120">
        <v>0</v>
      </c>
      <c r="DE55" s="120">
        <v>-806.34518198888304</v>
      </c>
      <c r="DF55" s="120">
        <v>-12833.32283691655</v>
      </c>
      <c r="DG55" s="120">
        <v>-12776.08705362525</v>
      </c>
      <c r="DH55" s="120">
        <v>0</v>
      </c>
      <c r="DI55" s="120">
        <v>0</v>
      </c>
      <c r="DJ55" s="120">
        <v>0</v>
      </c>
      <c r="DK55" s="120">
        <v>0</v>
      </c>
      <c r="DL55" s="120">
        <v>0</v>
      </c>
      <c r="DM55" s="120">
        <v>0</v>
      </c>
      <c r="DN55" s="120">
        <v>-51.200712744685163</v>
      </c>
      <c r="DO55" s="120">
        <v>-143.19746787507589</v>
      </c>
      <c r="DP55" s="120">
        <v>14765.269593055051</v>
      </c>
      <c r="DQ55" s="120">
        <v>-5248.4796787936693</v>
      </c>
      <c r="DR55" s="120">
        <v>-118697.156879898</v>
      </c>
      <c r="DS55" s="120">
        <v>-542.37844540645563</v>
      </c>
      <c r="DT55" s="120">
        <v>-971.4576149383272</v>
      </c>
      <c r="DU55" s="120">
        <v>0</v>
      </c>
      <c r="DV55" s="120">
        <v>2016.799836290807</v>
      </c>
      <c r="DW55" s="120">
        <v>-458.59644727265862</v>
      </c>
      <c r="DX55" s="120">
        <v>0</v>
      </c>
      <c r="DY55" s="120">
        <v>634.1804860982304</v>
      </c>
      <c r="DZ55" s="120">
        <v>-149.0860176231426</v>
      </c>
      <c r="EA55" s="120">
        <v>0</v>
      </c>
      <c r="EB55" s="120">
        <v>3283.885232280817</v>
      </c>
      <c r="EC55" s="120">
        <v>-647.35627666213122</v>
      </c>
      <c r="ED55" s="120">
        <f t="shared" si="0"/>
        <v>9635.0133917427975</v>
      </c>
    </row>
    <row r="56" spans="1:134">
      <c r="A56" s="120">
        <v>55</v>
      </c>
      <c r="B56" s="120">
        <v>0</v>
      </c>
      <c r="C56" s="120">
        <v>0</v>
      </c>
      <c r="D56" s="120">
        <v>57.586474481644693</v>
      </c>
      <c r="E56" s="120">
        <v>0</v>
      </c>
      <c r="F56" s="120">
        <v>0</v>
      </c>
      <c r="G56" s="120">
        <v>0</v>
      </c>
      <c r="H56" s="120">
        <v>0</v>
      </c>
      <c r="I56" s="120">
        <v>2514.5682672725852</v>
      </c>
      <c r="J56" s="120">
        <v>0</v>
      </c>
      <c r="K56" s="120">
        <v>0</v>
      </c>
      <c r="L56" s="120">
        <v>0</v>
      </c>
      <c r="M56" s="120">
        <v>0</v>
      </c>
      <c r="N56" s="120">
        <v>0</v>
      </c>
      <c r="O56" s="120">
        <v>0</v>
      </c>
      <c r="P56" s="120">
        <v>0</v>
      </c>
      <c r="Q56" s="120">
        <v>0</v>
      </c>
      <c r="R56" s="120">
        <v>33574</v>
      </c>
      <c r="S56" s="120">
        <v>0</v>
      </c>
      <c r="T56" s="120">
        <v>0</v>
      </c>
      <c r="U56" s="120">
        <v>0</v>
      </c>
      <c r="V56" s="120">
        <v>0</v>
      </c>
      <c r="W56" s="120">
        <v>0</v>
      </c>
      <c r="X56" s="120">
        <v>0</v>
      </c>
      <c r="Y56" s="120">
        <v>0</v>
      </c>
      <c r="Z56" s="120">
        <v>0</v>
      </c>
      <c r="AA56" s="120">
        <v>0</v>
      </c>
      <c r="AB56" s="120">
        <v>0</v>
      </c>
      <c r="AC56" s="120">
        <v>0</v>
      </c>
      <c r="AD56" s="120">
        <v>0</v>
      </c>
      <c r="AE56" s="120">
        <v>0</v>
      </c>
      <c r="AF56" s="120">
        <v>0</v>
      </c>
      <c r="AG56" s="120">
        <v>0</v>
      </c>
      <c r="AH56" s="120">
        <v>0</v>
      </c>
      <c r="AI56" s="120">
        <v>0</v>
      </c>
      <c r="AJ56" s="120">
        <v>0</v>
      </c>
      <c r="AK56" s="120">
        <v>0</v>
      </c>
      <c r="AL56" s="120">
        <v>0</v>
      </c>
      <c r="AM56" s="120">
        <v>0</v>
      </c>
      <c r="AN56" s="120">
        <v>0</v>
      </c>
      <c r="AO56" s="120">
        <v>0</v>
      </c>
      <c r="AP56" s="120">
        <v>0</v>
      </c>
      <c r="AQ56" s="120">
        <v>0</v>
      </c>
      <c r="AR56" s="120">
        <v>0</v>
      </c>
      <c r="AS56" s="120">
        <v>0</v>
      </c>
      <c r="AT56" s="120">
        <v>0</v>
      </c>
      <c r="AU56" s="120">
        <v>0</v>
      </c>
      <c r="AV56" s="120">
        <v>0</v>
      </c>
      <c r="AW56" s="120">
        <v>0</v>
      </c>
      <c r="AX56" s="120">
        <v>0</v>
      </c>
      <c r="AY56" s="120">
        <v>0</v>
      </c>
      <c r="AZ56" s="120">
        <v>0</v>
      </c>
      <c r="BA56" s="120">
        <v>0</v>
      </c>
      <c r="BB56" s="120">
        <v>0</v>
      </c>
      <c r="BC56" s="120">
        <v>0</v>
      </c>
      <c r="BD56" s="120">
        <v>0</v>
      </c>
      <c r="BE56" s="120">
        <v>0</v>
      </c>
      <c r="BF56" s="120">
        <v>0</v>
      </c>
      <c r="BG56" s="120">
        <v>0</v>
      </c>
      <c r="BH56" s="120">
        <v>0</v>
      </c>
      <c r="BI56" s="120">
        <v>0</v>
      </c>
      <c r="BJ56" s="120">
        <v>0</v>
      </c>
      <c r="BK56" s="120">
        <v>0</v>
      </c>
      <c r="BL56" s="120">
        <v>0</v>
      </c>
      <c r="BM56" s="120">
        <v>0</v>
      </c>
      <c r="BN56" s="120">
        <v>0</v>
      </c>
      <c r="BO56" s="120">
        <v>0</v>
      </c>
      <c r="BP56" s="120">
        <v>0</v>
      </c>
      <c r="BQ56" s="120">
        <v>0</v>
      </c>
      <c r="BR56" s="120">
        <v>0</v>
      </c>
      <c r="BS56" s="120">
        <v>0</v>
      </c>
      <c r="BT56" s="120">
        <v>0</v>
      </c>
      <c r="BU56" s="120">
        <v>0</v>
      </c>
      <c r="BV56" s="120">
        <v>0</v>
      </c>
      <c r="BW56" s="120">
        <v>0</v>
      </c>
      <c r="BX56" s="120">
        <v>0</v>
      </c>
      <c r="BY56" s="120">
        <v>0</v>
      </c>
      <c r="BZ56" s="120">
        <v>-170.138040805495</v>
      </c>
      <c r="CA56" s="120">
        <v>-9219.6525028896376</v>
      </c>
      <c r="CB56" s="120">
        <v>-14108.659394251281</v>
      </c>
      <c r="CC56" s="120">
        <v>0</v>
      </c>
      <c r="CD56" s="120">
        <v>103167.79530478459</v>
      </c>
      <c r="CE56" s="120">
        <v>0</v>
      </c>
      <c r="CF56" s="120">
        <v>0</v>
      </c>
      <c r="CG56" s="120">
        <v>0</v>
      </c>
      <c r="CH56" s="120">
        <v>0</v>
      </c>
      <c r="CI56" s="120">
        <v>0</v>
      </c>
      <c r="CJ56" s="120">
        <v>0</v>
      </c>
      <c r="CK56" s="120">
        <v>0</v>
      </c>
      <c r="CL56" s="120">
        <v>0</v>
      </c>
      <c r="CM56" s="120">
        <v>0</v>
      </c>
      <c r="CN56" s="120">
        <v>0</v>
      </c>
      <c r="CO56" s="120">
        <v>0</v>
      </c>
      <c r="CP56" s="120">
        <v>0</v>
      </c>
      <c r="CQ56" s="120">
        <v>0</v>
      </c>
      <c r="CR56" s="120">
        <v>0</v>
      </c>
      <c r="CS56" s="120">
        <v>0</v>
      </c>
      <c r="CT56" s="120">
        <v>0</v>
      </c>
      <c r="CU56" s="120">
        <v>0</v>
      </c>
      <c r="CV56" s="120">
        <v>0</v>
      </c>
      <c r="CW56" s="120">
        <v>0</v>
      </c>
      <c r="CX56" s="120">
        <v>0</v>
      </c>
      <c r="CY56" s="120">
        <v>0</v>
      </c>
      <c r="CZ56" s="120">
        <v>0</v>
      </c>
      <c r="DA56" s="120">
        <v>0</v>
      </c>
      <c r="DB56" s="120">
        <v>0</v>
      </c>
      <c r="DC56" s="120">
        <v>0</v>
      </c>
      <c r="DD56" s="120">
        <v>0</v>
      </c>
      <c r="DE56" s="120">
        <v>-884.4218427528599</v>
      </c>
      <c r="DF56" s="120">
        <v>-38879.672986772232</v>
      </c>
      <c r="DG56" s="120">
        <v>-905.43898456395004</v>
      </c>
      <c r="DH56" s="120">
        <v>0</v>
      </c>
      <c r="DI56" s="120">
        <v>0</v>
      </c>
      <c r="DJ56" s="120">
        <v>0</v>
      </c>
      <c r="DK56" s="120">
        <v>0</v>
      </c>
      <c r="DL56" s="120">
        <v>0</v>
      </c>
      <c r="DM56" s="120">
        <v>0</v>
      </c>
      <c r="DN56" s="120">
        <v>1942.782600256664</v>
      </c>
      <c r="DO56" s="120">
        <v>-891.88344164712635</v>
      </c>
      <c r="DP56" s="120">
        <v>23062.557783478031</v>
      </c>
      <c r="DQ56" s="120">
        <v>-10947.67945962796</v>
      </c>
      <c r="DR56" s="120">
        <v>-134662.41513582401</v>
      </c>
      <c r="DS56" s="120">
        <v>-596.96836737436865</v>
      </c>
      <c r="DT56" s="120">
        <v>-1559.1928505560379</v>
      </c>
      <c r="DU56" s="120">
        <v>0</v>
      </c>
      <c r="DV56" s="120">
        <v>8696.7009056000516</v>
      </c>
      <c r="DW56" s="120">
        <v>-3641.9530724928081</v>
      </c>
      <c r="DX56" s="120">
        <v>0</v>
      </c>
      <c r="DY56" s="120">
        <v>2657.0724847173069</v>
      </c>
      <c r="DZ56" s="120">
        <v>-1136.0137953027349</v>
      </c>
      <c r="EA56" s="120">
        <v>0</v>
      </c>
      <c r="EB56" s="120">
        <v>1925.340367885261</v>
      </c>
      <c r="EC56" s="120">
        <v>-323.47821360078098</v>
      </c>
      <c r="ED56" s="120">
        <f t="shared" si="0"/>
        <v>-40329.163899985135</v>
      </c>
    </row>
    <row r="57" spans="1:134">
      <c r="A57" s="120">
        <v>56</v>
      </c>
      <c r="B57" s="120">
        <v>0</v>
      </c>
      <c r="C57" s="120">
        <v>0</v>
      </c>
      <c r="D57" s="120">
        <v>0</v>
      </c>
      <c r="E57" s="120">
        <v>0</v>
      </c>
      <c r="F57" s="120">
        <v>0</v>
      </c>
      <c r="G57" s="120">
        <v>0</v>
      </c>
      <c r="H57" s="120">
        <v>0</v>
      </c>
      <c r="I57" s="120">
        <v>71748.634931201741</v>
      </c>
      <c r="J57" s="120">
        <v>0</v>
      </c>
      <c r="K57" s="120">
        <v>0</v>
      </c>
      <c r="L57" s="120">
        <v>0</v>
      </c>
      <c r="M57" s="120">
        <v>0</v>
      </c>
      <c r="N57" s="120">
        <v>0</v>
      </c>
      <c r="O57" s="120">
        <v>0</v>
      </c>
      <c r="P57" s="120">
        <v>0</v>
      </c>
      <c r="Q57" s="120">
        <v>0</v>
      </c>
      <c r="R57" s="120">
        <v>0</v>
      </c>
      <c r="S57" s="120">
        <v>0</v>
      </c>
      <c r="T57" s="120">
        <v>0</v>
      </c>
      <c r="U57" s="120">
        <v>0</v>
      </c>
      <c r="V57" s="120">
        <v>0</v>
      </c>
      <c r="W57" s="120">
        <v>0</v>
      </c>
      <c r="X57" s="120">
        <v>0</v>
      </c>
      <c r="Y57" s="120">
        <v>0</v>
      </c>
      <c r="Z57" s="120">
        <v>0</v>
      </c>
      <c r="AA57" s="120">
        <v>0</v>
      </c>
      <c r="AB57" s="120">
        <v>0</v>
      </c>
      <c r="AC57" s="120">
        <v>0</v>
      </c>
      <c r="AD57" s="120">
        <v>0</v>
      </c>
      <c r="AE57" s="120">
        <v>0</v>
      </c>
      <c r="AF57" s="120">
        <v>0</v>
      </c>
      <c r="AG57" s="120">
        <v>0</v>
      </c>
      <c r="AH57" s="120">
        <v>0</v>
      </c>
      <c r="AI57" s="120">
        <v>0</v>
      </c>
      <c r="AJ57" s="120">
        <v>0</v>
      </c>
      <c r="AK57" s="120">
        <v>0</v>
      </c>
      <c r="AL57" s="120">
        <v>0</v>
      </c>
      <c r="AM57" s="120">
        <v>0</v>
      </c>
      <c r="AN57" s="120">
        <v>0</v>
      </c>
      <c r="AO57" s="120">
        <v>0</v>
      </c>
      <c r="AP57" s="120">
        <v>0</v>
      </c>
      <c r="AQ57" s="120">
        <v>0</v>
      </c>
      <c r="AR57" s="120">
        <v>0</v>
      </c>
      <c r="AS57" s="120">
        <v>0</v>
      </c>
      <c r="AT57" s="120">
        <v>0</v>
      </c>
      <c r="AU57" s="120">
        <v>0</v>
      </c>
      <c r="AV57" s="120">
        <v>0</v>
      </c>
      <c r="AW57" s="120">
        <v>0</v>
      </c>
      <c r="AX57" s="120">
        <v>0</v>
      </c>
      <c r="AY57" s="120">
        <v>0</v>
      </c>
      <c r="AZ57" s="120">
        <v>0</v>
      </c>
      <c r="BA57" s="120">
        <v>0</v>
      </c>
      <c r="BB57" s="120">
        <v>0</v>
      </c>
      <c r="BC57" s="120">
        <v>0</v>
      </c>
      <c r="BD57" s="120">
        <v>0</v>
      </c>
      <c r="BE57" s="120">
        <v>0</v>
      </c>
      <c r="BF57" s="120">
        <v>0</v>
      </c>
      <c r="BG57" s="120">
        <v>0</v>
      </c>
      <c r="BH57" s="120">
        <v>0</v>
      </c>
      <c r="BI57" s="120">
        <v>0</v>
      </c>
      <c r="BJ57" s="120">
        <v>0</v>
      </c>
      <c r="BK57" s="120">
        <v>0</v>
      </c>
      <c r="BL57" s="120">
        <v>0</v>
      </c>
      <c r="BM57" s="120">
        <v>0</v>
      </c>
      <c r="BN57" s="120">
        <v>0</v>
      </c>
      <c r="BO57" s="120">
        <v>0</v>
      </c>
      <c r="BP57" s="120">
        <v>0</v>
      </c>
      <c r="BQ57" s="120">
        <v>0</v>
      </c>
      <c r="BR57" s="120">
        <v>0</v>
      </c>
      <c r="BS57" s="120">
        <v>0</v>
      </c>
      <c r="BT57" s="120">
        <v>0</v>
      </c>
      <c r="BU57" s="120">
        <v>0</v>
      </c>
      <c r="BV57" s="120">
        <v>0</v>
      </c>
      <c r="BW57" s="120">
        <v>0</v>
      </c>
      <c r="BX57" s="120">
        <v>0</v>
      </c>
      <c r="BY57" s="120">
        <v>0</v>
      </c>
      <c r="BZ57" s="120">
        <v>-515.42158713363528</v>
      </c>
      <c r="CA57" s="120">
        <v>-10782.78788568524</v>
      </c>
      <c r="CB57" s="120">
        <v>-26672.735199260362</v>
      </c>
      <c r="CC57" s="120">
        <v>0</v>
      </c>
      <c r="CD57" s="120">
        <v>7004.2303327319323</v>
      </c>
      <c r="CE57" s="120">
        <v>0</v>
      </c>
      <c r="CF57" s="120">
        <v>0</v>
      </c>
      <c r="CG57" s="120">
        <v>0</v>
      </c>
      <c r="CH57" s="120">
        <v>0</v>
      </c>
      <c r="CI57" s="120">
        <v>0</v>
      </c>
      <c r="CJ57" s="120">
        <v>0</v>
      </c>
      <c r="CK57" s="120">
        <v>0</v>
      </c>
      <c r="CL57" s="120">
        <v>0</v>
      </c>
      <c r="CM57" s="120">
        <v>0</v>
      </c>
      <c r="CN57" s="120">
        <v>0</v>
      </c>
      <c r="CO57" s="120">
        <v>0</v>
      </c>
      <c r="CP57" s="120">
        <v>0</v>
      </c>
      <c r="CQ57" s="120">
        <v>0</v>
      </c>
      <c r="CR57" s="120">
        <v>0</v>
      </c>
      <c r="CS57" s="120">
        <v>0</v>
      </c>
      <c r="CT57" s="120">
        <v>0</v>
      </c>
      <c r="CU57" s="120">
        <v>0</v>
      </c>
      <c r="CV57" s="120">
        <v>0</v>
      </c>
      <c r="CW57" s="120">
        <v>0</v>
      </c>
      <c r="CX57" s="120">
        <v>0</v>
      </c>
      <c r="CY57" s="120">
        <v>0</v>
      </c>
      <c r="CZ57" s="120">
        <v>0</v>
      </c>
      <c r="DA57" s="120">
        <v>0</v>
      </c>
      <c r="DB57" s="120">
        <v>0</v>
      </c>
      <c r="DC57" s="120">
        <v>0</v>
      </c>
      <c r="DD57" s="120">
        <v>458.55321982307618</v>
      </c>
      <c r="DE57" s="120">
        <v>-58.34321280601165</v>
      </c>
      <c r="DF57" s="120">
        <v>-1578.959002045113</v>
      </c>
      <c r="DG57" s="120">
        <v>-1702.0154362424139</v>
      </c>
      <c r="DH57" s="120">
        <v>0</v>
      </c>
      <c r="DI57" s="120">
        <v>0</v>
      </c>
      <c r="DJ57" s="120">
        <v>0</v>
      </c>
      <c r="DK57" s="120">
        <v>0</v>
      </c>
      <c r="DL57" s="120">
        <v>0</v>
      </c>
      <c r="DM57" s="120">
        <v>0</v>
      </c>
      <c r="DN57" s="120">
        <v>-165.92823574666491</v>
      </c>
      <c r="DO57" s="120">
        <v>54.121877622075907</v>
      </c>
      <c r="DP57" s="120">
        <v>3884.9059743264361</v>
      </c>
      <c r="DQ57" s="120">
        <v>-1148.060637273257</v>
      </c>
      <c r="DR57" s="120">
        <v>-35098.28456340867</v>
      </c>
      <c r="DS57" s="120">
        <v>-220.44065668534151</v>
      </c>
      <c r="DT57" s="120">
        <v>-900.94227046715071</v>
      </c>
      <c r="DU57" s="120">
        <v>0</v>
      </c>
      <c r="DV57" s="120">
        <v>0</v>
      </c>
      <c r="DW57" s="120">
        <v>0</v>
      </c>
      <c r="DX57" s="120">
        <v>0</v>
      </c>
      <c r="DY57" s="120">
        <v>0</v>
      </c>
      <c r="DZ57" s="120">
        <v>0</v>
      </c>
      <c r="EA57" s="120">
        <v>0</v>
      </c>
      <c r="EB57" s="120">
        <v>1497.0458668047129</v>
      </c>
      <c r="EC57" s="120">
        <v>-346.66948231381559</v>
      </c>
      <c r="ED57" s="120">
        <f t="shared" si="0"/>
        <v>5456.904033442308</v>
      </c>
    </row>
    <row r="58" spans="1:134">
      <c r="A58" s="120">
        <v>57</v>
      </c>
      <c r="B58" s="120">
        <v>0</v>
      </c>
      <c r="C58" s="120">
        <v>0</v>
      </c>
      <c r="D58" s="120">
        <v>0</v>
      </c>
      <c r="E58" s="120">
        <v>0</v>
      </c>
      <c r="F58" s="120">
        <v>0</v>
      </c>
      <c r="G58" s="120">
        <v>0</v>
      </c>
      <c r="H58" s="120">
        <v>0</v>
      </c>
      <c r="I58" s="120">
        <v>529.73571497209116</v>
      </c>
      <c r="J58" s="120">
        <v>0</v>
      </c>
      <c r="K58" s="120">
        <v>0</v>
      </c>
      <c r="L58" s="120">
        <v>0</v>
      </c>
      <c r="M58" s="120">
        <v>0</v>
      </c>
      <c r="N58" s="120">
        <v>0</v>
      </c>
      <c r="O58" s="120">
        <v>0</v>
      </c>
      <c r="P58" s="120">
        <v>0</v>
      </c>
      <c r="Q58" s="120">
        <v>0</v>
      </c>
      <c r="R58" s="120">
        <v>0</v>
      </c>
      <c r="S58" s="120">
        <v>0</v>
      </c>
      <c r="T58" s="120">
        <v>0</v>
      </c>
      <c r="U58" s="120">
        <v>0</v>
      </c>
      <c r="V58" s="120">
        <v>0</v>
      </c>
      <c r="W58" s="120">
        <v>0</v>
      </c>
      <c r="X58" s="120">
        <v>0</v>
      </c>
      <c r="Y58" s="120">
        <v>0</v>
      </c>
      <c r="Z58" s="120">
        <v>0</v>
      </c>
      <c r="AA58" s="120">
        <v>0</v>
      </c>
      <c r="AB58" s="120">
        <v>0</v>
      </c>
      <c r="AC58" s="120">
        <v>0</v>
      </c>
      <c r="AD58" s="120">
        <v>0</v>
      </c>
      <c r="AE58" s="120">
        <v>0</v>
      </c>
      <c r="AF58" s="120">
        <v>0</v>
      </c>
      <c r="AG58" s="120">
        <v>0</v>
      </c>
      <c r="AH58" s="120">
        <v>0</v>
      </c>
      <c r="AI58" s="120">
        <v>0</v>
      </c>
      <c r="AJ58" s="120">
        <v>0</v>
      </c>
      <c r="AK58" s="120">
        <v>0</v>
      </c>
      <c r="AL58" s="120">
        <v>0</v>
      </c>
      <c r="AM58" s="120">
        <v>0</v>
      </c>
      <c r="AN58" s="120">
        <v>0</v>
      </c>
      <c r="AO58" s="120">
        <v>0</v>
      </c>
      <c r="AP58" s="120">
        <v>0</v>
      </c>
      <c r="AQ58" s="120">
        <v>0</v>
      </c>
      <c r="AR58" s="120">
        <v>0</v>
      </c>
      <c r="AS58" s="120">
        <v>0</v>
      </c>
      <c r="AT58" s="120">
        <v>0</v>
      </c>
      <c r="AU58" s="120">
        <v>0</v>
      </c>
      <c r="AV58" s="120">
        <v>0</v>
      </c>
      <c r="AW58" s="120">
        <v>0</v>
      </c>
      <c r="AX58" s="120">
        <v>0</v>
      </c>
      <c r="AY58" s="120">
        <v>0</v>
      </c>
      <c r="AZ58" s="120">
        <v>0</v>
      </c>
      <c r="BA58" s="120">
        <v>0</v>
      </c>
      <c r="BB58" s="120">
        <v>0</v>
      </c>
      <c r="BC58" s="120">
        <v>0</v>
      </c>
      <c r="BD58" s="120">
        <v>0</v>
      </c>
      <c r="BE58" s="120">
        <v>0</v>
      </c>
      <c r="BF58" s="120">
        <v>0</v>
      </c>
      <c r="BG58" s="120">
        <v>0</v>
      </c>
      <c r="BH58" s="120">
        <v>0</v>
      </c>
      <c r="BI58" s="120">
        <v>0</v>
      </c>
      <c r="BJ58" s="120">
        <v>0</v>
      </c>
      <c r="BK58" s="120">
        <v>0</v>
      </c>
      <c r="BL58" s="120">
        <v>0</v>
      </c>
      <c r="BM58" s="120">
        <v>0</v>
      </c>
      <c r="BN58" s="120">
        <v>0</v>
      </c>
      <c r="BO58" s="120">
        <v>0</v>
      </c>
      <c r="BP58" s="120">
        <v>0</v>
      </c>
      <c r="BQ58" s="120">
        <v>0</v>
      </c>
      <c r="BR58" s="120">
        <v>0</v>
      </c>
      <c r="BS58" s="120">
        <v>0</v>
      </c>
      <c r="BT58" s="120">
        <v>0</v>
      </c>
      <c r="BU58" s="120">
        <v>0</v>
      </c>
      <c r="BV58" s="120">
        <v>0</v>
      </c>
      <c r="BW58" s="120">
        <v>0</v>
      </c>
      <c r="BX58" s="120">
        <v>0</v>
      </c>
      <c r="BY58" s="120">
        <v>0</v>
      </c>
      <c r="BZ58" s="120">
        <v>-13.284061524062761</v>
      </c>
      <c r="CA58" s="120">
        <v>-48.489209154290002</v>
      </c>
      <c r="CB58" s="120">
        <v>-172.6538968617987</v>
      </c>
      <c r="CC58" s="120">
        <v>0</v>
      </c>
      <c r="CD58" s="120">
        <v>0</v>
      </c>
      <c r="CE58" s="120">
        <v>0</v>
      </c>
      <c r="CF58" s="120">
        <v>0</v>
      </c>
      <c r="CG58" s="120">
        <v>0</v>
      </c>
      <c r="CH58" s="120">
        <v>0</v>
      </c>
      <c r="CI58" s="120">
        <v>0</v>
      </c>
      <c r="CJ58" s="120">
        <v>0</v>
      </c>
      <c r="CK58" s="120">
        <v>0</v>
      </c>
      <c r="CL58" s="120">
        <v>0</v>
      </c>
      <c r="CM58" s="120">
        <v>0</v>
      </c>
      <c r="CN58" s="120">
        <v>0</v>
      </c>
      <c r="CO58" s="120">
        <v>0</v>
      </c>
      <c r="CP58" s="120">
        <v>0</v>
      </c>
      <c r="CQ58" s="120">
        <v>0</v>
      </c>
      <c r="CR58" s="120">
        <v>0</v>
      </c>
      <c r="CS58" s="120">
        <v>0</v>
      </c>
      <c r="CT58" s="120">
        <v>0</v>
      </c>
      <c r="CU58" s="120">
        <v>0</v>
      </c>
      <c r="CV58" s="120">
        <v>0</v>
      </c>
      <c r="CW58" s="120">
        <v>0</v>
      </c>
      <c r="CX58" s="120">
        <v>0</v>
      </c>
      <c r="CY58" s="120">
        <v>0</v>
      </c>
      <c r="CZ58" s="120">
        <v>0</v>
      </c>
      <c r="DA58" s="120">
        <v>0</v>
      </c>
      <c r="DB58" s="120">
        <v>0</v>
      </c>
      <c r="DC58" s="120">
        <v>0</v>
      </c>
      <c r="DD58" s="120">
        <v>0</v>
      </c>
      <c r="DE58" s="120">
        <v>0</v>
      </c>
      <c r="DF58" s="120">
        <v>0</v>
      </c>
      <c r="DG58" s="120">
        <v>0</v>
      </c>
      <c r="DH58" s="120">
        <v>0</v>
      </c>
      <c r="DI58" s="120">
        <v>0</v>
      </c>
      <c r="DJ58" s="120">
        <v>0</v>
      </c>
      <c r="DK58" s="120">
        <v>0</v>
      </c>
      <c r="DL58" s="120">
        <v>0</v>
      </c>
      <c r="DM58" s="120">
        <v>0</v>
      </c>
      <c r="DN58" s="120">
        <v>2173.1858076077478</v>
      </c>
      <c r="DO58" s="120">
        <v>-234.52813636232901</v>
      </c>
      <c r="DP58" s="120">
        <v>39942.6323218459</v>
      </c>
      <c r="DQ58" s="120">
        <v>-9092.3567754419091</v>
      </c>
      <c r="DR58" s="120">
        <v>-55978.47691868549</v>
      </c>
      <c r="DS58" s="120">
        <v>-434.61101674049547</v>
      </c>
      <c r="DT58" s="120">
        <v>-2694.6167401019302</v>
      </c>
      <c r="DU58" s="120">
        <v>0</v>
      </c>
      <c r="DV58" s="120">
        <v>0</v>
      </c>
      <c r="DW58" s="120">
        <v>0</v>
      </c>
      <c r="DX58" s="120">
        <v>0</v>
      </c>
      <c r="DY58" s="120">
        <v>1.337228225826526</v>
      </c>
      <c r="DZ58" s="120">
        <v>0</v>
      </c>
      <c r="EA58" s="120">
        <v>0</v>
      </c>
      <c r="EB58" s="120">
        <v>8.8217198986724394</v>
      </c>
      <c r="EC58" s="120">
        <v>-1.1995483817087049</v>
      </c>
      <c r="ED58" s="120">
        <f t="shared" si="0"/>
        <v>-26014.50351070378</v>
      </c>
    </row>
    <row r="59" spans="1:134">
      <c r="A59" s="120">
        <v>58</v>
      </c>
      <c r="B59" s="120">
        <v>0</v>
      </c>
      <c r="C59" s="120">
        <v>0</v>
      </c>
      <c r="D59" s="120">
        <v>0</v>
      </c>
      <c r="E59" s="120">
        <v>1858.0645049481709</v>
      </c>
      <c r="F59" s="120">
        <v>0</v>
      </c>
      <c r="G59" s="120">
        <v>0</v>
      </c>
      <c r="H59" s="120">
        <v>0.9994664977242792</v>
      </c>
      <c r="I59" s="120">
        <v>0</v>
      </c>
      <c r="J59" s="120">
        <v>0</v>
      </c>
      <c r="K59" s="120">
        <v>0</v>
      </c>
      <c r="L59" s="120">
        <v>0</v>
      </c>
      <c r="M59" s="120">
        <v>0</v>
      </c>
      <c r="N59" s="120">
        <v>16557</v>
      </c>
      <c r="O59" s="120">
        <v>9130.545830220959</v>
      </c>
      <c r="P59" s="120">
        <v>0</v>
      </c>
      <c r="Q59" s="120">
        <v>0</v>
      </c>
      <c r="R59" s="120">
        <v>0</v>
      </c>
      <c r="S59" s="120">
        <v>0</v>
      </c>
      <c r="T59" s="120">
        <v>0</v>
      </c>
      <c r="U59" s="120">
        <v>0</v>
      </c>
      <c r="V59" s="120">
        <v>0</v>
      </c>
      <c r="W59" s="120">
        <v>0</v>
      </c>
      <c r="X59" s="120">
        <v>0</v>
      </c>
      <c r="Y59" s="120">
        <v>0</v>
      </c>
      <c r="Z59" s="120">
        <v>0</v>
      </c>
      <c r="AA59" s="120">
        <v>0</v>
      </c>
      <c r="AB59" s="120">
        <v>0</v>
      </c>
      <c r="AC59" s="120">
        <v>0</v>
      </c>
      <c r="AD59" s="120">
        <v>0</v>
      </c>
      <c r="AE59" s="120">
        <v>0</v>
      </c>
      <c r="AF59" s="120">
        <v>0</v>
      </c>
      <c r="AG59" s="120">
        <v>0</v>
      </c>
      <c r="AH59" s="120">
        <v>0</v>
      </c>
      <c r="AI59" s="120">
        <v>0</v>
      </c>
      <c r="AJ59" s="120">
        <v>0</v>
      </c>
      <c r="AK59" s="120">
        <v>0</v>
      </c>
      <c r="AL59" s="120">
        <v>0</v>
      </c>
      <c r="AM59" s="120">
        <v>0</v>
      </c>
      <c r="AN59" s="120">
        <v>0</v>
      </c>
      <c r="AO59" s="120">
        <v>0</v>
      </c>
      <c r="AP59" s="120">
        <v>0</v>
      </c>
      <c r="AQ59" s="120">
        <v>0</v>
      </c>
      <c r="AR59" s="120">
        <v>0</v>
      </c>
      <c r="AS59" s="120">
        <v>0</v>
      </c>
      <c r="AT59" s="120">
        <v>0</v>
      </c>
      <c r="AU59" s="120">
        <v>0</v>
      </c>
      <c r="AV59" s="120">
        <v>0</v>
      </c>
      <c r="AW59" s="120">
        <v>0</v>
      </c>
      <c r="AX59" s="120">
        <v>0</v>
      </c>
      <c r="AY59" s="120">
        <v>0</v>
      </c>
      <c r="AZ59" s="120">
        <v>0</v>
      </c>
      <c r="BA59" s="120">
        <v>0</v>
      </c>
      <c r="BB59" s="120">
        <v>0</v>
      </c>
      <c r="BC59" s="120">
        <v>62.103488971485937</v>
      </c>
      <c r="BD59" s="120">
        <v>0</v>
      </c>
      <c r="BE59" s="120">
        <v>0</v>
      </c>
      <c r="BF59" s="120">
        <v>0</v>
      </c>
      <c r="BG59" s="120">
        <v>0</v>
      </c>
      <c r="BH59" s="120">
        <v>0</v>
      </c>
      <c r="BI59" s="120">
        <v>0</v>
      </c>
      <c r="BJ59" s="120">
        <v>0</v>
      </c>
      <c r="BK59" s="120">
        <v>0</v>
      </c>
      <c r="BL59" s="120">
        <v>0</v>
      </c>
      <c r="BM59" s="120">
        <v>0</v>
      </c>
      <c r="BN59" s="120">
        <v>0</v>
      </c>
      <c r="BO59" s="120">
        <v>0</v>
      </c>
      <c r="BP59" s="120">
        <v>0</v>
      </c>
      <c r="BQ59" s="120">
        <v>0</v>
      </c>
      <c r="BR59" s="120">
        <v>0</v>
      </c>
      <c r="BS59" s="120">
        <v>0</v>
      </c>
      <c r="BT59" s="120">
        <v>0</v>
      </c>
      <c r="BU59" s="120">
        <v>0</v>
      </c>
      <c r="BV59" s="120">
        <v>0</v>
      </c>
      <c r="BW59" s="120">
        <v>0</v>
      </c>
      <c r="BX59" s="120">
        <v>0</v>
      </c>
      <c r="BY59" s="120">
        <v>0</v>
      </c>
      <c r="BZ59" s="120">
        <v>-181.73427330624139</v>
      </c>
      <c r="CA59" s="120">
        <v>-4327.8577216863387</v>
      </c>
      <c r="CB59" s="120">
        <v>-12804.81814213484</v>
      </c>
      <c r="CC59" s="120">
        <v>0</v>
      </c>
      <c r="CD59" s="120">
        <v>15182.16532640387</v>
      </c>
      <c r="CE59" s="120">
        <v>57067.799976733753</v>
      </c>
      <c r="CF59" s="120">
        <v>37524.694184483502</v>
      </c>
      <c r="CG59" s="120">
        <v>0</v>
      </c>
      <c r="CH59" s="120">
        <v>0</v>
      </c>
      <c r="CI59" s="120">
        <v>0</v>
      </c>
      <c r="CJ59" s="120">
        <v>0</v>
      </c>
      <c r="CK59" s="120">
        <v>0</v>
      </c>
      <c r="CL59" s="120">
        <v>0</v>
      </c>
      <c r="CM59" s="120">
        <v>647.54990129414341</v>
      </c>
      <c r="CN59" s="120">
        <v>10159.55437844458</v>
      </c>
      <c r="CO59" s="120">
        <v>0</v>
      </c>
      <c r="CP59" s="120">
        <v>0</v>
      </c>
      <c r="CQ59" s="120">
        <v>0</v>
      </c>
      <c r="CR59" s="120">
        <v>0</v>
      </c>
      <c r="CS59" s="120">
        <v>7978.1258641349423</v>
      </c>
      <c r="CT59" s="120">
        <v>0</v>
      </c>
      <c r="CU59" s="120">
        <v>0</v>
      </c>
      <c r="CV59" s="120">
        <v>0</v>
      </c>
      <c r="CW59" s="120">
        <v>0</v>
      </c>
      <c r="CX59" s="120">
        <v>0</v>
      </c>
      <c r="CY59" s="120">
        <v>0</v>
      </c>
      <c r="CZ59" s="120">
        <v>0</v>
      </c>
      <c r="DA59" s="120">
        <v>0</v>
      </c>
      <c r="DB59" s="120">
        <v>0</v>
      </c>
      <c r="DC59" s="120">
        <v>0</v>
      </c>
      <c r="DD59" s="120">
        <v>0</v>
      </c>
      <c r="DE59" s="120">
        <v>-1897.8748142033869</v>
      </c>
      <c r="DF59" s="120">
        <v>-31340.146432441339</v>
      </c>
      <c r="DG59" s="120">
        <v>0</v>
      </c>
      <c r="DH59" s="120">
        <v>0</v>
      </c>
      <c r="DI59" s="120">
        <v>0</v>
      </c>
      <c r="DJ59" s="120">
        <v>0</v>
      </c>
      <c r="DK59" s="120">
        <v>0</v>
      </c>
      <c r="DL59" s="120">
        <v>0</v>
      </c>
      <c r="DM59" s="120">
        <v>0</v>
      </c>
      <c r="DN59" s="120">
        <v>43.615421967694758</v>
      </c>
      <c r="DO59" s="120">
        <v>-117.2640681811645</v>
      </c>
      <c r="DP59" s="120">
        <v>46647.266712316246</v>
      </c>
      <c r="DQ59" s="120">
        <v>-9925.763756573604</v>
      </c>
      <c r="DR59" s="120">
        <v>-59267.401655477741</v>
      </c>
      <c r="DS59" s="120">
        <v>-310.34828351322079</v>
      </c>
      <c r="DT59" s="120">
        <v>-1334.253268006956</v>
      </c>
      <c r="DU59" s="120">
        <v>0</v>
      </c>
      <c r="DV59" s="120">
        <v>16091.633638666341</v>
      </c>
      <c r="DW59" s="120">
        <v>-2963.4448785747818</v>
      </c>
      <c r="DX59" s="120">
        <v>0</v>
      </c>
      <c r="DY59" s="120">
        <v>1189.464506872695</v>
      </c>
      <c r="DZ59" s="120">
        <v>-238.24884172221331</v>
      </c>
      <c r="EA59" s="120">
        <v>0</v>
      </c>
      <c r="EB59" s="120">
        <v>784.25089899197997</v>
      </c>
      <c r="EC59" s="120">
        <v>-139.14761227820981</v>
      </c>
      <c r="ED59" s="120">
        <f t="shared" si="0"/>
        <v>96076.530352848058</v>
      </c>
    </row>
    <row r="60" spans="1:134">
      <c r="A60" s="120">
        <v>59</v>
      </c>
      <c r="B60" s="120">
        <v>0</v>
      </c>
      <c r="C60" s="120">
        <v>0</v>
      </c>
      <c r="D60" s="120">
        <v>0</v>
      </c>
      <c r="E60" s="120">
        <v>0</v>
      </c>
      <c r="F60" s="120">
        <v>0</v>
      </c>
      <c r="G60" s="120">
        <v>0</v>
      </c>
      <c r="H60" s="120">
        <v>0</v>
      </c>
      <c r="I60" s="120">
        <v>534.76485150663621</v>
      </c>
      <c r="J60" s="120">
        <v>0</v>
      </c>
      <c r="K60" s="120">
        <v>0</v>
      </c>
      <c r="L60" s="120">
        <v>0</v>
      </c>
      <c r="M60" s="120">
        <v>0</v>
      </c>
      <c r="N60" s="120">
        <v>0</v>
      </c>
      <c r="O60" s="120">
        <v>0</v>
      </c>
      <c r="P60" s="120">
        <v>0</v>
      </c>
      <c r="Q60" s="120">
        <v>0</v>
      </c>
      <c r="R60" s="120">
        <v>0</v>
      </c>
      <c r="S60" s="120">
        <v>0</v>
      </c>
      <c r="T60" s="120">
        <v>0</v>
      </c>
      <c r="U60" s="120">
        <v>0</v>
      </c>
      <c r="V60" s="120">
        <v>0</v>
      </c>
      <c r="W60" s="120">
        <v>0</v>
      </c>
      <c r="X60" s="120">
        <v>0</v>
      </c>
      <c r="Y60" s="120">
        <v>0</v>
      </c>
      <c r="Z60" s="120">
        <v>0</v>
      </c>
      <c r="AA60" s="120">
        <v>0</v>
      </c>
      <c r="AB60" s="120">
        <v>0</v>
      </c>
      <c r="AC60" s="120">
        <v>0</v>
      </c>
      <c r="AD60" s="120">
        <v>0</v>
      </c>
      <c r="AE60" s="120">
        <v>0</v>
      </c>
      <c r="AF60" s="120">
        <v>0</v>
      </c>
      <c r="AG60" s="120">
        <v>0</v>
      </c>
      <c r="AH60" s="120">
        <v>0</v>
      </c>
      <c r="AI60" s="120">
        <v>0</v>
      </c>
      <c r="AJ60" s="120">
        <v>0</v>
      </c>
      <c r="AK60" s="120">
        <v>0</v>
      </c>
      <c r="AL60" s="120">
        <v>0</v>
      </c>
      <c r="AM60" s="120">
        <v>0</v>
      </c>
      <c r="AN60" s="120">
        <v>0</v>
      </c>
      <c r="AO60" s="120">
        <v>0</v>
      </c>
      <c r="AP60" s="120">
        <v>0</v>
      </c>
      <c r="AQ60" s="120">
        <v>0</v>
      </c>
      <c r="AR60" s="120">
        <v>0</v>
      </c>
      <c r="AS60" s="120">
        <v>0</v>
      </c>
      <c r="AT60" s="120">
        <v>0</v>
      </c>
      <c r="AU60" s="120">
        <v>0</v>
      </c>
      <c r="AV60" s="120">
        <v>0</v>
      </c>
      <c r="AW60" s="120">
        <v>0</v>
      </c>
      <c r="AX60" s="120">
        <v>0</v>
      </c>
      <c r="AY60" s="120">
        <v>0</v>
      </c>
      <c r="AZ60" s="120">
        <v>0</v>
      </c>
      <c r="BA60" s="120">
        <v>0</v>
      </c>
      <c r="BB60" s="120">
        <v>0</v>
      </c>
      <c r="BC60" s="120">
        <v>0</v>
      </c>
      <c r="BD60" s="120">
        <v>0</v>
      </c>
      <c r="BE60" s="120">
        <v>0</v>
      </c>
      <c r="BF60" s="120">
        <v>0</v>
      </c>
      <c r="BG60" s="120">
        <v>0</v>
      </c>
      <c r="BH60" s="120">
        <v>0</v>
      </c>
      <c r="BI60" s="120">
        <v>0</v>
      </c>
      <c r="BJ60" s="120">
        <v>0</v>
      </c>
      <c r="BK60" s="120">
        <v>0</v>
      </c>
      <c r="BL60" s="120">
        <v>0</v>
      </c>
      <c r="BM60" s="120">
        <v>0</v>
      </c>
      <c r="BN60" s="120">
        <v>0</v>
      </c>
      <c r="BO60" s="120">
        <v>0</v>
      </c>
      <c r="BP60" s="120">
        <v>0</v>
      </c>
      <c r="BQ60" s="120">
        <v>0</v>
      </c>
      <c r="BR60" s="120">
        <v>0</v>
      </c>
      <c r="BS60" s="120">
        <v>0</v>
      </c>
      <c r="BT60" s="120">
        <v>0</v>
      </c>
      <c r="BU60" s="120">
        <v>0</v>
      </c>
      <c r="BV60" s="120">
        <v>0</v>
      </c>
      <c r="BW60" s="120">
        <v>0</v>
      </c>
      <c r="BX60" s="120">
        <v>0</v>
      </c>
      <c r="BY60" s="120">
        <v>0</v>
      </c>
      <c r="BZ60" s="120">
        <v>-2.6568123048125538</v>
      </c>
      <c r="CA60" s="120">
        <v>-66.672662587148793</v>
      </c>
      <c r="CB60" s="120">
        <v>-149.7352379863386</v>
      </c>
      <c r="CC60" s="120">
        <v>0</v>
      </c>
      <c r="CD60" s="120">
        <v>0</v>
      </c>
      <c r="CE60" s="120">
        <v>0</v>
      </c>
      <c r="CF60" s="120">
        <v>0</v>
      </c>
      <c r="CG60" s="120">
        <v>0</v>
      </c>
      <c r="CH60" s="120">
        <v>0</v>
      </c>
      <c r="CI60" s="120">
        <v>0</v>
      </c>
      <c r="CJ60" s="120">
        <v>0</v>
      </c>
      <c r="CK60" s="120">
        <v>0</v>
      </c>
      <c r="CL60" s="120">
        <v>0</v>
      </c>
      <c r="CM60" s="120">
        <v>0</v>
      </c>
      <c r="CN60" s="120">
        <v>0</v>
      </c>
      <c r="CO60" s="120">
        <v>0</v>
      </c>
      <c r="CP60" s="120">
        <v>0</v>
      </c>
      <c r="CQ60" s="120">
        <v>0</v>
      </c>
      <c r="CR60" s="120">
        <v>0</v>
      </c>
      <c r="CS60" s="120">
        <v>0</v>
      </c>
      <c r="CT60" s="120">
        <v>0</v>
      </c>
      <c r="CU60" s="120">
        <v>0</v>
      </c>
      <c r="CV60" s="120">
        <v>0</v>
      </c>
      <c r="CW60" s="120">
        <v>0</v>
      </c>
      <c r="CX60" s="120">
        <v>0</v>
      </c>
      <c r="CY60" s="120">
        <v>0</v>
      </c>
      <c r="CZ60" s="120">
        <v>0</v>
      </c>
      <c r="DA60" s="120">
        <v>77.205351295724569</v>
      </c>
      <c r="DB60" s="120">
        <v>0</v>
      </c>
      <c r="DC60" s="120">
        <v>0</v>
      </c>
      <c r="DD60" s="120">
        <v>0</v>
      </c>
      <c r="DE60" s="120">
        <v>-1.0433155580503319</v>
      </c>
      <c r="DF60" s="120">
        <v>-15.64973337075498</v>
      </c>
      <c r="DG60" s="120">
        <v>0</v>
      </c>
      <c r="DH60" s="120">
        <v>0</v>
      </c>
      <c r="DI60" s="120">
        <v>0</v>
      </c>
      <c r="DJ60" s="120">
        <v>0</v>
      </c>
      <c r="DK60" s="120">
        <v>0</v>
      </c>
      <c r="DL60" s="120">
        <v>0</v>
      </c>
      <c r="DM60" s="120">
        <v>0</v>
      </c>
      <c r="DN60" s="120">
        <v>-13.274258859733189</v>
      </c>
      <c r="DO60" s="120">
        <v>0</v>
      </c>
      <c r="DP60" s="120">
        <v>181.63599100815159</v>
      </c>
      <c r="DQ60" s="120">
        <v>-18.42566454883006</v>
      </c>
      <c r="DR60" s="120">
        <v>-431.20222885491819</v>
      </c>
      <c r="DS60" s="120">
        <v>-36.830237216273161</v>
      </c>
      <c r="DT60" s="120">
        <v>-41.704163750211571</v>
      </c>
      <c r="DU60" s="120">
        <v>0</v>
      </c>
      <c r="DV60" s="120">
        <v>0</v>
      </c>
      <c r="DW60" s="120">
        <v>0</v>
      </c>
      <c r="DX60" s="120">
        <v>0</v>
      </c>
      <c r="DY60" s="120">
        <v>0</v>
      </c>
      <c r="DZ60" s="120">
        <v>0</v>
      </c>
      <c r="EA60" s="120">
        <v>0</v>
      </c>
      <c r="EB60" s="120">
        <v>0</v>
      </c>
      <c r="EC60" s="120">
        <v>0</v>
      </c>
      <c r="ED60" s="120">
        <f t="shared" si="0"/>
        <v>16.411878773440939</v>
      </c>
    </row>
    <row r="61" spans="1:134">
      <c r="A61" s="120">
        <v>60</v>
      </c>
      <c r="B61" s="120">
        <v>0</v>
      </c>
      <c r="C61" s="120">
        <v>0</v>
      </c>
      <c r="D61" s="120">
        <v>303.66954245907669</v>
      </c>
      <c r="E61" s="120">
        <v>6826.6072043643553</v>
      </c>
      <c r="F61" s="120">
        <v>7.9247405148759604</v>
      </c>
      <c r="G61" s="120">
        <v>0</v>
      </c>
      <c r="H61" s="120">
        <v>0</v>
      </c>
      <c r="I61" s="120">
        <v>0</v>
      </c>
      <c r="J61" s="120">
        <v>0</v>
      </c>
      <c r="K61" s="120">
        <v>0</v>
      </c>
      <c r="L61" s="120">
        <v>0</v>
      </c>
      <c r="M61" s="120">
        <v>0</v>
      </c>
      <c r="N61" s="120">
        <v>0</v>
      </c>
      <c r="O61" s="120">
        <v>43.051067227784038</v>
      </c>
      <c r="P61" s="120">
        <v>0</v>
      </c>
      <c r="Q61" s="120">
        <v>0</v>
      </c>
      <c r="R61" s="120">
        <v>0</v>
      </c>
      <c r="S61" s="120">
        <v>0</v>
      </c>
      <c r="T61" s="120">
        <v>0</v>
      </c>
      <c r="U61" s="120">
        <v>0</v>
      </c>
      <c r="V61" s="120">
        <v>0</v>
      </c>
      <c r="W61" s="120">
        <v>0</v>
      </c>
      <c r="X61" s="120">
        <v>0</v>
      </c>
      <c r="Y61" s="120">
        <v>0</v>
      </c>
      <c r="Z61" s="120">
        <v>0</v>
      </c>
      <c r="AA61" s="120">
        <v>0</v>
      </c>
      <c r="AB61" s="120">
        <v>0</v>
      </c>
      <c r="AC61" s="120">
        <v>79.294298920206629</v>
      </c>
      <c r="AD61" s="120">
        <v>3408.9828682644888</v>
      </c>
      <c r="AE61" s="120">
        <v>0</v>
      </c>
      <c r="AF61" s="120">
        <v>0</v>
      </c>
      <c r="AG61" s="120">
        <v>0</v>
      </c>
      <c r="AH61" s="120">
        <v>0</v>
      </c>
      <c r="AI61" s="120">
        <v>0</v>
      </c>
      <c r="AJ61" s="120">
        <v>0</v>
      </c>
      <c r="AK61" s="120">
        <v>0</v>
      </c>
      <c r="AL61" s="120">
        <v>0</v>
      </c>
      <c r="AM61" s="120">
        <v>0</v>
      </c>
      <c r="AN61" s="120">
        <v>0</v>
      </c>
      <c r="AO61" s="120">
        <v>0</v>
      </c>
      <c r="AP61" s="120">
        <v>0</v>
      </c>
      <c r="AQ61" s="120">
        <v>0</v>
      </c>
      <c r="AR61" s="120">
        <v>0</v>
      </c>
      <c r="AS61" s="120">
        <v>0</v>
      </c>
      <c r="AT61" s="120">
        <v>0</v>
      </c>
      <c r="AU61" s="120">
        <v>0</v>
      </c>
      <c r="AV61" s="120">
        <v>0</v>
      </c>
      <c r="AW61" s="120">
        <v>0</v>
      </c>
      <c r="AX61" s="120">
        <v>0</v>
      </c>
      <c r="AY61" s="120">
        <v>0</v>
      </c>
      <c r="AZ61" s="120">
        <v>0</v>
      </c>
      <c r="BA61" s="120">
        <v>0</v>
      </c>
      <c r="BB61" s="120">
        <v>0</v>
      </c>
      <c r="BC61" s="120">
        <v>0</v>
      </c>
      <c r="BD61" s="120">
        <v>0</v>
      </c>
      <c r="BE61" s="120">
        <v>0</v>
      </c>
      <c r="BF61" s="120">
        <v>0</v>
      </c>
      <c r="BG61" s="120">
        <v>0</v>
      </c>
      <c r="BH61" s="120">
        <v>0</v>
      </c>
      <c r="BI61" s="120">
        <v>0</v>
      </c>
      <c r="BJ61" s="120">
        <v>0</v>
      </c>
      <c r="BK61" s="120">
        <v>0</v>
      </c>
      <c r="BL61" s="120">
        <v>0</v>
      </c>
      <c r="BM61" s="120">
        <v>0</v>
      </c>
      <c r="BN61" s="120">
        <v>0</v>
      </c>
      <c r="BO61" s="120">
        <v>0</v>
      </c>
      <c r="BP61" s="120">
        <v>0</v>
      </c>
      <c r="BQ61" s="120">
        <v>0</v>
      </c>
      <c r="BR61" s="120">
        <v>0</v>
      </c>
      <c r="BS61" s="120">
        <v>0</v>
      </c>
      <c r="BT61" s="120">
        <v>0</v>
      </c>
      <c r="BU61" s="120">
        <v>0</v>
      </c>
      <c r="BV61" s="120">
        <v>0</v>
      </c>
      <c r="BW61" s="120">
        <v>0</v>
      </c>
      <c r="BX61" s="120">
        <v>0</v>
      </c>
      <c r="BY61" s="120">
        <v>0</v>
      </c>
      <c r="BZ61" s="120">
        <v>-387.77367953805071</v>
      </c>
      <c r="CA61" s="120">
        <v>-809.16970272654771</v>
      </c>
      <c r="CB61" s="120">
        <v>-6457.5641682501764</v>
      </c>
      <c r="CC61" s="120">
        <v>0</v>
      </c>
      <c r="CD61" s="120">
        <v>0</v>
      </c>
      <c r="CE61" s="120">
        <v>0</v>
      </c>
      <c r="CF61" s="120">
        <v>0</v>
      </c>
      <c r="CG61" s="120">
        <v>0</v>
      </c>
      <c r="CH61" s="120">
        <v>0</v>
      </c>
      <c r="CI61" s="120">
        <v>0</v>
      </c>
      <c r="CJ61" s="120">
        <v>0</v>
      </c>
      <c r="CK61" s="120">
        <v>0</v>
      </c>
      <c r="CL61" s="120">
        <v>0</v>
      </c>
      <c r="CM61" s="120">
        <v>0</v>
      </c>
      <c r="CN61" s="120">
        <v>0</v>
      </c>
      <c r="CO61" s="120">
        <v>0</v>
      </c>
      <c r="CP61" s="120">
        <v>0</v>
      </c>
      <c r="CQ61" s="120">
        <v>0</v>
      </c>
      <c r="CR61" s="120">
        <v>0</v>
      </c>
      <c r="CS61" s="120">
        <v>0</v>
      </c>
      <c r="CT61" s="120">
        <v>0</v>
      </c>
      <c r="CU61" s="120">
        <v>0</v>
      </c>
      <c r="CV61" s="120">
        <v>0</v>
      </c>
      <c r="CW61" s="120">
        <v>0</v>
      </c>
      <c r="CX61" s="120">
        <v>0</v>
      </c>
      <c r="CY61" s="120">
        <v>0</v>
      </c>
      <c r="CZ61" s="120">
        <v>0</v>
      </c>
      <c r="DA61" s="120">
        <v>3661.893110333333</v>
      </c>
      <c r="DB61" s="120">
        <v>0</v>
      </c>
      <c r="DC61" s="120">
        <v>0</v>
      </c>
      <c r="DD61" s="120">
        <v>0</v>
      </c>
      <c r="DE61" s="120">
        <v>-349.29623244189622</v>
      </c>
      <c r="DF61" s="120">
        <v>-717.21509795452585</v>
      </c>
      <c r="DG61" s="120">
        <v>0</v>
      </c>
      <c r="DH61" s="120">
        <v>0</v>
      </c>
      <c r="DI61" s="120">
        <v>0</v>
      </c>
      <c r="DJ61" s="120">
        <v>0</v>
      </c>
      <c r="DK61" s="120">
        <v>0</v>
      </c>
      <c r="DL61" s="120">
        <v>0</v>
      </c>
      <c r="DM61" s="120">
        <v>0</v>
      </c>
      <c r="DN61" s="120">
        <v>340.38987615925907</v>
      </c>
      <c r="DO61" s="120">
        <v>-144.61349872034751</v>
      </c>
      <c r="DP61" s="120">
        <v>1917.8371891391971</v>
      </c>
      <c r="DQ61" s="120">
        <v>-811.32656288488499</v>
      </c>
      <c r="DR61" s="120">
        <v>-22306.346247257781</v>
      </c>
      <c r="DS61" s="120">
        <v>-265.69991577483847</v>
      </c>
      <c r="DT61" s="120">
        <v>-1774.367082597244</v>
      </c>
      <c r="DU61" s="120">
        <v>0</v>
      </c>
      <c r="DV61" s="120">
        <v>0</v>
      </c>
      <c r="DW61" s="120">
        <v>0</v>
      </c>
      <c r="DX61" s="120">
        <v>0</v>
      </c>
      <c r="DY61" s="120">
        <v>0</v>
      </c>
      <c r="DZ61" s="120">
        <v>0</v>
      </c>
      <c r="EA61" s="120">
        <v>0</v>
      </c>
      <c r="EB61" s="120">
        <v>43.729730449594463</v>
      </c>
      <c r="EC61" s="120">
        <v>-12.61243394770657</v>
      </c>
      <c r="ED61" s="120">
        <f t="shared" si="0"/>
        <v>-17402.604994261823</v>
      </c>
    </row>
    <row r="62" spans="1:134">
      <c r="A62" s="120">
        <v>61</v>
      </c>
      <c r="B62" s="120">
        <v>0</v>
      </c>
      <c r="C62" s="120">
        <v>0</v>
      </c>
      <c r="D62" s="120">
        <v>0</v>
      </c>
      <c r="E62" s="120">
        <v>0</v>
      </c>
      <c r="F62" s="120">
        <v>68210.883191709014</v>
      </c>
      <c r="G62" s="120">
        <v>0</v>
      </c>
      <c r="H62" s="120">
        <v>0</v>
      </c>
      <c r="I62" s="120">
        <v>0</v>
      </c>
      <c r="J62" s="120">
        <v>0</v>
      </c>
      <c r="K62" s="120">
        <v>0</v>
      </c>
      <c r="L62" s="120">
        <v>0</v>
      </c>
      <c r="M62" s="120">
        <v>0</v>
      </c>
      <c r="N62" s="120">
        <v>0</v>
      </c>
      <c r="O62" s="120">
        <v>108.8938759291008</v>
      </c>
      <c r="P62" s="120">
        <v>0</v>
      </c>
      <c r="Q62" s="120">
        <v>0</v>
      </c>
      <c r="R62" s="120">
        <v>0</v>
      </c>
      <c r="S62" s="120">
        <v>0</v>
      </c>
      <c r="T62" s="120">
        <v>0</v>
      </c>
      <c r="U62" s="120">
        <v>0</v>
      </c>
      <c r="V62" s="120">
        <v>0</v>
      </c>
      <c r="W62" s="120">
        <v>0</v>
      </c>
      <c r="X62" s="120">
        <v>0</v>
      </c>
      <c r="Y62" s="120">
        <v>0</v>
      </c>
      <c r="Z62" s="120">
        <v>0</v>
      </c>
      <c r="AA62" s="120">
        <v>0</v>
      </c>
      <c r="AB62" s="120">
        <v>0</v>
      </c>
      <c r="AC62" s="120">
        <v>0</v>
      </c>
      <c r="AD62" s="120">
        <v>0</v>
      </c>
      <c r="AE62" s="120">
        <v>20870.298923368951</v>
      </c>
      <c r="AF62" s="120">
        <v>0</v>
      </c>
      <c r="AG62" s="120">
        <v>0</v>
      </c>
      <c r="AH62" s="120">
        <v>0</v>
      </c>
      <c r="AI62" s="120">
        <v>0</v>
      </c>
      <c r="AJ62" s="120">
        <v>0</v>
      </c>
      <c r="AK62" s="120">
        <v>0</v>
      </c>
      <c r="AL62" s="120">
        <v>0</v>
      </c>
      <c r="AM62" s="120">
        <v>0</v>
      </c>
      <c r="AN62" s="120">
        <v>0</v>
      </c>
      <c r="AO62" s="120">
        <v>0</v>
      </c>
      <c r="AP62" s="120">
        <v>0</v>
      </c>
      <c r="AQ62" s="120">
        <v>0</v>
      </c>
      <c r="AR62" s="120">
        <v>0</v>
      </c>
      <c r="AS62" s="120">
        <v>0</v>
      </c>
      <c r="AT62" s="120">
        <v>0</v>
      </c>
      <c r="AU62" s="120">
        <v>0</v>
      </c>
      <c r="AV62" s="120">
        <v>0</v>
      </c>
      <c r="AW62" s="120">
        <v>0</v>
      </c>
      <c r="AX62" s="120">
        <v>0</v>
      </c>
      <c r="AY62" s="120">
        <v>0</v>
      </c>
      <c r="AZ62" s="120">
        <v>0</v>
      </c>
      <c r="BA62" s="120">
        <v>0</v>
      </c>
      <c r="BB62" s="120">
        <v>0</v>
      </c>
      <c r="BC62" s="120">
        <v>0</v>
      </c>
      <c r="BD62" s="120">
        <v>0</v>
      </c>
      <c r="BE62" s="120">
        <v>0</v>
      </c>
      <c r="BF62" s="120">
        <v>0</v>
      </c>
      <c r="BG62" s="120">
        <v>0</v>
      </c>
      <c r="BH62" s="120">
        <v>0</v>
      </c>
      <c r="BI62" s="120">
        <v>0</v>
      </c>
      <c r="BJ62" s="120">
        <v>0</v>
      </c>
      <c r="BK62" s="120">
        <v>0</v>
      </c>
      <c r="BL62" s="120">
        <v>0</v>
      </c>
      <c r="BM62" s="120">
        <v>0</v>
      </c>
      <c r="BN62" s="120">
        <v>0</v>
      </c>
      <c r="BO62" s="120">
        <v>0</v>
      </c>
      <c r="BP62" s="120">
        <v>0</v>
      </c>
      <c r="BQ62" s="120">
        <v>0</v>
      </c>
      <c r="BR62" s="120">
        <v>0</v>
      </c>
      <c r="BS62" s="120">
        <v>0</v>
      </c>
      <c r="BT62" s="120">
        <v>0</v>
      </c>
      <c r="BU62" s="120">
        <v>0</v>
      </c>
      <c r="BV62" s="120">
        <v>0</v>
      </c>
      <c r="BW62" s="120">
        <v>0</v>
      </c>
      <c r="BX62" s="120">
        <v>0</v>
      </c>
      <c r="BY62" s="120">
        <v>0</v>
      </c>
      <c r="BZ62" s="120">
        <v>-3343.840858140125</v>
      </c>
      <c r="CA62" s="120">
        <v>-15629.861375063691</v>
      </c>
      <c r="CB62" s="120">
        <v>-21609.791357638609</v>
      </c>
      <c r="CC62" s="120">
        <v>0</v>
      </c>
      <c r="CD62" s="120">
        <v>0</v>
      </c>
      <c r="CE62" s="120">
        <v>0</v>
      </c>
      <c r="CF62" s="120">
        <v>0</v>
      </c>
      <c r="CG62" s="120">
        <v>0</v>
      </c>
      <c r="CH62" s="120">
        <v>0</v>
      </c>
      <c r="CI62" s="120">
        <v>0</v>
      </c>
      <c r="CJ62" s="120">
        <v>0</v>
      </c>
      <c r="CK62" s="120">
        <v>0</v>
      </c>
      <c r="CL62" s="120">
        <v>0</v>
      </c>
      <c r="CM62" s="120">
        <v>0</v>
      </c>
      <c r="CN62" s="120">
        <v>0</v>
      </c>
      <c r="CO62" s="120">
        <v>0</v>
      </c>
      <c r="CP62" s="120">
        <v>0</v>
      </c>
      <c r="CQ62" s="120">
        <v>0</v>
      </c>
      <c r="CR62" s="120">
        <v>0</v>
      </c>
      <c r="CS62" s="120">
        <v>0</v>
      </c>
      <c r="CT62" s="120">
        <v>0</v>
      </c>
      <c r="CU62" s="120">
        <v>0</v>
      </c>
      <c r="CV62" s="120">
        <v>0</v>
      </c>
      <c r="CW62" s="120">
        <v>0</v>
      </c>
      <c r="CX62" s="120">
        <v>0</v>
      </c>
      <c r="CY62" s="120">
        <v>0</v>
      </c>
      <c r="CZ62" s="120">
        <v>0</v>
      </c>
      <c r="DA62" s="120">
        <v>1432.327194447724</v>
      </c>
      <c r="DB62" s="120">
        <v>0</v>
      </c>
      <c r="DC62" s="120">
        <v>0</v>
      </c>
      <c r="DD62" s="120">
        <v>15528.816227527819</v>
      </c>
      <c r="DE62" s="120">
        <v>-240.53870500965581</v>
      </c>
      <c r="DF62" s="120">
        <v>-3336.0339169363619</v>
      </c>
      <c r="DG62" s="120">
        <v>-3189.7570360166992</v>
      </c>
      <c r="DH62" s="120">
        <v>0</v>
      </c>
      <c r="DI62" s="120">
        <v>0</v>
      </c>
      <c r="DJ62" s="120">
        <v>0</v>
      </c>
      <c r="DK62" s="120">
        <v>0</v>
      </c>
      <c r="DL62" s="120">
        <v>0</v>
      </c>
      <c r="DM62" s="120">
        <v>0</v>
      </c>
      <c r="DN62" s="120">
        <v>816.38222330879205</v>
      </c>
      <c r="DO62" s="120">
        <v>-261.16766186809008</v>
      </c>
      <c r="DP62" s="120">
        <v>4275.4845262899871</v>
      </c>
      <c r="DQ62" s="120">
        <v>-1607.169794417006</v>
      </c>
      <c r="DR62" s="120">
        <v>-44202.235995829367</v>
      </c>
      <c r="DS62" s="120">
        <v>-849.66344866636723</v>
      </c>
      <c r="DT62" s="120">
        <v>-1931.250904462684</v>
      </c>
      <c r="DU62" s="120">
        <v>0</v>
      </c>
      <c r="DV62" s="120">
        <v>4.7350192594990563</v>
      </c>
      <c r="DW62" s="120">
        <v>-1.4174044459452271</v>
      </c>
      <c r="DX62" s="120">
        <v>0</v>
      </c>
      <c r="DY62" s="120">
        <v>3.65904241313764</v>
      </c>
      <c r="DZ62" s="120">
        <v>-1.0351912709437019</v>
      </c>
      <c r="EA62" s="120">
        <v>0</v>
      </c>
      <c r="EB62" s="120">
        <v>624.14251641693932</v>
      </c>
      <c r="EC62" s="120">
        <v>-163.96164132018549</v>
      </c>
      <c r="ED62" s="120">
        <f t="shared" si="0"/>
        <v>15507.897449585236</v>
      </c>
    </row>
    <row r="63" spans="1:134">
      <c r="A63" s="120">
        <v>62</v>
      </c>
      <c r="B63" s="120">
        <v>0</v>
      </c>
      <c r="C63" s="120">
        <v>0</v>
      </c>
      <c r="D63" s="120">
        <v>0</v>
      </c>
      <c r="E63" s="120">
        <v>0</v>
      </c>
      <c r="F63" s="120">
        <v>0</v>
      </c>
      <c r="G63" s="120">
        <v>0</v>
      </c>
      <c r="H63" s="120">
        <v>559.70123872559645</v>
      </c>
      <c r="I63" s="120">
        <v>0</v>
      </c>
      <c r="J63" s="120">
        <v>0</v>
      </c>
      <c r="K63" s="120">
        <v>0</v>
      </c>
      <c r="L63" s="120">
        <v>0</v>
      </c>
      <c r="M63" s="120">
        <v>0</v>
      </c>
      <c r="N63" s="120">
        <v>0</v>
      </c>
      <c r="O63" s="120">
        <v>0</v>
      </c>
      <c r="P63" s="120">
        <v>0</v>
      </c>
      <c r="Q63" s="120">
        <v>0</v>
      </c>
      <c r="R63" s="120">
        <v>0</v>
      </c>
      <c r="S63" s="120">
        <v>0</v>
      </c>
      <c r="T63" s="120">
        <v>0</v>
      </c>
      <c r="U63" s="120">
        <v>0</v>
      </c>
      <c r="V63" s="120">
        <v>0</v>
      </c>
      <c r="W63" s="120">
        <v>0</v>
      </c>
      <c r="X63" s="120">
        <v>0</v>
      </c>
      <c r="Y63" s="120">
        <v>0</v>
      </c>
      <c r="Z63" s="120">
        <v>0</v>
      </c>
      <c r="AA63" s="120">
        <v>0</v>
      </c>
      <c r="AB63" s="120">
        <v>0</v>
      </c>
      <c r="AC63" s="120">
        <v>9.220267316303099</v>
      </c>
      <c r="AD63" s="120">
        <v>437.53838493118769</v>
      </c>
      <c r="AE63" s="120">
        <v>0</v>
      </c>
      <c r="AF63" s="120">
        <v>0</v>
      </c>
      <c r="AG63" s="120">
        <v>0</v>
      </c>
      <c r="AH63" s="120">
        <v>0</v>
      </c>
      <c r="AI63" s="120">
        <v>0</v>
      </c>
      <c r="AJ63" s="120">
        <v>0</v>
      </c>
      <c r="AK63" s="120">
        <v>0</v>
      </c>
      <c r="AL63" s="120">
        <v>0</v>
      </c>
      <c r="AM63" s="120">
        <v>0</v>
      </c>
      <c r="AN63" s="120">
        <v>0</v>
      </c>
      <c r="AO63" s="120">
        <v>0</v>
      </c>
      <c r="AP63" s="120">
        <v>0</v>
      </c>
      <c r="AQ63" s="120">
        <v>0</v>
      </c>
      <c r="AR63" s="120">
        <v>0</v>
      </c>
      <c r="AS63" s="120">
        <v>0</v>
      </c>
      <c r="AT63" s="120">
        <v>0</v>
      </c>
      <c r="AU63" s="120">
        <v>0</v>
      </c>
      <c r="AV63" s="120">
        <v>0</v>
      </c>
      <c r="AW63" s="120">
        <v>0</v>
      </c>
      <c r="AX63" s="120">
        <v>0</v>
      </c>
      <c r="AY63" s="120">
        <v>0</v>
      </c>
      <c r="AZ63" s="120">
        <v>0</v>
      </c>
      <c r="BA63" s="120">
        <v>0</v>
      </c>
      <c r="BB63" s="120">
        <v>0</v>
      </c>
      <c r="BC63" s="120">
        <v>0</v>
      </c>
      <c r="BD63" s="120">
        <v>0</v>
      </c>
      <c r="BE63" s="120">
        <v>0</v>
      </c>
      <c r="BF63" s="120">
        <v>0</v>
      </c>
      <c r="BG63" s="120">
        <v>0</v>
      </c>
      <c r="BH63" s="120">
        <v>0</v>
      </c>
      <c r="BI63" s="120">
        <v>0</v>
      </c>
      <c r="BJ63" s="120">
        <v>0</v>
      </c>
      <c r="BK63" s="120">
        <v>0</v>
      </c>
      <c r="BL63" s="120">
        <v>0</v>
      </c>
      <c r="BM63" s="120">
        <v>0</v>
      </c>
      <c r="BN63" s="120">
        <v>0</v>
      </c>
      <c r="BO63" s="120">
        <v>0</v>
      </c>
      <c r="BP63" s="120">
        <v>0</v>
      </c>
      <c r="BQ63" s="120">
        <v>0</v>
      </c>
      <c r="BR63" s="120">
        <v>0</v>
      </c>
      <c r="BS63" s="120">
        <v>0</v>
      </c>
      <c r="BT63" s="120">
        <v>0</v>
      </c>
      <c r="BU63" s="120">
        <v>0</v>
      </c>
      <c r="BV63" s="120">
        <v>0</v>
      </c>
      <c r="BW63" s="120">
        <v>0</v>
      </c>
      <c r="BX63" s="120">
        <v>0</v>
      </c>
      <c r="BY63" s="120">
        <v>0</v>
      </c>
      <c r="BZ63" s="120">
        <v>-4.492096373976465</v>
      </c>
      <c r="CA63" s="120">
        <v>-56.912811285506763</v>
      </c>
      <c r="CB63" s="120">
        <v>-731.53301228278337</v>
      </c>
      <c r="CC63" s="120">
        <v>0</v>
      </c>
      <c r="CD63" s="120">
        <v>0</v>
      </c>
      <c r="CE63" s="120">
        <v>0</v>
      </c>
      <c r="CF63" s="120">
        <v>0</v>
      </c>
      <c r="CG63" s="120">
        <v>0</v>
      </c>
      <c r="CH63" s="120">
        <v>0</v>
      </c>
      <c r="CI63" s="120">
        <v>0</v>
      </c>
      <c r="CJ63" s="120">
        <v>0</v>
      </c>
      <c r="CK63" s="120">
        <v>0</v>
      </c>
      <c r="CL63" s="120">
        <v>0</v>
      </c>
      <c r="CM63" s="120">
        <v>0</v>
      </c>
      <c r="CN63" s="120">
        <v>38988.166852159993</v>
      </c>
      <c r="CO63" s="120">
        <v>0</v>
      </c>
      <c r="CP63" s="120">
        <v>0</v>
      </c>
      <c r="CQ63" s="120">
        <v>0</v>
      </c>
      <c r="CR63" s="120">
        <v>0</v>
      </c>
      <c r="CS63" s="120">
        <v>0</v>
      </c>
      <c r="CT63" s="120">
        <v>0</v>
      </c>
      <c r="CU63" s="120">
        <v>0</v>
      </c>
      <c r="CV63" s="120">
        <v>0</v>
      </c>
      <c r="CW63" s="120">
        <v>0</v>
      </c>
      <c r="CX63" s="120">
        <v>0</v>
      </c>
      <c r="CY63" s="120">
        <v>0</v>
      </c>
      <c r="CZ63" s="120">
        <v>0</v>
      </c>
      <c r="DA63" s="120">
        <v>0</v>
      </c>
      <c r="DB63" s="120">
        <v>0</v>
      </c>
      <c r="DC63" s="120">
        <v>0</v>
      </c>
      <c r="DD63" s="120">
        <v>0</v>
      </c>
      <c r="DE63" s="120">
        <v>-443.36907225964478</v>
      </c>
      <c r="DF63" s="120">
        <v>-8166.9157267957098</v>
      </c>
      <c r="DG63" s="120">
        <v>0</v>
      </c>
      <c r="DH63" s="120">
        <v>0</v>
      </c>
      <c r="DI63" s="120">
        <v>0</v>
      </c>
      <c r="DJ63" s="120">
        <v>0</v>
      </c>
      <c r="DK63" s="120">
        <v>0</v>
      </c>
      <c r="DL63" s="120">
        <v>0</v>
      </c>
      <c r="DM63" s="120">
        <v>0</v>
      </c>
      <c r="DN63" s="120">
        <v>790.09194832088235</v>
      </c>
      <c r="DO63" s="120">
        <v>-261.16766186809008</v>
      </c>
      <c r="DP63" s="120">
        <v>17368.451799315739</v>
      </c>
      <c r="DQ63" s="120">
        <v>-5073.8876843010839</v>
      </c>
      <c r="DR63" s="120">
        <v>-44845.358983531602</v>
      </c>
      <c r="DS63" s="120">
        <v>-294.27754348156458</v>
      </c>
      <c r="DT63" s="120">
        <v>-1960.6990652869581</v>
      </c>
      <c r="DU63" s="120">
        <v>0</v>
      </c>
      <c r="DV63" s="120">
        <v>676.31858423178187</v>
      </c>
      <c r="DW63" s="120">
        <v>-144.57525348641309</v>
      </c>
      <c r="DX63" s="120">
        <v>0</v>
      </c>
      <c r="DY63" s="120">
        <v>92.619511082546509</v>
      </c>
      <c r="DZ63" s="120">
        <v>-19.875672402119079</v>
      </c>
      <c r="EA63" s="120">
        <v>0</v>
      </c>
      <c r="EB63" s="120">
        <v>200.09664539056871</v>
      </c>
      <c r="EC63" s="120">
        <v>-44.143518816973042</v>
      </c>
      <c r="ED63" s="120">
        <f t="shared" si="0"/>
        <v>-2925.0028706978196</v>
      </c>
    </row>
    <row r="64" spans="1:134">
      <c r="A64" s="120">
        <v>63</v>
      </c>
      <c r="B64" s="120">
        <v>0</v>
      </c>
      <c r="C64" s="120">
        <v>0</v>
      </c>
      <c r="D64" s="120">
        <v>4582.6494589278864</v>
      </c>
      <c r="E64" s="120">
        <v>0</v>
      </c>
      <c r="F64" s="120">
        <v>18.491061201377239</v>
      </c>
      <c r="G64" s="120">
        <v>0</v>
      </c>
      <c r="H64" s="120">
        <v>0</v>
      </c>
      <c r="I64" s="120">
        <v>2280.114274451631</v>
      </c>
      <c r="J64" s="120">
        <v>0</v>
      </c>
      <c r="K64" s="120">
        <v>69.730644226208256</v>
      </c>
      <c r="L64" s="120">
        <v>0</v>
      </c>
      <c r="M64" s="120">
        <v>0</v>
      </c>
      <c r="N64" s="120">
        <v>0</v>
      </c>
      <c r="O64" s="120">
        <v>3471.9419511348192</v>
      </c>
      <c r="P64" s="120">
        <v>0</v>
      </c>
      <c r="Q64" s="120">
        <v>0</v>
      </c>
      <c r="R64" s="120">
        <v>0</v>
      </c>
      <c r="S64" s="120">
        <v>0</v>
      </c>
      <c r="T64" s="120">
        <v>0</v>
      </c>
      <c r="U64" s="120">
        <v>0</v>
      </c>
      <c r="V64" s="120">
        <v>0</v>
      </c>
      <c r="W64" s="120">
        <v>0</v>
      </c>
      <c r="X64" s="120">
        <v>0</v>
      </c>
      <c r="Y64" s="120">
        <v>0</v>
      </c>
      <c r="Z64" s="120">
        <v>0</v>
      </c>
      <c r="AA64" s="120">
        <v>0</v>
      </c>
      <c r="AB64" s="120">
        <v>0</v>
      </c>
      <c r="AC64" s="120">
        <v>0</v>
      </c>
      <c r="AD64" s="120">
        <v>4981.9401773317486</v>
      </c>
      <c r="AE64" s="120">
        <v>12893.1813657026</v>
      </c>
      <c r="AF64" s="120">
        <v>0</v>
      </c>
      <c r="AG64" s="120">
        <v>0</v>
      </c>
      <c r="AH64" s="120">
        <v>0</v>
      </c>
      <c r="AI64" s="120">
        <v>0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20">
        <v>0</v>
      </c>
      <c r="AT64" s="120">
        <v>0</v>
      </c>
      <c r="AU64" s="120">
        <v>0</v>
      </c>
      <c r="AV64" s="120">
        <v>0</v>
      </c>
      <c r="AW64" s="120">
        <v>0</v>
      </c>
      <c r="AX64" s="120">
        <v>0</v>
      </c>
      <c r="AY64" s="120">
        <v>0</v>
      </c>
      <c r="AZ64" s="120">
        <v>0</v>
      </c>
      <c r="BA64" s="120">
        <v>0</v>
      </c>
      <c r="BB64" s="120">
        <v>0</v>
      </c>
      <c r="BC64" s="120">
        <v>0</v>
      </c>
      <c r="BD64" s="120">
        <v>0</v>
      </c>
      <c r="BE64" s="120">
        <v>0</v>
      </c>
      <c r="BF64" s="120">
        <v>0</v>
      </c>
      <c r="BG64" s="120">
        <v>0</v>
      </c>
      <c r="BH64" s="120">
        <v>0</v>
      </c>
      <c r="BI64" s="120">
        <v>0</v>
      </c>
      <c r="BJ64" s="120">
        <v>0</v>
      </c>
      <c r="BK64" s="120">
        <v>0</v>
      </c>
      <c r="BL64" s="120">
        <v>0</v>
      </c>
      <c r="BM64" s="120">
        <v>0</v>
      </c>
      <c r="BN64" s="120">
        <v>0</v>
      </c>
      <c r="BO64" s="120">
        <v>0</v>
      </c>
      <c r="BP64" s="120">
        <v>0</v>
      </c>
      <c r="BQ64" s="120">
        <v>0</v>
      </c>
      <c r="BR64" s="120">
        <v>0</v>
      </c>
      <c r="BS64" s="120">
        <v>0</v>
      </c>
      <c r="BT64" s="120">
        <v>0</v>
      </c>
      <c r="BU64" s="120">
        <v>0</v>
      </c>
      <c r="BV64" s="120">
        <v>0</v>
      </c>
      <c r="BW64" s="120">
        <v>0</v>
      </c>
      <c r="BX64" s="120">
        <v>0</v>
      </c>
      <c r="BY64" s="120">
        <v>0</v>
      </c>
      <c r="BZ64" s="120">
        <v>-141.36103142242871</v>
      </c>
      <c r="CA64" s="120">
        <v>-3602.950285466834</v>
      </c>
      <c r="CB64" s="120">
        <v>-10431.04768905689</v>
      </c>
      <c r="CC64" s="120">
        <v>0</v>
      </c>
      <c r="CD64" s="120">
        <v>381.83626443587968</v>
      </c>
      <c r="CE64" s="120">
        <v>0</v>
      </c>
      <c r="CF64" s="120">
        <v>0</v>
      </c>
      <c r="CG64" s="120">
        <v>0</v>
      </c>
      <c r="CH64" s="120">
        <v>0</v>
      </c>
      <c r="CI64" s="120">
        <v>0</v>
      </c>
      <c r="CJ64" s="120">
        <v>0</v>
      </c>
      <c r="CK64" s="120">
        <v>0</v>
      </c>
      <c r="CL64" s="120">
        <v>0</v>
      </c>
      <c r="CM64" s="120">
        <v>0</v>
      </c>
      <c r="CN64" s="120">
        <v>17466.48550546401</v>
      </c>
      <c r="CO64" s="120">
        <v>0</v>
      </c>
      <c r="CP64" s="120">
        <v>0</v>
      </c>
      <c r="CQ64" s="120">
        <v>0</v>
      </c>
      <c r="CR64" s="120">
        <v>0</v>
      </c>
      <c r="CS64" s="120">
        <v>0</v>
      </c>
      <c r="CT64" s="120">
        <v>0</v>
      </c>
      <c r="CU64" s="120">
        <v>0</v>
      </c>
      <c r="CV64" s="120">
        <v>0</v>
      </c>
      <c r="CW64" s="120">
        <v>0</v>
      </c>
      <c r="CX64" s="120">
        <v>0</v>
      </c>
      <c r="CY64" s="120">
        <v>0</v>
      </c>
      <c r="CZ64" s="120">
        <v>0</v>
      </c>
      <c r="DA64" s="120">
        <v>5930.4951971368027</v>
      </c>
      <c r="DB64" s="120">
        <v>0</v>
      </c>
      <c r="DC64" s="120">
        <v>0</v>
      </c>
      <c r="DD64" s="120">
        <v>0</v>
      </c>
      <c r="DE64" s="120">
        <v>-244.472991284165</v>
      </c>
      <c r="DF64" s="120">
        <v>-4787.0902512891435</v>
      </c>
      <c r="DG64" s="120">
        <v>0</v>
      </c>
      <c r="DH64" s="120">
        <v>0</v>
      </c>
      <c r="DI64" s="120">
        <v>0</v>
      </c>
      <c r="DJ64" s="120">
        <v>0</v>
      </c>
      <c r="DK64" s="120">
        <v>0</v>
      </c>
      <c r="DL64" s="120">
        <v>0</v>
      </c>
      <c r="DM64" s="120">
        <v>0</v>
      </c>
      <c r="DN64" s="120">
        <v>567.31646026543172</v>
      </c>
      <c r="DO64" s="120">
        <v>-205.04899072288069</v>
      </c>
      <c r="DP64" s="120">
        <v>22662.58687468099</v>
      </c>
      <c r="DQ64" s="120">
        <v>-5894.5042459976257</v>
      </c>
      <c r="DR64" s="120">
        <v>-48149.784351357259</v>
      </c>
      <c r="DS64" s="120">
        <v>-682.0369725182029</v>
      </c>
      <c r="DT64" s="120">
        <v>-4204.4488458628484</v>
      </c>
      <c r="DU64" s="120">
        <v>0</v>
      </c>
      <c r="DV64" s="120">
        <v>388.27157927892262</v>
      </c>
      <c r="DW64" s="120">
        <v>-82.918160087795769</v>
      </c>
      <c r="DX64" s="120">
        <v>0</v>
      </c>
      <c r="DY64" s="120">
        <v>65.405383134835319</v>
      </c>
      <c r="DZ64" s="120">
        <v>-14.285639539023091</v>
      </c>
      <c r="EA64" s="120">
        <v>0</v>
      </c>
      <c r="EB64" s="120">
        <v>86.134317552231508</v>
      </c>
      <c r="EC64" s="120">
        <v>-19.549272618945199</v>
      </c>
      <c r="ED64" s="120">
        <f t="shared" si="0"/>
        <v>-2612.9182122986631</v>
      </c>
    </row>
    <row r="65" spans="1:134">
      <c r="A65" s="120">
        <v>64</v>
      </c>
      <c r="B65" s="120">
        <v>396930.62376660848</v>
      </c>
      <c r="C65" s="120">
        <v>0</v>
      </c>
      <c r="D65" s="120">
        <v>0</v>
      </c>
      <c r="E65" s="120">
        <v>0</v>
      </c>
      <c r="F65" s="120">
        <v>0</v>
      </c>
      <c r="G65" s="120">
        <v>0</v>
      </c>
      <c r="H65" s="120">
        <v>0</v>
      </c>
      <c r="I65" s="120">
        <v>0</v>
      </c>
      <c r="J65" s="120">
        <v>0</v>
      </c>
      <c r="K65" s="120">
        <v>0</v>
      </c>
      <c r="L65" s="120">
        <v>0</v>
      </c>
      <c r="M65" s="120">
        <v>0</v>
      </c>
      <c r="N65" s="120">
        <v>0</v>
      </c>
      <c r="O65" s="120">
        <v>0</v>
      </c>
      <c r="P65" s="120">
        <v>0</v>
      </c>
      <c r="Q65" s="120">
        <v>0</v>
      </c>
      <c r="R65" s="120">
        <v>0</v>
      </c>
      <c r="S65" s="120">
        <v>0</v>
      </c>
      <c r="T65" s="120">
        <v>0</v>
      </c>
      <c r="U65" s="120">
        <v>0</v>
      </c>
      <c r="V65" s="120">
        <v>0</v>
      </c>
      <c r="W65" s="120">
        <v>0</v>
      </c>
      <c r="X65" s="120">
        <v>0</v>
      </c>
      <c r="Y65" s="120">
        <v>0</v>
      </c>
      <c r="Z65" s="120">
        <v>0</v>
      </c>
      <c r="AA65" s="120">
        <v>0</v>
      </c>
      <c r="AB65" s="120">
        <v>0</v>
      </c>
      <c r="AC65" s="120">
        <v>0</v>
      </c>
      <c r="AD65" s="120">
        <v>0</v>
      </c>
      <c r="AE65" s="120">
        <v>0</v>
      </c>
      <c r="AF65" s="120">
        <v>0</v>
      </c>
      <c r="AG65" s="120">
        <v>0</v>
      </c>
      <c r="AH65" s="120">
        <v>0</v>
      </c>
      <c r="AI65" s="120">
        <v>0</v>
      </c>
      <c r="AJ65" s="120">
        <v>0</v>
      </c>
      <c r="AK65" s="120">
        <v>0</v>
      </c>
      <c r="AL65" s="120">
        <v>0</v>
      </c>
      <c r="AM65" s="120">
        <v>0</v>
      </c>
      <c r="AN65" s="120">
        <v>0</v>
      </c>
      <c r="AO65" s="120">
        <v>0</v>
      </c>
      <c r="AP65" s="120">
        <v>0</v>
      </c>
      <c r="AQ65" s="120">
        <v>0</v>
      </c>
      <c r="AR65" s="120">
        <v>0</v>
      </c>
      <c r="AS65" s="120">
        <v>0</v>
      </c>
      <c r="AT65" s="120">
        <v>0</v>
      </c>
      <c r="AU65" s="120">
        <v>0</v>
      </c>
      <c r="AV65" s="120">
        <v>0</v>
      </c>
      <c r="AW65" s="120">
        <v>0</v>
      </c>
      <c r="AX65" s="120">
        <v>0</v>
      </c>
      <c r="AY65" s="120">
        <v>0</v>
      </c>
      <c r="AZ65" s="120">
        <v>0</v>
      </c>
      <c r="BA65" s="120">
        <v>0</v>
      </c>
      <c r="BB65" s="120">
        <v>0</v>
      </c>
      <c r="BC65" s="120">
        <v>0</v>
      </c>
      <c r="BD65" s="120">
        <v>0</v>
      </c>
      <c r="BE65" s="120">
        <v>0</v>
      </c>
      <c r="BF65" s="120">
        <v>0</v>
      </c>
      <c r="BG65" s="120">
        <v>0</v>
      </c>
      <c r="BH65" s="120">
        <v>0</v>
      </c>
      <c r="BI65" s="120">
        <v>0</v>
      </c>
      <c r="BJ65" s="120">
        <v>0</v>
      </c>
      <c r="BK65" s="120">
        <v>0</v>
      </c>
      <c r="BL65" s="120">
        <v>0</v>
      </c>
      <c r="BM65" s="120">
        <v>0</v>
      </c>
      <c r="BN65" s="120">
        <v>0</v>
      </c>
      <c r="BO65" s="120">
        <v>0</v>
      </c>
      <c r="BP65" s="120">
        <v>0</v>
      </c>
      <c r="BQ65" s="120">
        <v>0</v>
      </c>
      <c r="BR65" s="120">
        <v>0</v>
      </c>
      <c r="BS65" s="120">
        <v>0</v>
      </c>
      <c r="BT65" s="120">
        <v>0</v>
      </c>
      <c r="BU65" s="120">
        <v>0</v>
      </c>
      <c r="BV65" s="120">
        <v>0</v>
      </c>
      <c r="BW65" s="120">
        <v>0</v>
      </c>
      <c r="BX65" s="120">
        <v>0</v>
      </c>
      <c r="BY65" s="120">
        <v>0</v>
      </c>
      <c r="BZ65" s="120">
        <v>-4199.1022009741519</v>
      </c>
      <c r="CA65" s="120">
        <v>-7057.3739999676282</v>
      </c>
      <c r="CB65" s="120">
        <v>-145213.6898779051</v>
      </c>
      <c r="CC65" s="120">
        <v>0</v>
      </c>
      <c r="CD65" s="120">
        <v>0</v>
      </c>
      <c r="CE65" s="120">
        <v>0</v>
      </c>
      <c r="CF65" s="120">
        <v>0</v>
      </c>
      <c r="CG65" s="120">
        <v>0</v>
      </c>
      <c r="CH65" s="120">
        <v>0</v>
      </c>
      <c r="CI65" s="120">
        <v>0</v>
      </c>
      <c r="CJ65" s="120">
        <v>0</v>
      </c>
      <c r="CK65" s="120">
        <v>0</v>
      </c>
      <c r="CL65" s="120">
        <v>0</v>
      </c>
      <c r="CM65" s="120">
        <v>0</v>
      </c>
      <c r="CN65" s="120">
        <v>0</v>
      </c>
      <c r="CO65" s="120">
        <v>259280</v>
      </c>
      <c r="CP65" s="120">
        <v>0</v>
      </c>
      <c r="CQ65" s="120">
        <v>37256.802000352553</v>
      </c>
      <c r="CR65" s="120">
        <v>17690.762072273748</v>
      </c>
      <c r="CS65" s="120">
        <v>0</v>
      </c>
      <c r="CT65" s="120">
        <v>0</v>
      </c>
      <c r="CU65" s="120">
        <v>0</v>
      </c>
      <c r="CV65" s="120">
        <v>0</v>
      </c>
      <c r="CW65" s="120">
        <v>0</v>
      </c>
      <c r="CX65" s="120">
        <v>0</v>
      </c>
      <c r="CY65" s="120">
        <v>0</v>
      </c>
      <c r="CZ65" s="120">
        <v>0</v>
      </c>
      <c r="DA65" s="120">
        <v>0</v>
      </c>
      <c r="DB65" s="120">
        <v>0</v>
      </c>
      <c r="DC65" s="120">
        <v>0</v>
      </c>
      <c r="DD65" s="120">
        <v>0</v>
      </c>
      <c r="DE65" s="120">
        <v>-6388.7567559303061</v>
      </c>
      <c r="DF65" s="120">
        <v>-20799.640578797131</v>
      </c>
      <c r="DG65" s="120">
        <v>-21676.525791260599</v>
      </c>
      <c r="DH65" s="120">
        <v>0</v>
      </c>
      <c r="DI65" s="120">
        <v>0</v>
      </c>
      <c r="DJ65" s="120">
        <v>0</v>
      </c>
      <c r="DK65" s="120">
        <v>0</v>
      </c>
      <c r="DL65" s="120">
        <v>0</v>
      </c>
      <c r="DM65" s="120">
        <v>0</v>
      </c>
      <c r="DN65" s="120">
        <v>8148.029789733243</v>
      </c>
      <c r="DO65" s="120">
        <v>-1422.884461566063</v>
      </c>
      <c r="DP65" s="120">
        <v>70594.431388361991</v>
      </c>
      <c r="DQ65" s="120">
        <v>-8792.5544771377099</v>
      </c>
      <c r="DR65" s="120">
        <v>-246279.93765964991</v>
      </c>
      <c r="DS65" s="120">
        <v>-695.12560746975419</v>
      </c>
      <c r="DT65" s="120">
        <v>-3162.8917160610181</v>
      </c>
      <c r="DU65" s="120">
        <v>0</v>
      </c>
      <c r="DV65" s="120">
        <v>18556.443062558199</v>
      </c>
      <c r="DW65" s="120">
        <v>-4665.0878367252863</v>
      </c>
      <c r="DX65" s="120">
        <v>0</v>
      </c>
      <c r="DY65" s="120">
        <v>17187.93042988281</v>
      </c>
      <c r="DZ65" s="120">
        <v>-4544.8243317933729</v>
      </c>
      <c r="EA65" s="120">
        <v>0</v>
      </c>
      <c r="EB65" s="120">
        <v>56931.556539421043</v>
      </c>
      <c r="EC65" s="120">
        <v>-13025.013376776389</v>
      </c>
      <c r="ED65" s="120">
        <f t="shared" si="0"/>
        <v>394653.17037717777</v>
      </c>
    </row>
    <row r="66" spans="1:134">
      <c r="A66" s="120">
        <v>65</v>
      </c>
      <c r="B66" s="120">
        <v>566.37623339151503</v>
      </c>
      <c r="C66" s="120">
        <v>0</v>
      </c>
      <c r="D66" s="120">
        <v>0</v>
      </c>
      <c r="E66" s="120">
        <v>0</v>
      </c>
      <c r="F66" s="120">
        <v>0</v>
      </c>
      <c r="G66" s="120">
        <v>0</v>
      </c>
      <c r="H66" s="120">
        <v>0</v>
      </c>
      <c r="I66" s="120">
        <v>0</v>
      </c>
      <c r="J66" s="120">
        <v>0</v>
      </c>
      <c r="K66" s="120">
        <v>51095.600709755621</v>
      </c>
      <c r="L66" s="120">
        <v>0</v>
      </c>
      <c r="M66" s="120">
        <v>0</v>
      </c>
      <c r="N66" s="120">
        <v>0</v>
      </c>
      <c r="O66" s="120">
        <v>0</v>
      </c>
      <c r="P66" s="120">
        <v>0</v>
      </c>
      <c r="Q66" s="120">
        <v>0</v>
      </c>
      <c r="R66" s="120">
        <v>0</v>
      </c>
      <c r="S66" s="120">
        <v>0</v>
      </c>
      <c r="T66" s="120">
        <v>0</v>
      </c>
      <c r="U66" s="120">
        <v>0</v>
      </c>
      <c r="V66" s="120">
        <v>0</v>
      </c>
      <c r="W66" s="120">
        <v>0</v>
      </c>
      <c r="X66" s="120">
        <v>0</v>
      </c>
      <c r="Y66" s="120">
        <v>0</v>
      </c>
      <c r="Z66" s="120">
        <v>0</v>
      </c>
      <c r="AA66" s="120">
        <v>0</v>
      </c>
      <c r="AB66" s="120">
        <v>0</v>
      </c>
      <c r="AC66" s="120">
        <v>0</v>
      </c>
      <c r="AD66" s="120">
        <v>0</v>
      </c>
      <c r="AE66" s="120">
        <v>0</v>
      </c>
      <c r="AF66" s="120">
        <v>0</v>
      </c>
      <c r="AG66" s="120">
        <v>0</v>
      </c>
      <c r="AH66" s="120">
        <v>0</v>
      </c>
      <c r="AI66" s="120">
        <v>0</v>
      </c>
      <c r="AJ66" s="120">
        <v>0</v>
      </c>
      <c r="AK66" s="120">
        <v>0</v>
      </c>
      <c r="AL66" s="120">
        <v>0</v>
      </c>
      <c r="AM66" s="120">
        <v>0</v>
      </c>
      <c r="AN66" s="120">
        <v>0</v>
      </c>
      <c r="AO66" s="120">
        <v>0</v>
      </c>
      <c r="AP66" s="120">
        <v>0</v>
      </c>
      <c r="AQ66" s="120">
        <v>0</v>
      </c>
      <c r="AR66" s="120">
        <v>0</v>
      </c>
      <c r="AS66" s="120">
        <v>0</v>
      </c>
      <c r="AT66" s="120">
        <v>0</v>
      </c>
      <c r="AU66" s="120">
        <v>0</v>
      </c>
      <c r="AV66" s="120">
        <v>0</v>
      </c>
      <c r="AW66" s="120">
        <v>0</v>
      </c>
      <c r="AX66" s="120">
        <v>0</v>
      </c>
      <c r="AY66" s="120">
        <v>0</v>
      </c>
      <c r="AZ66" s="120">
        <v>0</v>
      </c>
      <c r="BA66" s="120">
        <v>0</v>
      </c>
      <c r="BB66" s="120">
        <v>0</v>
      </c>
      <c r="BC66" s="120">
        <v>0</v>
      </c>
      <c r="BD66" s="120">
        <v>0</v>
      </c>
      <c r="BE66" s="120">
        <v>0</v>
      </c>
      <c r="BF66" s="120">
        <v>0</v>
      </c>
      <c r="BG66" s="120">
        <v>0</v>
      </c>
      <c r="BH66" s="120">
        <v>0</v>
      </c>
      <c r="BI66" s="120">
        <v>0</v>
      </c>
      <c r="BJ66" s="120">
        <v>0</v>
      </c>
      <c r="BK66" s="120">
        <v>0</v>
      </c>
      <c r="BL66" s="120">
        <v>0</v>
      </c>
      <c r="BM66" s="120">
        <v>0</v>
      </c>
      <c r="BN66" s="120">
        <v>0</v>
      </c>
      <c r="BO66" s="120">
        <v>0</v>
      </c>
      <c r="BP66" s="120">
        <v>0</v>
      </c>
      <c r="BQ66" s="120">
        <v>0</v>
      </c>
      <c r="BR66" s="120">
        <v>0</v>
      </c>
      <c r="BS66" s="120">
        <v>0</v>
      </c>
      <c r="BT66" s="120">
        <v>0</v>
      </c>
      <c r="BU66" s="120">
        <v>0</v>
      </c>
      <c r="BV66" s="120">
        <v>0</v>
      </c>
      <c r="BW66" s="120">
        <v>0</v>
      </c>
      <c r="BX66" s="120">
        <v>0</v>
      </c>
      <c r="BY66" s="120">
        <v>0</v>
      </c>
      <c r="BZ66" s="120">
        <v>-459.87770261144829</v>
      </c>
      <c r="CA66" s="120">
        <v>-667.87300969306057</v>
      </c>
      <c r="CB66" s="120">
        <v>-20174.642508538531</v>
      </c>
      <c r="CC66" s="120">
        <v>0</v>
      </c>
      <c r="CD66" s="120">
        <v>0</v>
      </c>
      <c r="CE66" s="120">
        <v>0</v>
      </c>
      <c r="CF66" s="120">
        <v>0</v>
      </c>
      <c r="CG66" s="120">
        <v>0</v>
      </c>
      <c r="CH66" s="120">
        <v>0</v>
      </c>
      <c r="CI66" s="120">
        <v>0</v>
      </c>
      <c r="CJ66" s="120">
        <v>0</v>
      </c>
      <c r="CK66" s="120">
        <v>0</v>
      </c>
      <c r="CL66" s="120">
        <v>0</v>
      </c>
      <c r="CM66" s="120">
        <v>0</v>
      </c>
      <c r="CN66" s="120">
        <v>0</v>
      </c>
      <c r="CO66" s="120">
        <v>0</v>
      </c>
      <c r="CP66" s="120">
        <v>0</v>
      </c>
      <c r="CQ66" s="120">
        <v>30805.058108673009</v>
      </c>
      <c r="CR66" s="120">
        <v>0</v>
      </c>
      <c r="CS66" s="120">
        <v>0</v>
      </c>
      <c r="CT66" s="120">
        <v>0</v>
      </c>
      <c r="CU66" s="120">
        <v>0</v>
      </c>
      <c r="CV66" s="120">
        <v>0</v>
      </c>
      <c r="CW66" s="120">
        <v>0</v>
      </c>
      <c r="CX66" s="120">
        <v>0</v>
      </c>
      <c r="CY66" s="120">
        <v>0</v>
      </c>
      <c r="CZ66" s="120">
        <v>0</v>
      </c>
      <c r="DA66" s="120">
        <v>0</v>
      </c>
      <c r="DB66" s="120">
        <v>3824.0742700031319</v>
      </c>
      <c r="DC66" s="120">
        <v>0</v>
      </c>
      <c r="DD66" s="120">
        <v>0</v>
      </c>
      <c r="DE66" s="120">
        <v>-386.73447561974729</v>
      </c>
      <c r="DF66" s="120">
        <v>-5379.454610504934</v>
      </c>
      <c r="DG66" s="120">
        <v>-1644.7424571509071</v>
      </c>
      <c r="DH66" s="120">
        <v>0</v>
      </c>
      <c r="DI66" s="120">
        <v>0</v>
      </c>
      <c r="DJ66" s="120">
        <v>0</v>
      </c>
      <c r="DK66" s="120">
        <v>0</v>
      </c>
      <c r="DL66" s="120">
        <v>0</v>
      </c>
      <c r="DM66" s="120">
        <v>0</v>
      </c>
      <c r="DN66" s="120">
        <v>440.8923507451911</v>
      </c>
      <c r="DO66" s="120">
        <v>0</v>
      </c>
      <c r="DP66" s="120">
        <v>4988.9103637398948</v>
      </c>
      <c r="DQ66" s="120">
        <v>-424.34460038650087</v>
      </c>
      <c r="DR66" s="120">
        <v>-4436.1451466930912</v>
      </c>
      <c r="DS66" s="120">
        <v>-55.047186377662101</v>
      </c>
      <c r="DT66" s="120">
        <v>-242.93521459794891</v>
      </c>
      <c r="DU66" s="120">
        <v>0</v>
      </c>
      <c r="DV66" s="120">
        <v>1033.1644063214719</v>
      </c>
      <c r="DW66" s="120">
        <v>-933.01756734505727</v>
      </c>
      <c r="DX66" s="120">
        <v>0</v>
      </c>
      <c r="DY66" s="120">
        <v>2181.986713815857</v>
      </c>
      <c r="DZ66" s="120">
        <v>-1086.8058184723279</v>
      </c>
      <c r="EA66" s="120">
        <v>0</v>
      </c>
      <c r="EB66" s="120">
        <v>0</v>
      </c>
      <c r="EC66" s="120">
        <v>0</v>
      </c>
      <c r="ED66" s="120">
        <f t="shared" ref="ED66:ED129" si="1">SUM(B66:EC66)</f>
        <v>59044.44285845448</v>
      </c>
    </row>
    <row r="67" spans="1:134">
      <c r="A67" s="120">
        <v>66</v>
      </c>
      <c r="B67" s="120">
        <v>0</v>
      </c>
      <c r="C67" s="120">
        <v>0</v>
      </c>
      <c r="D67" s="120">
        <v>55858.880247195353</v>
      </c>
      <c r="E67" s="120">
        <v>0</v>
      </c>
      <c r="F67" s="120">
        <v>0</v>
      </c>
      <c r="G67" s="120">
        <v>0</v>
      </c>
      <c r="H67" s="120">
        <v>0</v>
      </c>
      <c r="I67" s="120">
        <v>0</v>
      </c>
      <c r="J67" s="120">
        <v>0</v>
      </c>
      <c r="K67" s="120">
        <v>0</v>
      </c>
      <c r="L67" s="120">
        <v>0</v>
      </c>
      <c r="M67" s="120">
        <v>0</v>
      </c>
      <c r="N67" s="120">
        <v>0</v>
      </c>
      <c r="O67" s="120">
        <v>0</v>
      </c>
      <c r="P67" s="120">
        <v>0</v>
      </c>
      <c r="Q67" s="120">
        <v>0</v>
      </c>
      <c r="R67" s="120">
        <v>0</v>
      </c>
      <c r="S67" s="120">
        <v>0</v>
      </c>
      <c r="T67" s="120">
        <v>0</v>
      </c>
      <c r="U67" s="120">
        <v>0</v>
      </c>
      <c r="V67" s="120">
        <v>0</v>
      </c>
      <c r="W67" s="120">
        <v>0</v>
      </c>
      <c r="X67" s="120">
        <v>0</v>
      </c>
      <c r="Y67" s="120">
        <v>0</v>
      </c>
      <c r="Z67" s="120">
        <v>0</v>
      </c>
      <c r="AA67" s="120">
        <v>0</v>
      </c>
      <c r="AB67" s="120">
        <v>0</v>
      </c>
      <c r="AC67" s="120">
        <v>0</v>
      </c>
      <c r="AD67" s="120">
        <v>0</v>
      </c>
      <c r="AE67" s="120">
        <v>0</v>
      </c>
      <c r="AF67" s="120">
        <v>0</v>
      </c>
      <c r="AG67" s="120">
        <v>0</v>
      </c>
      <c r="AH67" s="120">
        <v>0</v>
      </c>
      <c r="AI67" s="120">
        <v>0</v>
      </c>
      <c r="AJ67" s="120">
        <v>0</v>
      </c>
      <c r="AK67" s="120">
        <v>0</v>
      </c>
      <c r="AL67" s="120">
        <v>0</v>
      </c>
      <c r="AM67" s="120">
        <v>0</v>
      </c>
      <c r="AN67" s="120">
        <v>0</v>
      </c>
      <c r="AO67" s="120">
        <v>0</v>
      </c>
      <c r="AP67" s="120">
        <v>0</v>
      </c>
      <c r="AQ67" s="120">
        <v>0</v>
      </c>
      <c r="AR67" s="120">
        <v>0</v>
      </c>
      <c r="AS67" s="120">
        <v>0</v>
      </c>
      <c r="AT67" s="120">
        <v>0</v>
      </c>
      <c r="AU67" s="120">
        <v>0</v>
      </c>
      <c r="AV67" s="120">
        <v>0</v>
      </c>
      <c r="AW67" s="120">
        <v>0</v>
      </c>
      <c r="AX67" s="120">
        <v>0</v>
      </c>
      <c r="AY67" s="120">
        <v>0</v>
      </c>
      <c r="AZ67" s="120">
        <v>0</v>
      </c>
      <c r="BA67" s="120">
        <v>0</v>
      </c>
      <c r="BB67" s="120">
        <v>0</v>
      </c>
      <c r="BC67" s="120">
        <v>0</v>
      </c>
      <c r="BD67" s="120">
        <v>0</v>
      </c>
      <c r="BE67" s="120">
        <v>0</v>
      </c>
      <c r="BF67" s="120">
        <v>0</v>
      </c>
      <c r="BG67" s="120">
        <v>0</v>
      </c>
      <c r="BH67" s="120">
        <v>0</v>
      </c>
      <c r="BI67" s="120">
        <v>0</v>
      </c>
      <c r="BJ67" s="120">
        <v>0</v>
      </c>
      <c r="BK67" s="120">
        <v>0</v>
      </c>
      <c r="BL67" s="120">
        <v>0</v>
      </c>
      <c r="BM67" s="120">
        <v>0</v>
      </c>
      <c r="BN67" s="120">
        <v>0</v>
      </c>
      <c r="BO67" s="120">
        <v>0</v>
      </c>
      <c r="BP67" s="120">
        <v>0</v>
      </c>
      <c r="BQ67" s="120">
        <v>0</v>
      </c>
      <c r="BR67" s="120">
        <v>0</v>
      </c>
      <c r="BS67" s="120">
        <v>0</v>
      </c>
      <c r="BT67" s="120">
        <v>0</v>
      </c>
      <c r="BU67" s="120">
        <v>0</v>
      </c>
      <c r="BV67" s="120">
        <v>0</v>
      </c>
      <c r="BW67" s="120">
        <v>0</v>
      </c>
      <c r="BX67" s="120">
        <v>0</v>
      </c>
      <c r="BY67" s="120">
        <v>0</v>
      </c>
      <c r="BZ67" s="120">
        <v>-366.84717077195882</v>
      </c>
      <c r="CA67" s="120">
        <v>-3595.9554065204788</v>
      </c>
      <c r="CB67" s="120">
        <v>-29482.142102213878</v>
      </c>
      <c r="CC67" s="120">
        <v>0</v>
      </c>
      <c r="CD67" s="120">
        <v>0</v>
      </c>
      <c r="CE67" s="120">
        <v>0</v>
      </c>
      <c r="CF67" s="120">
        <v>0</v>
      </c>
      <c r="CG67" s="120">
        <v>0</v>
      </c>
      <c r="CH67" s="120">
        <v>0</v>
      </c>
      <c r="CI67" s="120">
        <v>0</v>
      </c>
      <c r="CJ67" s="120">
        <v>0</v>
      </c>
      <c r="CK67" s="120">
        <v>0</v>
      </c>
      <c r="CL67" s="120">
        <v>0</v>
      </c>
      <c r="CM67" s="120">
        <v>0</v>
      </c>
      <c r="CN67" s="120">
        <v>0</v>
      </c>
      <c r="CO67" s="120">
        <v>0</v>
      </c>
      <c r="CP67" s="120">
        <v>0</v>
      </c>
      <c r="CQ67" s="120">
        <v>0</v>
      </c>
      <c r="CR67" s="120">
        <v>0</v>
      </c>
      <c r="CS67" s="120">
        <v>632.5767351829661</v>
      </c>
      <c r="CT67" s="120">
        <v>0</v>
      </c>
      <c r="CU67" s="120">
        <v>0</v>
      </c>
      <c r="CV67" s="120">
        <v>0</v>
      </c>
      <c r="CW67" s="120">
        <v>0</v>
      </c>
      <c r="CX67" s="120">
        <v>0</v>
      </c>
      <c r="CY67" s="120">
        <v>0</v>
      </c>
      <c r="CZ67" s="120">
        <v>0</v>
      </c>
      <c r="DA67" s="120">
        <v>0</v>
      </c>
      <c r="DB67" s="120">
        <v>0</v>
      </c>
      <c r="DC67" s="120">
        <v>0</v>
      </c>
      <c r="DD67" s="120">
        <v>0</v>
      </c>
      <c r="DE67" s="120">
        <v>-9.9283344087012626</v>
      </c>
      <c r="DF67" s="120">
        <v>-24.111669278274491</v>
      </c>
      <c r="DG67" s="120">
        <v>0</v>
      </c>
      <c r="DH67" s="120">
        <v>0</v>
      </c>
      <c r="DI67" s="120">
        <v>0</v>
      </c>
      <c r="DJ67" s="120">
        <v>0</v>
      </c>
      <c r="DK67" s="120">
        <v>0</v>
      </c>
      <c r="DL67" s="120">
        <v>0</v>
      </c>
      <c r="DM67" s="120">
        <v>0</v>
      </c>
      <c r="DN67" s="120">
        <v>1264.174028771308</v>
      </c>
      <c r="DO67" s="120">
        <v>-261.62047149434159</v>
      </c>
      <c r="DP67" s="120">
        <v>60005.697923704749</v>
      </c>
      <c r="DQ67" s="120">
        <v>-9995.0507853569798</v>
      </c>
      <c r="DR67" s="120">
        <v>-120290.240365937</v>
      </c>
      <c r="DS67" s="120">
        <v>-1201.3644129844911</v>
      </c>
      <c r="DT67" s="120">
        <v>-5164.2298550381392</v>
      </c>
      <c r="DU67" s="120">
        <v>0</v>
      </c>
      <c r="DV67" s="120">
        <v>0</v>
      </c>
      <c r="DW67" s="120">
        <v>0</v>
      </c>
      <c r="DX67" s="120">
        <v>0</v>
      </c>
      <c r="DY67" s="120">
        <v>344.52421797092501</v>
      </c>
      <c r="DZ67" s="120">
        <v>-98.800528952029865</v>
      </c>
      <c r="EA67" s="120">
        <v>0</v>
      </c>
      <c r="EB67" s="120">
        <v>52.315701916482183</v>
      </c>
      <c r="EC67" s="120">
        <v>-30.647090298297371</v>
      </c>
      <c r="ED67" s="120">
        <f t="shared" si="1"/>
        <v>-52362.769338512808</v>
      </c>
    </row>
    <row r="68" spans="1:134">
      <c r="A68" s="120">
        <v>67</v>
      </c>
      <c r="B68" s="120">
        <v>0</v>
      </c>
      <c r="C68" s="120">
        <v>0</v>
      </c>
      <c r="D68" s="120">
        <v>0</v>
      </c>
      <c r="E68" s="120">
        <v>0</v>
      </c>
      <c r="F68" s="120">
        <v>0</v>
      </c>
      <c r="G68" s="120">
        <v>0</v>
      </c>
      <c r="H68" s="120">
        <v>0</v>
      </c>
      <c r="I68" s="120">
        <v>0</v>
      </c>
      <c r="J68" s="120">
        <v>0</v>
      </c>
      <c r="K68" s="120">
        <v>2077.4676418485201</v>
      </c>
      <c r="L68" s="120">
        <v>0</v>
      </c>
      <c r="M68" s="120">
        <v>0</v>
      </c>
      <c r="N68" s="120">
        <v>0</v>
      </c>
      <c r="O68" s="120">
        <v>0</v>
      </c>
      <c r="P68" s="120">
        <v>0</v>
      </c>
      <c r="Q68" s="120">
        <v>0</v>
      </c>
      <c r="R68" s="120">
        <v>0</v>
      </c>
      <c r="S68" s="120">
        <v>0</v>
      </c>
      <c r="T68" s="120">
        <v>0</v>
      </c>
      <c r="U68" s="120">
        <v>0</v>
      </c>
      <c r="V68" s="120">
        <v>0</v>
      </c>
      <c r="W68" s="120">
        <v>0</v>
      </c>
      <c r="X68" s="120">
        <v>0</v>
      </c>
      <c r="Y68" s="120">
        <v>0</v>
      </c>
      <c r="Z68" s="120">
        <v>0</v>
      </c>
      <c r="AA68" s="120">
        <v>0</v>
      </c>
      <c r="AB68" s="120">
        <v>0</v>
      </c>
      <c r="AC68" s="120">
        <v>0</v>
      </c>
      <c r="AD68" s="120">
        <v>0</v>
      </c>
      <c r="AE68" s="120">
        <v>0</v>
      </c>
      <c r="AF68" s="120">
        <v>0</v>
      </c>
      <c r="AG68" s="120">
        <v>0</v>
      </c>
      <c r="AH68" s="120">
        <v>0</v>
      </c>
      <c r="AI68" s="120">
        <v>0</v>
      </c>
      <c r="AJ68" s="120">
        <v>0</v>
      </c>
      <c r="AK68" s="120">
        <v>0</v>
      </c>
      <c r="AL68" s="120">
        <v>0</v>
      </c>
      <c r="AM68" s="120">
        <v>0</v>
      </c>
      <c r="AN68" s="120">
        <v>0</v>
      </c>
      <c r="AO68" s="120">
        <v>0</v>
      </c>
      <c r="AP68" s="120">
        <v>0</v>
      </c>
      <c r="AQ68" s="120">
        <v>0</v>
      </c>
      <c r="AR68" s="120">
        <v>0</v>
      </c>
      <c r="AS68" s="120">
        <v>0</v>
      </c>
      <c r="AT68" s="120">
        <v>0</v>
      </c>
      <c r="AU68" s="120">
        <v>0</v>
      </c>
      <c r="AV68" s="120">
        <v>0</v>
      </c>
      <c r="AW68" s="120">
        <v>0</v>
      </c>
      <c r="AX68" s="120">
        <v>0</v>
      </c>
      <c r="AY68" s="120">
        <v>0</v>
      </c>
      <c r="AZ68" s="120">
        <v>0</v>
      </c>
      <c r="BA68" s="120">
        <v>0</v>
      </c>
      <c r="BB68" s="120">
        <v>0</v>
      </c>
      <c r="BC68" s="120">
        <v>0</v>
      </c>
      <c r="BD68" s="120">
        <v>0</v>
      </c>
      <c r="BE68" s="120">
        <v>0</v>
      </c>
      <c r="BF68" s="120">
        <v>0</v>
      </c>
      <c r="BG68" s="120">
        <v>0</v>
      </c>
      <c r="BH68" s="120">
        <v>0</v>
      </c>
      <c r="BI68" s="120">
        <v>0</v>
      </c>
      <c r="BJ68" s="120">
        <v>0</v>
      </c>
      <c r="BK68" s="120">
        <v>0</v>
      </c>
      <c r="BL68" s="120">
        <v>0</v>
      </c>
      <c r="BM68" s="120">
        <v>0</v>
      </c>
      <c r="BN68" s="120">
        <v>0</v>
      </c>
      <c r="BO68" s="120">
        <v>0</v>
      </c>
      <c r="BP68" s="120">
        <v>0</v>
      </c>
      <c r="BQ68" s="120">
        <v>0</v>
      </c>
      <c r="BR68" s="120">
        <v>0</v>
      </c>
      <c r="BS68" s="120">
        <v>0</v>
      </c>
      <c r="BT68" s="120">
        <v>0</v>
      </c>
      <c r="BU68" s="120">
        <v>0</v>
      </c>
      <c r="BV68" s="120">
        <v>0</v>
      </c>
      <c r="BW68" s="120">
        <v>0</v>
      </c>
      <c r="BX68" s="120">
        <v>0</v>
      </c>
      <c r="BY68" s="120">
        <v>0</v>
      </c>
      <c r="BZ68" s="120">
        <v>-16.930612776234881</v>
      </c>
      <c r="CA68" s="120">
        <v>-36.418742781908428</v>
      </c>
      <c r="CB68" s="120">
        <v>-712.71271377083451</v>
      </c>
      <c r="CC68" s="120">
        <v>0</v>
      </c>
      <c r="CD68" s="120">
        <v>24.75746352950841</v>
      </c>
      <c r="CE68" s="120">
        <v>0</v>
      </c>
      <c r="CF68" s="120">
        <v>0</v>
      </c>
      <c r="CG68" s="120">
        <v>0</v>
      </c>
      <c r="CH68" s="120">
        <v>0</v>
      </c>
      <c r="CI68" s="120">
        <v>0</v>
      </c>
      <c r="CJ68" s="120">
        <v>0</v>
      </c>
      <c r="CK68" s="120">
        <v>0</v>
      </c>
      <c r="CL68" s="120">
        <v>0</v>
      </c>
      <c r="CM68" s="120">
        <v>0</v>
      </c>
      <c r="CN68" s="120">
        <v>0</v>
      </c>
      <c r="CO68" s="120">
        <v>0</v>
      </c>
      <c r="CP68" s="120">
        <v>0</v>
      </c>
      <c r="CQ68" s="120">
        <v>0</v>
      </c>
      <c r="CR68" s="120">
        <v>0</v>
      </c>
      <c r="CS68" s="120">
        <v>65027.753710019351</v>
      </c>
      <c r="CT68" s="120">
        <v>0</v>
      </c>
      <c r="CU68" s="120">
        <v>0</v>
      </c>
      <c r="CV68" s="120">
        <v>0</v>
      </c>
      <c r="CW68" s="120">
        <v>0</v>
      </c>
      <c r="CX68" s="120">
        <v>0</v>
      </c>
      <c r="CY68" s="120">
        <v>0</v>
      </c>
      <c r="CZ68" s="120">
        <v>0</v>
      </c>
      <c r="DA68" s="120">
        <v>0</v>
      </c>
      <c r="DB68" s="120">
        <v>0</v>
      </c>
      <c r="DC68" s="120">
        <v>0</v>
      </c>
      <c r="DD68" s="120">
        <v>0</v>
      </c>
      <c r="DE68" s="120">
        <v>-848.00544277329686</v>
      </c>
      <c r="DF68" s="120">
        <v>-2524.1633580877401</v>
      </c>
      <c r="DG68" s="120">
        <v>0</v>
      </c>
      <c r="DH68" s="120">
        <v>0</v>
      </c>
      <c r="DI68" s="120">
        <v>0</v>
      </c>
      <c r="DJ68" s="120">
        <v>0</v>
      </c>
      <c r="DK68" s="120">
        <v>0</v>
      </c>
      <c r="DL68" s="120">
        <v>0</v>
      </c>
      <c r="DM68" s="120">
        <v>0</v>
      </c>
      <c r="DN68" s="120">
        <v>1923.0311355288329</v>
      </c>
      <c r="DO68" s="120">
        <v>-68.659560937644727</v>
      </c>
      <c r="DP68" s="120">
        <v>101260.8542392036</v>
      </c>
      <c r="DQ68" s="120">
        <v>-5668.2800676261268</v>
      </c>
      <c r="DR68" s="120">
        <v>-44054.941536474427</v>
      </c>
      <c r="DS68" s="120">
        <v>-124.5771819638385</v>
      </c>
      <c r="DT68" s="120">
        <v>-151.4003395506208</v>
      </c>
      <c r="DU68" s="120">
        <v>0</v>
      </c>
      <c r="DV68" s="120">
        <v>27283.59174434021</v>
      </c>
      <c r="DW68" s="120">
        <v>-1228.36693987323</v>
      </c>
      <c r="DX68" s="120">
        <v>0</v>
      </c>
      <c r="DY68" s="120">
        <v>2928.5742134164998</v>
      </c>
      <c r="DZ68" s="120">
        <v>-124.1070728933625</v>
      </c>
      <c r="EA68" s="120">
        <v>0</v>
      </c>
      <c r="EB68" s="120">
        <v>38.609938928878258</v>
      </c>
      <c r="EC68" s="120">
        <v>-2.4665076895922562</v>
      </c>
      <c r="ED68" s="120">
        <f t="shared" si="1"/>
        <v>145003.61000961659</v>
      </c>
    </row>
    <row r="69" spans="1:134">
      <c r="A69" s="120">
        <v>68</v>
      </c>
      <c r="B69" s="120">
        <v>0</v>
      </c>
      <c r="C69" s="120">
        <v>0</v>
      </c>
      <c r="D69" s="120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0">
        <v>0</v>
      </c>
      <c r="K69" s="120">
        <v>0</v>
      </c>
      <c r="L69" s="120">
        <v>0</v>
      </c>
      <c r="M69" s="120">
        <v>0</v>
      </c>
      <c r="N69" s="120">
        <v>0</v>
      </c>
      <c r="O69" s="120">
        <v>0</v>
      </c>
      <c r="P69" s="120">
        <v>0</v>
      </c>
      <c r="Q69" s="120">
        <v>0</v>
      </c>
      <c r="R69" s="120">
        <v>0</v>
      </c>
      <c r="S69" s="120">
        <v>0</v>
      </c>
      <c r="T69" s="120">
        <v>0</v>
      </c>
      <c r="U69" s="120">
        <v>0</v>
      </c>
      <c r="V69" s="120">
        <v>0</v>
      </c>
      <c r="W69" s="120">
        <v>0</v>
      </c>
      <c r="X69" s="120">
        <v>0</v>
      </c>
      <c r="Y69" s="120">
        <v>0</v>
      </c>
      <c r="Z69" s="120">
        <v>0</v>
      </c>
      <c r="AA69" s="120">
        <v>0</v>
      </c>
      <c r="AB69" s="120">
        <v>0</v>
      </c>
      <c r="AC69" s="120">
        <v>0</v>
      </c>
      <c r="AD69" s="120">
        <v>0</v>
      </c>
      <c r="AE69" s="120">
        <v>0</v>
      </c>
      <c r="AF69" s="120">
        <v>0</v>
      </c>
      <c r="AG69" s="120">
        <v>0</v>
      </c>
      <c r="AH69" s="120">
        <v>0</v>
      </c>
      <c r="AI69" s="120">
        <v>0</v>
      </c>
      <c r="AJ69" s="120">
        <v>0</v>
      </c>
      <c r="AK69" s="120">
        <v>0</v>
      </c>
      <c r="AL69" s="120">
        <v>0</v>
      </c>
      <c r="AM69" s="120">
        <v>0</v>
      </c>
      <c r="AN69" s="120">
        <v>0</v>
      </c>
      <c r="AO69" s="120">
        <v>0</v>
      </c>
      <c r="AP69" s="120">
        <v>0</v>
      </c>
      <c r="AQ69" s="120">
        <v>0</v>
      </c>
      <c r="AR69" s="120">
        <v>0</v>
      </c>
      <c r="AS69" s="120">
        <v>0</v>
      </c>
      <c r="AT69" s="120">
        <v>0</v>
      </c>
      <c r="AU69" s="120">
        <v>0</v>
      </c>
      <c r="AV69" s="120">
        <v>0</v>
      </c>
      <c r="AW69" s="120">
        <v>0</v>
      </c>
      <c r="AX69" s="120">
        <v>0</v>
      </c>
      <c r="AY69" s="120">
        <v>0</v>
      </c>
      <c r="AZ69" s="120">
        <v>0</v>
      </c>
      <c r="BA69" s="120">
        <v>0</v>
      </c>
      <c r="BB69" s="120">
        <v>0</v>
      </c>
      <c r="BC69" s="120">
        <v>0</v>
      </c>
      <c r="BD69" s="120">
        <v>0</v>
      </c>
      <c r="BE69" s="120">
        <v>0</v>
      </c>
      <c r="BF69" s="120">
        <v>0</v>
      </c>
      <c r="BG69" s="120">
        <v>0</v>
      </c>
      <c r="BH69" s="120">
        <v>0</v>
      </c>
      <c r="BI69" s="120">
        <v>0</v>
      </c>
      <c r="BJ69" s="120">
        <v>0</v>
      </c>
      <c r="BK69" s="120">
        <v>0</v>
      </c>
      <c r="BL69" s="120">
        <v>0</v>
      </c>
      <c r="BM69" s="120">
        <v>0</v>
      </c>
      <c r="BN69" s="120">
        <v>0</v>
      </c>
      <c r="BO69" s="120">
        <v>0</v>
      </c>
      <c r="BP69" s="120">
        <v>0</v>
      </c>
      <c r="BQ69" s="120">
        <v>0</v>
      </c>
      <c r="BR69" s="120">
        <v>0</v>
      </c>
      <c r="BS69" s="120">
        <v>0</v>
      </c>
      <c r="BT69" s="120">
        <v>0</v>
      </c>
      <c r="BU69" s="120">
        <v>0</v>
      </c>
      <c r="BV69" s="120">
        <v>0</v>
      </c>
      <c r="BW69" s="120">
        <v>0</v>
      </c>
      <c r="BX69" s="120">
        <v>0</v>
      </c>
      <c r="BY69" s="120">
        <v>0</v>
      </c>
      <c r="BZ69" s="120">
        <v>0</v>
      </c>
      <c r="CA69" s="120">
        <v>0</v>
      </c>
      <c r="CB69" s="120">
        <v>0</v>
      </c>
      <c r="CC69" s="120">
        <v>0</v>
      </c>
      <c r="CD69" s="120">
        <v>0</v>
      </c>
      <c r="CE69" s="120">
        <v>0</v>
      </c>
      <c r="CF69" s="120">
        <v>0</v>
      </c>
      <c r="CG69" s="120">
        <v>0</v>
      </c>
      <c r="CH69" s="120">
        <v>0</v>
      </c>
      <c r="CI69" s="120">
        <v>0</v>
      </c>
      <c r="CJ69" s="120">
        <v>0</v>
      </c>
      <c r="CK69" s="120">
        <v>0</v>
      </c>
      <c r="CL69" s="120">
        <v>0</v>
      </c>
      <c r="CM69" s="120">
        <v>0</v>
      </c>
      <c r="CN69" s="120">
        <v>0</v>
      </c>
      <c r="CO69" s="120">
        <v>0</v>
      </c>
      <c r="CP69" s="120">
        <v>0</v>
      </c>
      <c r="CQ69" s="120">
        <v>0</v>
      </c>
      <c r="CR69" s="120">
        <v>0</v>
      </c>
      <c r="CS69" s="120">
        <v>0</v>
      </c>
      <c r="CT69" s="120">
        <v>0</v>
      </c>
      <c r="CU69" s="120">
        <v>12725.18191701395</v>
      </c>
      <c r="CV69" s="120">
        <v>0</v>
      </c>
      <c r="CW69" s="120">
        <v>0</v>
      </c>
      <c r="CX69" s="120">
        <v>0</v>
      </c>
      <c r="CY69" s="120">
        <v>0</v>
      </c>
      <c r="CZ69" s="120">
        <v>0</v>
      </c>
      <c r="DA69" s="120">
        <v>0</v>
      </c>
      <c r="DB69" s="120">
        <v>0</v>
      </c>
      <c r="DC69" s="120">
        <v>0</v>
      </c>
      <c r="DD69" s="120">
        <v>0</v>
      </c>
      <c r="DE69" s="120">
        <v>-994.42743250588876</v>
      </c>
      <c r="DF69" s="120">
        <v>-760.64975539046929</v>
      </c>
      <c r="DG69" s="120">
        <v>0</v>
      </c>
      <c r="DH69" s="120">
        <v>0</v>
      </c>
      <c r="DI69" s="120">
        <v>0</v>
      </c>
      <c r="DJ69" s="120">
        <v>0</v>
      </c>
      <c r="DK69" s="120">
        <v>0</v>
      </c>
      <c r="DL69" s="120">
        <v>0</v>
      </c>
      <c r="DM69" s="120">
        <v>0</v>
      </c>
      <c r="DN69" s="120">
        <v>42.328709676099933</v>
      </c>
      <c r="DO69" s="120">
        <v>32.041128437567536</v>
      </c>
      <c r="DP69" s="120">
        <v>1741.342917692222</v>
      </c>
      <c r="DQ69" s="120">
        <v>-303.48090397036731</v>
      </c>
      <c r="DR69" s="120">
        <v>-3033.7407988223949</v>
      </c>
      <c r="DS69" s="120">
        <v>-12.56456118479041</v>
      </c>
      <c r="DT69" s="120">
        <v>-48.918577533511709</v>
      </c>
      <c r="DU69" s="120">
        <v>0</v>
      </c>
      <c r="DV69" s="120">
        <v>15.32642547196342</v>
      </c>
      <c r="DW69" s="120">
        <v>-1.5728129831923541</v>
      </c>
      <c r="DX69" s="120">
        <v>0</v>
      </c>
      <c r="DY69" s="120">
        <v>26.882160706306969</v>
      </c>
      <c r="DZ69" s="120">
        <v>-3.9399070759797632</v>
      </c>
      <c r="EA69" s="120">
        <v>0</v>
      </c>
      <c r="EB69" s="120">
        <v>89.897768252313611</v>
      </c>
      <c r="EC69" s="120">
        <v>-13.15470767782536</v>
      </c>
      <c r="ED69" s="120">
        <f t="shared" si="1"/>
        <v>9500.5515701060012</v>
      </c>
    </row>
    <row r="70" spans="1:134">
      <c r="A70" s="120">
        <v>69</v>
      </c>
      <c r="B70" s="120">
        <v>0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120">
        <v>0</v>
      </c>
      <c r="R70" s="120">
        <v>0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120">
        <v>0</v>
      </c>
      <c r="AH70" s="120">
        <v>0</v>
      </c>
      <c r="AI70" s="120">
        <v>0</v>
      </c>
      <c r="AJ70" s="120">
        <v>0</v>
      </c>
      <c r="AK70" s="120">
        <v>0</v>
      </c>
      <c r="AL70" s="120">
        <v>0</v>
      </c>
      <c r="AM70" s="120">
        <v>0</v>
      </c>
      <c r="AN70" s="120">
        <v>0</v>
      </c>
      <c r="AO70" s="120">
        <v>0</v>
      </c>
      <c r="AP70" s="120">
        <v>0</v>
      </c>
      <c r="AQ70" s="120">
        <v>0</v>
      </c>
      <c r="AR70" s="120">
        <v>0</v>
      </c>
      <c r="AS70" s="120">
        <v>0</v>
      </c>
      <c r="AT70" s="120">
        <v>0</v>
      </c>
      <c r="AU70" s="120">
        <v>0</v>
      </c>
      <c r="AV70" s="120">
        <v>0</v>
      </c>
      <c r="AW70" s="120">
        <v>0</v>
      </c>
      <c r="AX70" s="120">
        <v>0</v>
      </c>
      <c r="AY70" s="120">
        <v>0</v>
      </c>
      <c r="AZ70" s="120">
        <v>0</v>
      </c>
      <c r="BA70" s="120">
        <v>0</v>
      </c>
      <c r="BB70" s="120">
        <v>0</v>
      </c>
      <c r="BC70" s="120">
        <v>0</v>
      </c>
      <c r="BD70" s="120">
        <v>0</v>
      </c>
      <c r="BE70" s="120">
        <v>0</v>
      </c>
      <c r="BF70" s="120">
        <v>0</v>
      </c>
      <c r="BG70" s="120">
        <v>0</v>
      </c>
      <c r="BH70" s="120">
        <v>0</v>
      </c>
      <c r="BI70" s="120">
        <v>0</v>
      </c>
      <c r="BJ70" s="120">
        <v>0</v>
      </c>
      <c r="BK70" s="120">
        <v>0</v>
      </c>
      <c r="BL70" s="120">
        <v>0</v>
      </c>
      <c r="BM70" s="120">
        <v>0</v>
      </c>
      <c r="BN70" s="120">
        <v>0</v>
      </c>
      <c r="BO70" s="120">
        <v>0</v>
      </c>
      <c r="BP70" s="120">
        <v>0</v>
      </c>
      <c r="BQ70" s="120">
        <v>0</v>
      </c>
      <c r="BR70" s="120">
        <v>0</v>
      </c>
      <c r="BS70" s="120">
        <v>0</v>
      </c>
      <c r="BT70" s="120">
        <v>0</v>
      </c>
      <c r="BU70" s="120">
        <v>0</v>
      </c>
      <c r="BV70" s="120">
        <v>0</v>
      </c>
      <c r="BW70" s="120">
        <v>0</v>
      </c>
      <c r="BX70" s="120">
        <v>0</v>
      </c>
      <c r="BY70" s="120">
        <v>0</v>
      </c>
      <c r="BZ70" s="120">
        <v>0</v>
      </c>
      <c r="CA70" s="120">
        <v>0</v>
      </c>
      <c r="CB70" s="120">
        <v>0</v>
      </c>
      <c r="CC70" s="120">
        <v>0</v>
      </c>
      <c r="CD70" s="120">
        <v>0</v>
      </c>
      <c r="CE70" s="120">
        <v>0</v>
      </c>
      <c r="CF70" s="120">
        <v>0</v>
      </c>
      <c r="CG70" s="120">
        <v>0</v>
      </c>
      <c r="CH70" s="120">
        <v>0</v>
      </c>
      <c r="CI70" s="120">
        <v>0</v>
      </c>
      <c r="CJ70" s="120">
        <v>0</v>
      </c>
      <c r="CK70" s="120">
        <v>0</v>
      </c>
      <c r="CL70" s="120">
        <v>0</v>
      </c>
      <c r="CM70" s="120">
        <v>0</v>
      </c>
      <c r="CN70" s="120">
        <v>0</v>
      </c>
      <c r="CO70" s="120">
        <v>0</v>
      </c>
      <c r="CP70" s="120">
        <v>0</v>
      </c>
      <c r="CQ70" s="120">
        <v>0</v>
      </c>
      <c r="CR70" s="120">
        <v>0</v>
      </c>
      <c r="CS70" s="120">
        <v>0</v>
      </c>
      <c r="CT70" s="120">
        <v>5952.2021470166928</v>
      </c>
      <c r="CU70" s="120">
        <v>0</v>
      </c>
      <c r="CV70" s="120">
        <v>0</v>
      </c>
      <c r="CW70" s="120">
        <v>0</v>
      </c>
      <c r="CX70" s="120">
        <v>0</v>
      </c>
      <c r="CY70" s="120">
        <v>0</v>
      </c>
      <c r="CZ70" s="120">
        <v>0</v>
      </c>
      <c r="DA70" s="120">
        <v>0</v>
      </c>
      <c r="DB70" s="120">
        <v>0</v>
      </c>
      <c r="DC70" s="120">
        <v>0</v>
      </c>
      <c r="DD70" s="120">
        <v>0</v>
      </c>
      <c r="DE70" s="120">
        <v>-73.002940997196148</v>
      </c>
      <c r="DF70" s="120">
        <v>-99.088295223002021</v>
      </c>
      <c r="DG70" s="120">
        <v>-224.47000603232181</v>
      </c>
      <c r="DH70" s="120">
        <v>0</v>
      </c>
      <c r="DI70" s="120">
        <v>0</v>
      </c>
      <c r="DJ70" s="120">
        <v>0</v>
      </c>
      <c r="DK70" s="120">
        <v>0</v>
      </c>
      <c r="DL70" s="120">
        <v>0</v>
      </c>
      <c r="DM70" s="120">
        <v>0</v>
      </c>
      <c r="DN70" s="120">
        <v>33.037041698419472</v>
      </c>
      <c r="DO70" s="120">
        <v>0</v>
      </c>
      <c r="DP70" s="120">
        <v>967.53041502747476</v>
      </c>
      <c r="DQ70" s="120">
        <v>-26.012648911745789</v>
      </c>
      <c r="DR70" s="120">
        <v>-636.14493215185666</v>
      </c>
      <c r="DS70" s="120">
        <v>-19.598950587772979</v>
      </c>
      <c r="DT70" s="120">
        <v>-39.799109180882702</v>
      </c>
      <c r="DU70" s="120">
        <v>0</v>
      </c>
      <c r="DV70" s="120">
        <v>16216.63535145997</v>
      </c>
      <c r="DW70" s="120">
        <v>-519.02828445347723</v>
      </c>
      <c r="DX70" s="120">
        <v>0</v>
      </c>
      <c r="DY70" s="120">
        <v>30.04476784822543</v>
      </c>
      <c r="DZ70" s="120">
        <v>0</v>
      </c>
      <c r="EA70" s="120">
        <v>0</v>
      </c>
      <c r="EB70" s="120">
        <v>2.3050709808285541</v>
      </c>
      <c r="EC70" s="120">
        <v>0</v>
      </c>
      <c r="ED70" s="120">
        <f t="shared" si="1"/>
        <v>21564.609626493359</v>
      </c>
    </row>
    <row r="71" spans="1:134">
      <c r="A71" s="120">
        <v>70</v>
      </c>
      <c r="B71" s="120">
        <v>0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11377.290612779239</v>
      </c>
      <c r="K71" s="120">
        <v>44317.91072465945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120">
        <v>0</v>
      </c>
      <c r="R71" s="120">
        <v>0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120">
        <v>0</v>
      </c>
      <c r="AG71" s="120">
        <v>0</v>
      </c>
      <c r="AH71" s="120">
        <v>0</v>
      </c>
      <c r="AI71" s="120">
        <v>0</v>
      </c>
      <c r="AJ71" s="120">
        <v>0</v>
      </c>
      <c r="AK71" s="120">
        <v>0</v>
      </c>
      <c r="AL71" s="120">
        <v>0</v>
      </c>
      <c r="AM71" s="120">
        <v>0</v>
      </c>
      <c r="AN71" s="120">
        <v>0</v>
      </c>
      <c r="AO71" s="120">
        <v>0</v>
      </c>
      <c r="AP71" s="120">
        <v>0</v>
      </c>
      <c r="AQ71" s="120">
        <v>0</v>
      </c>
      <c r="AR71" s="120">
        <v>0</v>
      </c>
      <c r="AS71" s="120">
        <v>0</v>
      </c>
      <c r="AT71" s="120">
        <v>0</v>
      </c>
      <c r="AU71" s="120">
        <v>0</v>
      </c>
      <c r="AV71" s="120">
        <v>0</v>
      </c>
      <c r="AW71" s="120">
        <v>0</v>
      </c>
      <c r="AX71" s="120">
        <v>0</v>
      </c>
      <c r="AY71" s="120">
        <v>0</v>
      </c>
      <c r="AZ71" s="120">
        <v>0</v>
      </c>
      <c r="BA71" s="120">
        <v>0</v>
      </c>
      <c r="BB71" s="120">
        <v>0</v>
      </c>
      <c r="BC71" s="120">
        <v>0</v>
      </c>
      <c r="BD71" s="120">
        <v>0</v>
      </c>
      <c r="BE71" s="120">
        <v>0</v>
      </c>
      <c r="BF71" s="120">
        <v>0</v>
      </c>
      <c r="BG71" s="120">
        <v>0</v>
      </c>
      <c r="BH71" s="120">
        <v>0</v>
      </c>
      <c r="BI71" s="120">
        <v>0</v>
      </c>
      <c r="BJ71" s="120">
        <v>0</v>
      </c>
      <c r="BK71" s="120">
        <v>0</v>
      </c>
      <c r="BL71" s="120">
        <v>0</v>
      </c>
      <c r="BM71" s="120">
        <v>0</v>
      </c>
      <c r="BN71" s="120">
        <v>0</v>
      </c>
      <c r="BO71" s="120">
        <v>0</v>
      </c>
      <c r="BP71" s="120">
        <v>0</v>
      </c>
      <c r="BQ71" s="120">
        <v>0</v>
      </c>
      <c r="BR71" s="120">
        <v>0</v>
      </c>
      <c r="BS71" s="120">
        <v>0</v>
      </c>
      <c r="BT71" s="120">
        <v>0</v>
      </c>
      <c r="BU71" s="120">
        <v>0</v>
      </c>
      <c r="BV71" s="120">
        <v>0</v>
      </c>
      <c r="BW71" s="120">
        <v>0</v>
      </c>
      <c r="BX71" s="120">
        <v>0</v>
      </c>
      <c r="BY71" s="120">
        <v>0</v>
      </c>
      <c r="BZ71" s="120">
        <v>-460.8922973756853</v>
      </c>
      <c r="CA71" s="120">
        <v>-2834.7761042573902</v>
      </c>
      <c r="CB71" s="120">
        <v>-18892.068137818958</v>
      </c>
      <c r="CC71" s="120">
        <v>0</v>
      </c>
      <c r="CD71" s="120">
        <v>0</v>
      </c>
      <c r="CE71" s="120">
        <v>0</v>
      </c>
      <c r="CF71" s="120">
        <v>0</v>
      </c>
      <c r="CG71" s="120">
        <v>0</v>
      </c>
      <c r="CH71" s="120">
        <v>0</v>
      </c>
      <c r="CI71" s="120">
        <v>0</v>
      </c>
      <c r="CJ71" s="120">
        <v>0</v>
      </c>
      <c r="CK71" s="120">
        <v>0</v>
      </c>
      <c r="CL71" s="120">
        <v>0</v>
      </c>
      <c r="CM71" s="120">
        <v>0</v>
      </c>
      <c r="CN71" s="120">
        <v>0</v>
      </c>
      <c r="CO71" s="120">
        <v>0</v>
      </c>
      <c r="CP71" s="120">
        <v>0</v>
      </c>
      <c r="CQ71" s="120">
        <v>0</v>
      </c>
      <c r="CR71" s="120">
        <v>0</v>
      </c>
      <c r="CS71" s="120">
        <v>0</v>
      </c>
      <c r="CT71" s="120">
        <v>1663.0160251967241</v>
      </c>
      <c r="CU71" s="120">
        <v>0</v>
      </c>
      <c r="CV71" s="120">
        <v>0</v>
      </c>
      <c r="CW71" s="120">
        <v>0</v>
      </c>
      <c r="CX71" s="120">
        <v>0</v>
      </c>
      <c r="CY71" s="120">
        <v>0</v>
      </c>
      <c r="CZ71" s="120">
        <v>0</v>
      </c>
      <c r="DA71" s="120">
        <v>0</v>
      </c>
      <c r="DB71" s="120">
        <v>4461.0992238889085</v>
      </c>
      <c r="DC71" s="120">
        <v>0</v>
      </c>
      <c r="DD71" s="120">
        <v>0</v>
      </c>
      <c r="DE71" s="120">
        <v>-39.208026858568317</v>
      </c>
      <c r="DF71" s="120">
        <v>-174.75577685533321</v>
      </c>
      <c r="DG71" s="120">
        <v>-3192.8055381840459</v>
      </c>
      <c r="DH71" s="120">
        <v>0</v>
      </c>
      <c r="DI71" s="120">
        <v>0</v>
      </c>
      <c r="DJ71" s="120">
        <v>0</v>
      </c>
      <c r="DK71" s="120">
        <v>0</v>
      </c>
      <c r="DL71" s="120">
        <v>0</v>
      </c>
      <c r="DM71" s="120">
        <v>0</v>
      </c>
      <c r="DN71" s="120">
        <v>-321.07874900651422</v>
      </c>
      <c r="DO71" s="120">
        <v>-91.546081250192984</v>
      </c>
      <c r="DP71" s="120">
        <v>4400.7487681488574</v>
      </c>
      <c r="DQ71" s="120">
        <v>-491.76293418871768</v>
      </c>
      <c r="DR71" s="120">
        <v>-7280.3886505893224</v>
      </c>
      <c r="DS71" s="120">
        <v>-174.20118986317991</v>
      </c>
      <c r="DT71" s="120">
        <v>-665.18321254739794</v>
      </c>
      <c r="DU71" s="120">
        <v>0</v>
      </c>
      <c r="DV71" s="120">
        <v>2928.6244672676771</v>
      </c>
      <c r="DW71" s="120">
        <v>-232.7763215124686</v>
      </c>
      <c r="DX71" s="120">
        <v>0</v>
      </c>
      <c r="DY71" s="120">
        <v>110.69124996714631</v>
      </c>
      <c r="DZ71" s="120">
        <v>-3.9399070759797632</v>
      </c>
      <c r="EA71" s="120">
        <v>0</v>
      </c>
      <c r="EB71" s="120">
        <v>196.50730111563419</v>
      </c>
      <c r="EC71" s="120">
        <v>-23.842907666058469</v>
      </c>
      <c r="ED71" s="120">
        <f t="shared" si="1"/>
        <v>34576.662537973825</v>
      </c>
    </row>
    <row r="72" spans="1:134">
      <c r="A72" s="120">
        <v>71</v>
      </c>
      <c r="B72" s="120">
        <v>0</v>
      </c>
      <c r="C72" s="120">
        <v>0</v>
      </c>
      <c r="D72" s="120">
        <v>0</v>
      </c>
      <c r="E72" s="120">
        <v>120568.3859852399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120">
        <v>0</v>
      </c>
      <c r="AH72" s="120">
        <v>0</v>
      </c>
      <c r="AI72" s="120">
        <v>0</v>
      </c>
      <c r="AJ72" s="120">
        <v>0</v>
      </c>
      <c r="AK72" s="120">
        <v>0</v>
      </c>
      <c r="AL72" s="120">
        <v>0</v>
      </c>
      <c r="AM72" s="120">
        <v>0</v>
      </c>
      <c r="AN72" s="120">
        <v>0</v>
      </c>
      <c r="AO72" s="120">
        <v>0</v>
      </c>
      <c r="AP72" s="120">
        <v>0</v>
      </c>
      <c r="AQ72" s="120">
        <v>0</v>
      </c>
      <c r="AR72" s="120">
        <v>0</v>
      </c>
      <c r="AS72" s="120">
        <v>0</v>
      </c>
      <c r="AT72" s="120">
        <v>0</v>
      </c>
      <c r="AU72" s="120">
        <v>0</v>
      </c>
      <c r="AV72" s="120">
        <v>0</v>
      </c>
      <c r="AW72" s="120">
        <v>0</v>
      </c>
      <c r="AX72" s="120">
        <v>0</v>
      </c>
      <c r="AY72" s="120">
        <v>0</v>
      </c>
      <c r="AZ72" s="120">
        <v>0</v>
      </c>
      <c r="BA72" s="120">
        <v>0</v>
      </c>
      <c r="BB72" s="120">
        <v>0</v>
      </c>
      <c r="BC72" s="120">
        <v>0</v>
      </c>
      <c r="BD72" s="120">
        <v>0</v>
      </c>
      <c r="BE72" s="120">
        <v>0</v>
      </c>
      <c r="BF72" s="120">
        <v>0</v>
      </c>
      <c r="BG72" s="120">
        <v>0</v>
      </c>
      <c r="BH72" s="120">
        <v>0</v>
      </c>
      <c r="BI72" s="120">
        <v>0</v>
      </c>
      <c r="BJ72" s="120">
        <v>0</v>
      </c>
      <c r="BK72" s="120">
        <v>0</v>
      </c>
      <c r="BL72" s="120">
        <v>0</v>
      </c>
      <c r="BM72" s="120">
        <v>0</v>
      </c>
      <c r="BN72" s="120">
        <v>0</v>
      </c>
      <c r="BO72" s="120">
        <v>0</v>
      </c>
      <c r="BP72" s="120">
        <v>0</v>
      </c>
      <c r="BQ72" s="120">
        <v>0</v>
      </c>
      <c r="BR72" s="120">
        <v>0</v>
      </c>
      <c r="BS72" s="120">
        <v>0</v>
      </c>
      <c r="BT72" s="120">
        <v>0</v>
      </c>
      <c r="BU72" s="120">
        <v>0</v>
      </c>
      <c r="BV72" s="120">
        <v>0</v>
      </c>
      <c r="BW72" s="120">
        <v>0</v>
      </c>
      <c r="BX72" s="120">
        <v>0</v>
      </c>
      <c r="BY72" s="120">
        <v>0</v>
      </c>
      <c r="BZ72" s="120">
        <v>-9001.1190563157706</v>
      </c>
      <c r="CA72" s="120">
        <v>-9577.0772885696042</v>
      </c>
      <c r="CB72" s="120">
        <v>-50268.965620382063</v>
      </c>
      <c r="CC72" s="120">
        <v>0</v>
      </c>
      <c r="CD72" s="120">
        <v>0</v>
      </c>
      <c r="CE72" s="120">
        <v>877.3711132900138</v>
      </c>
      <c r="CF72" s="120">
        <v>0</v>
      </c>
      <c r="CG72" s="120">
        <v>0</v>
      </c>
      <c r="CH72" s="120">
        <v>0</v>
      </c>
      <c r="CI72" s="120">
        <v>13.78410513141427</v>
      </c>
      <c r="CJ72" s="120">
        <v>0</v>
      </c>
      <c r="CK72" s="120">
        <v>0</v>
      </c>
      <c r="CL72" s="120">
        <v>0</v>
      </c>
      <c r="CM72" s="120">
        <v>0</v>
      </c>
      <c r="CN72" s="120">
        <v>0</v>
      </c>
      <c r="CO72" s="120">
        <v>0</v>
      </c>
      <c r="CP72" s="120">
        <v>0</v>
      </c>
      <c r="CQ72" s="120">
        <v>0</v>
      </c>
      <c r="CR72" s="120">
        <v>0</v>
      </c>
      <c r="CS72" s="120">
        <v>0</v>
      </c>
      <c r="CT72" s="120">
        <v>0</v>
      </c>
      <c r="CU72" s="120">
        <v>0</v>
      </c>
      <c r="CV72" s="120">
        <v>47494.962216104512</v>
      </c>
      <c r="CW72" s="120">
        <v>0</v>
      </c>
      <c r="CX72" s="120">
        <v>0</v>
      </c>
      <c r="CY72" s="120">
        <v>0</v>
      </c>
      <c r="CZ72" s="120">
        <v>0</v>
      </c>
      <c r="DA72" s="120">
        <v>0</v>
      </c>
      <c r="DB72" s="120">
        <v>0</v>
      </c>
      <c r="DC72" s="120">
        <v>0</v>
      </c>
      <c r="DD72" s="120">
        <v>924.29204482364275</v>
      </c>
      <c r="DE72" s="120">
        <v>-6056.3943355819774</v>
      </c>
      <c r="DF72" s="120">
        <v>-6304.9456804369092</v>
      </c>
      <c r="DG72" s="120">
        <v>-2554.2667978736899</v>
      </c>
      <c r="DH72" s="120">
        <v>0</v>
      </c>
      <c r="DI72" s="120">
        <v>0</v>
      </c>
      <c r="DJ72" s="120">
        <v>0</v>
      </c>
      <c r="DK72" s="120">
        <v>0</v>
      </c>
      <c r="DL72" s="120">
        <v>0</v>
      </c>
      <c r="DM72" s="120">
        <v>0</v>
      </c>
      <c r="DN72" s="120">
        <v>1125.7623682869071</v>
      </c>
      <c r="DO72" s="120">
        <v>-340.74059847261589</v>
      </c>
      <c r="DP72" s="120">
        <v>4862.9631327057614</v>
      </c>
      <c r="DQ72" s="120">
        <v>-2015.169315223231</v>
      </c>
      <c r="DR72" s="120">
        <v>-48898.282614970172</v>
      </c>
      <c r="DS72" s="120">
        <v>-2059.1660971525848</v>
      </c>
      <c r="DT72" s="120">
        <v>-3731.0151051604112</v>
      </c>
      <c r="DU72" s="120">
        <v>0</v>
      </c>
      <c r="DV72" s="120">
        <v>0</v>
      </c>
      <c r="DW72" s="120">
        <v>0</v>
      </c>
      <c r="DX72" s="120">
        <v>0</v>
      </c>
      <c r="DY72" s="120">
        <v>9.8990165283991516</v>
      </c>
      <c r="DZ72" s="120">
        <v>-2.199781450755367</v>
      </c>
      <c r="EA72" s="120">
        <v>0</v>
      </c>
      <c r="EB72" s="120">
        <v>1252.5964654358961</v>
      </c>
      <c r="EC72" s="120">
        <v>-404.18273619183418</v>
      </c>
      <c r="ED72" s="120">
        <f t="shared" si="1"/>
        <v>35916.491419764818</v>
      </c>
    </row>
    <row r="73" spans="1:134">
      <c r="A73" s="120">
        <v>72</v>
      </c>
      <c r="B73" s="120">
        <v>0</v>
      </c>
      <c r="C73" s="120">
        <v>0</v>
      </c>
      <c r="D73" s="120">
        <v>0</v>
      </c>
      <c r="E73" s="120">
        <v>42386.779024815289</v>
      </c>
      <c r="F73" s="120">
        <v>0</v>
      </c>
      <c r="G73" s="120">
        <v>0</v>
      </c>
      <c r="H73" s="120">
        <v>486.74018439172409</v>
      </c>
      <c r="I73" s="120">
        <v>0</v>
      </c>
      <c r="J73" s="120">
        <v>0</v>
      </c>
      <c r="K73" s="120">
        <v>0</v>
      </c>
      <c r="L73" s="120">
        <v>0</v>
      </c>
      <c r="M73" s="120">
        <v>0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120">
        <v>0</v>
      </c>
      <c r="AH73" s="120">
        <v>0</v>
      </c>
      <c r="AI73" s="120">
        <v>0</v>
      </c>
      <c r="AJ73" s="120">
        <v>0</v>
      </c>
      <c r="AK73" s="120">
        <v>0</v>
      </c>
      <c r="AL73" s="120">
        <v>0</v>
      </c>
      <c r="AM73" s="120">
        <v>0</v>
      </c>
      <c r="AN73" s="120">
        <v>0</v>
      </c>
      <c r="AO73" s="120">
        <v>0</v>
      </c>
      <c r="AP73" s="120">
        <v>0</v>
      </c>
      <c r="AQ73" s="120">
        <v>0</v>
      </c>
      <c r="AR73" s="120">
        <v>0</v>
      </c>
      <c r="AS73" s="120">
        <v>0</v>
      </c>
      <c r="AT73" s="120">
        <v>0</v>
      </c>
      <c r="AU73" s="120">
        <v>0</v>
      </c>
      <c r="AV73" s="120">
        <v>0</v>
      </c>
      <c r="AW73" s="120">
        <v>0</v>
      </c>
      <c r="AX73" s="120">
        <v>0</v>
      </c>
      <c r="AY73" s="120">
        <v>0</v>
      </c>
      <c r="AZ73" s="120">
        <v>0</v>
      </c>
      <c r="BA73" s="120">
        <v>0</v>
      </c>
      <c r="BB73" s="120">
        <v>0</v>
      </c>
      <c r="BC73" s="120">
        <v>0</v>
      </c>
      <c r="BD73" s="120">
        <v>0</v>
      </c>
      <c r="BE73" s="120">
        <v>0</v>
      </c>
      <c r="BF73" s="120">
        <v>0</v>
      </c>
      <c r="BG73" s="120">
        <v>0</v>
      </c>
      <c r="BH73" s="120">
        <v>0</v>
      </c>
      <c r="BI73" s="120">
        <v>0</v>
      </c>
      <c r="BJ73" s="120">
        <v>0</v>
      </c>
      <c r="BK73" s="120">
        <v>0</v>
      </c>
      <c r="BL73" s="120">
        <v>0</v>
      </c>
      <c r="BM73" s="120">
        <v>0</v>
      </c>
      <c r="BN73" s="120">
        <v>0</v>
      </c>
      <c r="BO73" s="120">
        <v>0</v>
      </c>
      <c r="BP73" s="120">
        <v>0</v>
      </c>
      <c r="BQ73" s="120">
        <v>0</v>
      </c>
      <c r="BR73" s="120">
        <v>0</v>
      </c>
      <c r="BS73" s="120">
        <v>0</v>
      </c>
      <c r="BT73" s="120">
        <v>0</v>
      </c>
      <c r="BU73" s="120">
        <v>0</v>
      </c>
      <c r="BV73" s="120">
        <v>0</v>
      </c>
      <c r="BW73" s="120">
        <v>0</v>
      </c>
      <c r="BX73" s="120">
        <v>0</v>
      </c>
      <c r="BY73" s="120">
        <v>0</v>
      </c>
      <c r="BZ73" s="120">
        <v>-2648.5362665248199</v>
      </c>
      <c r="CA73" s="120">
        <v>-3423.2308257083591</v>
      </c>
      <c r="CB73" s="120">
        <v>-21873.863822380579</v>
      </c>
      <c r="CC73" s="120">
        <v>0</v>
      </c>
      <c r="CD73" s="120">
        <v>0</v>
      </c>
      <c r="CE73" s="120">
        <v>0</v>
      </c>
      <c r="CF73" s="120">
        <v>0</v>
      </c>
      <c r="CG73" s="120">
        <v>0</v>
      </c>
      <c r="CH73" s="120">
        <v>0</v>
      </c>
      <c r="CI73" s="120">
        <v>0</v>
      </c>
      <c r="CJ73" s="120">
        <v>0</v>
      </c>
      <c r="CK73" s="120">
        <v>0</v>
      </c>
      <c r="CL73" s="120">
        <v>0</v>
      </c>
      <c r="CM73" s="120">
        <v>0</v>
      </c>
      <c r="CN73" s="120">
        <v>0</v>
      </c>
      <c r="CO73" s="120">
        <v>0</v>
      </c>
      <c r="CP73" s="120">
        <v>0</v>
      </c>
      <c r="CQ73" s="120">
        <v>0</v>
      </c>
      <c r="CR73" s="120">
        <v>0</v>
      </c>
      <c r="CS73" s="120">
        <v>0</v>
      </c>
      <c r="CT73" s="120">
        <v>0</v>
      </c>
      <c r="CU73" s="120">
        <v>0</v>
      </c>
      <c r="CV73" s="120">
        <v>1441.28965065395</v>
      </c>
      <c r="CW73" s="120">
        <v>0</v>
      </c>
      <c r="CX73" s="120">
        <v>0</v>
      </c>
      <c r="CY73" s="120">
        <v>0</v>
      </c>
      <c r="CZ73" s="120">
        <v>0</v>
      </c>
      <c r="DA73" s="120">
        <v>0</v>
      </c>
      <c r="DB73" s="120">
        <v>0</v>
      </c>
      <c r="DC73" s="120">
        <v>0</v>
      </c>
      <c r="DD73" s="120">
        <v>314.58886452668548</v>
      </c>
      <c r="DE73" s="120">
        <v>-214.16230828117739</v>
      </c>
      <c r="DF73" s="120">
        <v>-286.16146928516622</v>
      </c>
      <c r="DG73" s="120">
        <v>-42.224898487009469</v>
      </c>
      <c r="DH73" s="120">
        <v>0</v>
      </c>
      <c r="DI73" s="120">
        <v>0</v>
      </c>
      <c r="DJ73" s="120">
        <v>0</v>
      </c>
      <c r="DK73" s="120">
        <v>0</v>
      </c>
      <c r="DL73" s="120">
        <v>0</v>
      </c>
      <c r="DM73" s="120">
        <v>0</v>
      </c>
      <c r="DN73" s="120">
        <v>88.00748155988849</v>
      </c>
      <c r="DO73" s="120">
        <v>-30.97641804296509</v>
      </c>
      <c r="DP73" s="120">
        <v>251.97251037412889</v>
      </c>
      <c r="DQ73" s="120">
        <v>-112.16508452657609</v>
      </c>
      <c r="DR73" s="120">
        <v>-2517.7303516402799</v>
      </c>
      <c r="DS73" s="120">
        <v>-68.821225905264356</v>
      </c>
      <c r="DT73" s="120">
        <v>-194.2017432504764</v>
      </c>
      <c r="DU73" s="120">
        <v>0</v>
      </c>
      <c r="DV73" s="120">
        <v>0</v>
      </c>
      <c r="DW73" s="120">
        <v>0</v>
      </c>
      <c r="DX73" s="120">
        <v>0</v>
      </c>
      <c r="DY73" s="120">
        <v>0</v>
      </c>
      <c r="DZ73" s="120">
        <v>0</v>
      </c>
      <c r="EA73" s="120">
        <v>0</v>
      </c>
      <c r="EB73" s="120">
        <v>21.862566645185051</v>
      </c>
      <c r="EC73" s="120">
        <v>-6.7084271567109433</v>
      </c>
      <c r="ED73" s="120">
        <f t="shared" si="1"/>
        <v>13572.457441777473</v>
      </c>
    </row>
    <row r="74" spans="1:134">
      <c r="A74" s="120">
        <v>73</v>
      </c>
      <c r="B74" s="120">
        <v>0</v>
      </c>
      <c r="C74" s="120">
        <v>0</v>
      </c>
      <c r="D74" s="120">
        <v>0</v>
      </c>
      <c r="E74" s="120">
        <v>564.0383527582942</v>
      </c>
      <c r="F74" s="120">
        <v>0</v>
      </c>
      <c r="G74" s="120">
        <v>0</v>
      </c>
      <c r="H74" s="120">
        <v>0</v>
      </c>
      <c r="I74" s="120">
        <v>0</v>
      </c>
      <c r="J74" s="120">
        <v>10181.42568221191</v>
      </c>
      <c r="K74" s="120">
        <v>0</v>
      </c>
      <c r="L74" s="120">
        <v>0</v>
      </c>
      <c r="M74" s="120">
        <v>0</v>
      </c>
      <c r="N74" s="120">
        <v>0</v>
      </c>
      <c r="O74" s="120">
        <v>63597.734994337479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45.923192810619767</v>
      </c>
      <c r="W74" s="120">
        <v>10.374494597998281</v>
      </c>
      <c r="X74" s="120">
        <v>0</v>
      </c>
      <c r="Y74" s="120">
        <v>0</v>
      </c>
      <c r="Z74" s="120">
        <v>0</v>
      </c>
      <c r="AA74" s="120">
        <v>0</v>
      </c>
      <c r="AB74" s="120">
        <v>7390.4317445747693</v>
      </c>
      <c r="AC74" s="120">
        <v>0</v>
      </c>
      <c r="AD74" s="120">
        <v>760.05268869693577</v>
      </c>
      <c r="AE74" s="120">
        <v>16.132601465270689</v>
      </c>
      <c r="AF74" s="120">
        <v>0</v>
      </c>
      <c r="AG74" s="120">
        <v>0</v>
      </c>
      <c r="AH74" s="120">
        <v>0</v>
      </c>
      <c r="AI74" s="120">
        <v>0</v>
      </c>
      <c r="AJ74" s="120">
        <v>0</v>
      </c>
      <c r="AK74" s="120">
        <v>0</v>
      </c>
      <c r="AL74" s="120">
        <v>0</v>
      </c>
      <c r="AM74" s="120">
        <v>0</v>
      </c>
      <c r="AN74" s="120">
        <v>0</v>
      </c>
      <c r="AO74" s="120">
        <v>0</v>
      </c>
      <c r="AP74" s="120">
        <v>0</v>
      </c>
      <c r="AQ74" s="120">
        <v>0</v>
      </c>
      <c r="AR74" s="120">
        <v>0</v>
      </c>
      <c r="AS74" s="120">
        <v>0</v>
      </c>
      <c r="AT74" s="120">
        <v>0</v>
      </c>
      <c r="AU74" s="120">
        <v>0</v>
      </c>
      <c r="AV74" s="120">
        <v>0</v>
      </c>
      <c r="AW74" s="120">
        <v>0</v>
      </c>
      <c r="AX74" s="120">
        <v>0</v>
      </c>
      <c r="AY74" s="120">
        <v>0</v>
      </c>
      <c r="AZ74" s="120">
        <v>0</v>
      </c>
      <c r="BA74" s="120">
        <v>0</v>
      </c>
      <c r="BB74" s="120">
        <v>0</v>
      </c>
      <c r="BC74" s="120">
        <v>0</v>
      </c>
      <c r="BD74" s="120">
        <v>0</v>
      </c>
      <c r="BE74" s="120">
        <v>0</v>
      </c>
      <c r="BF74" s="120">
        <v>0</v>
      </c>
      <c r="BG74" s="120">
        <v>0</v>
      </c>
      <c r="BH74" s="120">
        <v>0</v>
      </c>
      <c r="BI74" s="120">
        <v>0</v>
      </c>
      <c r="BJ74" s="120">
        <v>0</v>
      </c>
      <c r="BK74" s="120">
        <v>0</v>
      </c>
      <c r="BL74" s="120">
        <v>0</v>
      </c>
      <c r="BM74" s="120">
        <v>0</v>
      </c>
      <c r="BN74" s="120">
        <v>0</v>
      </c>
      <c r="BO74" s="120">
        <v>0</v>
      </c>
      <c r="BP74" s="120">
        <v>0</v>
      </c>
      <c r="BQ74" s="120">
        <v>0</v>
      </c>
      <c r="BR74" s="120">
        <v>0</v>
      </c>
      <c r="BS74" s="120">
        <v>0</v>
      </c>
      <c r="BT74" s="120">
        <v>0</v>
      </c>
      <c r="BU74" s="120">
        <v>0</v>
      </c>
      <c r="BV74" s="120">
        <v>0</v>
      </c>
      <c r="BW74" s="120">
        <v>0</v>
      </c>
      <c r="BX74" s="120">
        <v>0</v>
      </c>
      <c r="BY74" s="120">
        <v>0</v>
      </c>
      <c r="BZ74" s="120">
        <v>-438.53812189509227</v>
      </c>
      <c r="CA74" s="120">
        <v>-10873.694240692659</v>
      </c>
      <c r="CB74" s="120">
        <v>-40626.224019914916</v>
      </c>
      <c r="CC74" s="120">
        <v>0</v>
      </c>
      <c r="CD74" s="120">
        <v>0</v>
      </c>
      <c r="CE74" s="120">
        <v>55739.529323783092</v>
      </c>
      <c r="CF74" s="120">
        <v>0</v>
      </c>
      <c r="CG74" s="120">
        <v>0</v>
      </c>
      <c r="CH74" s="120">
        <v>0</v>
      </c>
      <c r="CI74" s="120">
        <v>0</v>
      </c>
      <c r="CJ74" s="120">
        <v>0</v>
      </c>
      <c r="CK74" s="120">
        <v>0</v>
      </c>
      <c r="CL74" s="120">
        <v>0</v>
      </c>
      <c r="CM74" s="120">
        <v>0</v>
      </c>
      <c r="CN74" s="120">
        <v>0</v>
      </c>
      <c r="CO74" s="120">
        <v>0</v>
      </c>
      <c r="CP74" s="120">
        <v>0</v>
      </c>
      <c r="CQ74" s="120">
        <v>0</v>
      </c>
      <c r="CR74" s="120">
        <v>0</v>
      </c>
      <c r="CS74" s="120">
        <v>0</v>
      </c>
      <c r="CT74" s="120">
        <v>0</v>
      </c>
      <c r="CU74" s="120">
        <v>0</v>
      </c>
      <c r="CV74" s="120">
        <v>0</v>
      </c>
      <c r="CW74" s="120">
        <v>0</v>
      </c>
      <c r="CX74" s="120">
        <v>0</v>
      </c>
      <c r="CY74" s="120">
        <v>0</v>
      </c>
      <c r="CZ74" s="120">
        <v>0</v>
      </c>
      <c r="DA74" s="120">
        <v>0</v>
      </c>
      <c r="DB74" s="120">
        <v>0</v>
      </c>
      <c r="DC74" s="120">
        <v>0</v>
      </c>
      <c r="DD74" s="120">
        <v>0</v>
      </c>
      <c r="DE74" s="120">
        <v>-546.57573994981135</v>
      </c>
      <c r="DF74" s="120">
        <v>-18622.252771176441</v>
      </c>
      <c r="DG74" s="120">
        <v>0</v>
      </c>
      <c r="DH74" s="120">
        <v>0</v>
      </c>
      <c r="DI74" s="120">
        <v>0</v>
      </c>
      <c r="DJ74" s="120">
        <v>0</v>
      </c>
      <c r="DK74" s="120">
        <v>0</v>
      </c>
      <c r="DL74" s="120">
        <v>0</v>
      </c>
      <c r="DM74" s="120">
        <v>0</v>
      </c>
      <c r="DN74" s="120">
        <v>3663.603281476348</v>
      </c>
      <c r="DO74" s="120">
        <v>-1465.8365789169959</v>
      </c>
      <c r="DP74" s="120">
        <v>30429.21654510299</v>
      </c>
      <c r="DQ74" s="120">
        <v>-11816.502020541209</v>
      </c>
      <c r="DR74" s="120">
        <v>-50967.010046006733</v>
      </c>
      <c r="DS74" s="120">
        <v>-314.21172536841578</v>
      </c>
      <c r="DT74" s="120">
        <v>-419.81729259527663</v>
      </c>
      <c r="DU74" s="120">
        <v>0</v>
      </c>
      <c r="DV74" s="120">
        <v>99.250572139893293</v>
      </c>
      <c r="DW74" s="120">
        <v>-32.389194584687502</v>
      </c>
      <c r="DX74" s="120">
        <v>0</v>
      </c>
      <c r="DY74" s="120">
        <v>20.223797208557411</v>
      </c>
      <c r="DZ74" s="120">
        <v>-6.4699454433981378</v>
      </c>
      <c r="EA74" s="120">
        <v>0</v>
      </c>
      <c r="EB74" s="120">
        <v>580.36408595745092</v>
      </c>
      <c r="EC74" s="120">
        <v>-192.80411289144041</v>
      </c>
      <c r="ED74" s="120">
        <f t="shared" si="1"/>
        <v>36775.975547144517</v>
      </c>
    </row>
    <row r="75" spans="1:134">
      <c r="A75" s="120">
        <v>74</v>
      </c>
      <c r="B75" s="120">
        <v>0</v>
      </c>
      <c r="C75" s="120">
        <v>0</v>
      </c>
      <c r="D75" s="120">
        <v>604.65798205726924</v>
      </c>
      <c r="E75" s="120">
        <v>15940.94910080183</v>
      </c>
      <c r="F75" s="120">
        <v>0</v>
      </c>
      <c r="G75" s="120">
        <v>223.90720401914231</v>
      </c>
      <c r="H75" s="120">
        <v>1770.055167469699</v>
      </c>
      <c r="I75" s="120">
        <v>6.4048153776731196</v>
      </c>
      <c r="J75" s="120">
        <v>59544.304030280327</v>
      </c>
      <c r="K75" s="120">
        <v>0</v>
      </c>
      <c r="L75" s="120">
        <v>0</v>
      </c>
      <c r="M75" s="120">
        <v>7299.8893939393938</v>
      </c>
      <c r="N75" s="120">
        <v>64454.627570859113</v>
      </c>
      <c r="O75" s="120">
        <v>0</v>
      </c>
      <c r="P75" s="120">
        <v>0</v>
      </c>
      <c r="Q75" s="120">
        <v>3939.614360148601</v>
      </c>
      <c r="R75" s="120">
        <v>0</v>
      </c>
      <c r="S75" s="120">
        <v>0</v>
      </c>
      <c r="T75" s="120">
        <v>0</v>
      </c>
      <c r="U75" s="120">
        <v>0</v>
      </c>
      <c r="V75" s="120">
        <v>242.94850390134329</v>
      </c>
      <c r="W75" s="120">
        <v>20.74898919599655</v>
      </c>
      <c r="X75" s="120">
        <v>0</v>
      </c>
      <c r="Y75" s="120">
        <v>442.85710877019329</v>
      </c>
      <c r="Z75" s="120">
        <v>0</v>
      </c>
      <c r="AA75" s="120">
        <v>0</v>
      </c>
      <c r="AB75" s="120">
        <v>0</v>
      </c>
      <c r="AC75" s="120">
        <v>118288.520149246</v>
      </c>
      <c r="AD75" s="120">
        <v>18304.741456573669</v>
      </c>
      <c r="AE75" s="120">
        <v>22795.365870427489</v>
      </c>
      <c r="AF75" s="120">
        <v>0</v>
      </c>
      <c r="AG75" s="120">
        <v>6847.4396504954166</v>
      </c>
      <c r="AH75" s="120">
        <v>0</v>
      </c>
      <c r="AI75" s="120">
        <v>0</v>
      </c>
      <c r="AJ75" s="120">
        <v>0</v>
      </c>
      <c r="AK75" s="120">
        <v>0</v>
      </c>
      <c r="AL75" s="120">
        <v>0</v>
      </c>
      <c r="AM75" s="120">
        <v>0</v>
      </c>
      <c r="AN75" s="120">
        <v>0</v>
      </c>
      <c r="AO75" s="120">
        <v>0</v>
      </c>
      <c r="AP75" s="120">
        <v>0</v>
      </c>
      <c r="AQ75" s="120">
        <v>0</v>
      </c>
      <c r="AR75" s="120">
        <v>0</v>
      </c>
      <c r="AS75" s="120">
        <v>0</v>
      </c>
      <c r="AT75" s="120">
        <v>0</v>
      </c>
      <c r="AU75" s="120">
        <v>0</v>
      </c>
      <c r="AV75" s="120">
        <v>0</v>
      </c>
      <c r="AW75" s="120">
        <v>0</v>
      </c>
      <c r="AX75" s="120">
        <v>0</v>
      </c>
      <c r="AY75" s="120">
        <v>0</v>
      </c>
      <c r="AZ75" s="120">
        <v>0</v>
      </c>
      <c r="BA75" s="120">
        <v>0</v>
      </c>
      <c r="BB75" s="120">
        <v>0</v>
      </c>
      <c r="BC75" s="120">
        <v>0</v>
      </c>
      <c r="BD75" s="120">
        <v>0</v>
      </c>
      <c r="BE75" s="120">
        <v>0</v>
      </c>
      <c r="BF75" s="120">
        <v>0</v>
      </c>
      <c r="BG75" s="120">
        <v>0</v>
      </c>
      <c r="BH75" s="120">
        <v>0</v>
      </c>
      <c r="BI75" s="120">
        <v>0</v>
      </c>
      <c r="BJ75" s="120">
        <v>0</v>
      </c>
      <c r="BK75" s="120">
        <v>0</v>
      </c>
      <c r="BL75" s="120">
        <v>0</v>
      </c>
      <c r="BM75" s="120">
        <v>0</v>
      </c>
      <c r="BN75" s="120">
        <v>0</v>
      </c>
      <c r="BO75" s="120">
        <v>0</v>
      </c>
      <c r="BP75" s="120">
        <v>0</v>
      </c>
      <c r="BQ75" s="120">
        <v>0</v>
      </c>
      <c r="BR75" s="120">
        <v>0</v>
      </c>
      <c r="BS75" s="120">
        <v>0</v>
      </c>
      <c r="BT75" s="120">
        <v>0</v>
      </c>
      <c r="BU75" s="120">
        <v>0</v>
      </c>
      <c r="BV75" s="120">
        <v>0</v>
      </c>
      <c r="BW75" s="120">
        <v>0</v>
      </c>
      <c r="BX75" s="120">
        <v>0</v>
      </c>
      <c r="BY75" s="120">
        <v>0</v>
      </c>
      <c r="BZ75" s="120">
        <v>-16759.123273128389</v>
      </c>
      <c r="CA75" s="120">
        <v>-45328.329530672781</v>
      </c>
      <c r="CB75" s="120">
        <v>-142815.3737829391</v>
      </c>
      <c r="CC75" s="120">
        <v>0</v>
      </c>
      <c r="CD75" s="120">
        <v>0</v>
      </c>
      <c r="CE75" s="120">
        <v>0</v>
      </c>
      <c r="CF75" s="120">
        <v>0</v>
      </c>
      <c r="CG75" s="120">
        <v>0</v>
      </c>
      <c r="CH75" s="120">
        <v>5.0374389582202932</v>
      </c>
      <c r="CI75" s="120">
        <v>0</v>
      </c>
      <c r="CJ75" s="120">
        <v>0</v>
      </c>
      <c r="CK75" s="120">
        <v>0</v>
      </c>
      <c r="CL75" s="120">
        <v>0</v>
      </c>
      <c r="CM75" s="120">
        <v>0</v>
      </c>
      <c r="CN75" s="120">
        <v>0</v>
      </c>
      <c r="CO75" s="120">
        <v>0</v>
      </c>
      <c r="CP75" s="120">
        <v>0</v>
      </c>
      <c r="CQ75" s="120">
        <v>0</v>
      </c>
      <c r="CR75" s="120">
        <v>0</v>
      </c>
      <c r="CS75" s="120">
        <v>0</v>
      </c>
      <c r="CT75" s="120">
        <v>0</v>
      </c>
      <c r="CU75" s="120">
        <v>0</v>
      </c>
      <c r="CV75" s="120">
        <v>73.260710692156962</v>
      </c>
      <c r="CW75" s="120">
        <v>0</v>
      </c>
      <c r="CX75" s="120">
        <v>0</v>
      </c>
      <c r="CY75" s="120">
        <v>0</v>
      </c>
      <c r="CZ75" s="120">
        <v>0</v>
      </c>
      <c r="DA75" s="120">
        <v>0</v>
      </c>
      <c r="DB75" s="120">
        <v>24226.19371454425</v>
      </c>
      <c r="DC75" s="120">
        <v>0</v>
      </c>
      <c r="DD75" s="120">
        <v>0</v>
      </c>
      <c r="DE75" s="120">
        <v>-2920.3108914775212</v>
      </c>
      <c r="DF75" s="120">
        <v>-4456.9621249831553</v>
      </c>
      <c r="DG75" s="120">
        <v>-299.24767289934402</v>
      </c>
      <c r="DH75" s="120">
        <v>0</v>
      </c>
      <c r="DI75" s="120">
        <v>0</v>
      </c>
      <c r="DJ75" s="120">
        <v>0</v>
      </c>
      <c r="DK75" s="120">
        <v>0</v>
      </c>
      <c r="DL75" s="120">
        <v>0</v>
      </c>
      <c r="DM75" s="120">
        <v>0</v>
      </c>
      <c r="DN75" s="120">
        <v>-1683.6412139137631</v>
      </c>
      <c r="DO75" s="120">
        <v>492.82436704967932</v>
      </c>
      <c r="DP75" s="120">
        <v>25211.159968505421</v>
      </c>
      <c r="DQ75" s="120">
        <v>-11147.95616121196</v>
      </c>
      <c r="DR75" s="120">
        <v>-80710.821470545416</v>
      </c>
      <c r="DS75" s="120">
        <v>-1548.0520411775969</v>
      </c>
      <c r="DT75" s="120">
        <v>-2628.9602055944551</v>
      </c>
      <c r="DU75" s="120">
        <v>0</v>
      </c>
      <c r="DV75" s="120">
        <v>20.04098091286307</v>
      </c>
      <c r="DW75" s="120">
        <v>-8.4493551090489127</v>
      </c>
      <c r="DX75" s="120">
        <v>0</v>
      </c>
      <c r="DY75" s="120">
        <v>0.67412657361858019</v>
      </c>
      <c r="DZ75" s="120">
        <v>-0.12939890886796271</v>
      </c>
      <c r="EA75" s="120">
        <v>0</v>
      </c>
      <c r="EB75" s="120">
        <v>448.02453191489673</v>
      </c>
      <c r="EC75" s="120">
        <v>-143.80164239409089</v>
      </c>
      <c r="ED75" s="120">
        <f t="shared" si="1"/>
        <v>60753.088427758754</v>
      </c>
    </row>
    <row r="76" spans="1:134">
      <c r="A76" s="120">
        <v>75</v>
      </c>
      <c r="B76" s="120">
        <v>0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120">
        <v>0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120">
        <v>0</v>
      </c>
      <c r="AF76" s="120">
        <v>0</v>
      </c>
      <c r="AG76" s="120">
        <v>0</v>
      </c>
      <c r="AH76" s="120">
        <v>0</v>
      </c>
      <c r="AI76" s="120">
        <v>0</v>
      </c>
      <c r="AJ76" s="120">
        <v>0</v>
      </c>
      <c r="AK76" s="120">
        <v>0</v>
      </c>
      <c r="AL76" s="120">
        <v>0</v>
      </c>
      <c r="AM76" s="120">
        <v>0</v>
      </c>
      <c r="AN76" s="120">
        <v>0</v>
      </c>
      <c r="AO76" s="120">
        <v>0</v>
      </c>
      <c r="AP76" s="120">
        <v>0</v>
      </c>
      <c r="AQ76" s="120">
        <v>0</v>
      </c>
      <c r="AR76" s="120">
        <v>0</v>
      </c>
      <c r="AS76" s="120">
        <v>0</v>
      </c>
      <c r="AT76" s="120">
        <v>0</v>
      </c>
      <c r="AU76" s="120">
        <v>0</v>
      </c>
      <c r="AV76" s="120">
        <v>0</v>
      </c>
      <c r="AW76" s="120">
        <v>0</v>
      </c>
      <c r="AX76" s="120">
        <v>0</v>
      </c>
      <c r="AY76" s="120">
        <v>0</v>
      </c>
      <c r="AZ76" s="120">
        <v>0</v>
      </c>
      <c r="BA76" s="120">
        <v>0</v>
      </c>
      <c r="BB76" s="120">
        <v>0</v>
      </c>
      <c r="BC76" s="120">
        <v>0</v>
      </c>
      <c r="BD76" s="120">
        <v>0</v>
      </c>
      <c r="BE76" s="120">
        <v>0</v>
      </c>
      <c r="BF76" s="120">
        <v>0</v>
      </c>
      <c r="BG76" s="120">
        <v>0</v>
      </c>
      <c r="BH76" s="120">
        <v>0</v>
      </c>
      <c r="BI76" s="120">
        <v>0</v>
      </c>
      <c r="BJ76" s="120">
        <v>0</v>
      </c>
      <c r="BK76" s="120">
        <v>0</v>
      </c>
      <c r="BL76" s="120">
        <v>0</v>
      </c>
      <c r="BM76" s="120">
        <v>0</v>
      </c>
      <c r="BN76" s="120">
        <v>0</v>
      </c>
      <c r="BO76" s="120">
        <v>0</v>
      </c>
      <c r="BP76" s="120">
        <v>0</v>
      </c>
      <c r="BQ76" s="120">
        <v>0</v>
      </c>
      <c r="BR76" s="120">
        <v>0</v>
      </c>
      <c r="BS76" s="120">
        <v>0</v>
      </c>
      <c r="BT76" s="120">
        <v>0</v>
      </c>
      <c r="BU76" s="120">
        <v>0</v>
      </c>
      <c r="BV76" s="120">
        <v>0</v>
      </c>
      <c r="BW76" s="120">
        <v>0</v>
      </c>
      <c r="BX76" s="120">
        <v>0</v>
      </c>
      <c r="BY76" s="120">
        <v>0</v>
      </c>
      <c r="BZ76" s="120">
        <v>0</v>
      </c>
      <c r="CA76" s="120">
        <v>725993.92590002099</v>
      </c>
      <c r="CB76" s="120">
        <v>0</v>
      </c>
      <c r="CC76" s="120">
        <v>0</v>
      </c>
      <c r="CD76" s="120">
        <v>0</v>
      </c>
      <c r="CE76" s="120">
        <v>0</v>
      </c>
      <c r="CF76" s="120">
        <v>0</v>
      </c>
      <c r="CG76" s="120">
        <v>0</v>
      </c>
      <c r="CH76" s="120">
        <v>0</v>
      </c>
      <c r="CI76" s="120">
        <v>0</v>
      </c>
      <c r="CJ76" s="120">
        <v>0</v>
      </c>
      <c r="CK76" s="120">
        <v>0</v>
      </c>
      <c r="CL76" s="120">
        <v>0</v>
      </c>
      <c r="CM76" s="120">
        <v>0</v>
      </c>
      <c r="CN76" s="120">
        <v>0</v>
      </c>
      <c r="CO76" s="120">
        <v>0</v>
      </c>
      <c r="CP76" s="120">
        <v>0</v>
      </c>
      <c r="CQ76" s="120">
        <v>0</v>
      </c>
      <c r="CR76" s="120">
        <v>0</v>
      </c>
      <c r="CS76" s="120">
        <v>0</v>
      </c>
      <c r="CT76" s="120">
        <v>0</v>
      </c>
      <c r="CU76" s="120">
        <v>0</v>
      </c>
      <c r="CV76" s="120">
        <v>0</v>
      </c>
      <c r="CW76" s="120">
        <v>0</v>
      </c>
      <c r="CX76" s="120">
        <v>0</v>
      </c>
      <c r="CY76" s="120">
        <v>0</v>
      </c>
      <c r="CZ76" s="120">
        <v>0</v>
      </c>
      <c r="DA76" s="120">
        <v>0</v>
      </c>
      <c r="DB76" s="120">
        <v>0</v>
      </c>
      <c r="DC76" s="120">
        <v>0</v>
      </c>
      <c r="DD76" s="120">
        <v>0</v>
      </c>
      <c r="DE76" s="120">
        <v>0</v>
      </c>
      <c r="DF76" s="120">
        <v>259745.40396024109</v>
      </c>
      <c r="DG76" s="120">
        <v>0</v>
      </c>
      <c r="DH76" s="120">
        <v>0</v>
      </c>
      <c r="DI76" s="120">
        <v>34388.153738069261</v>
      </c>
      <c r="DJ76" s="120">
        <v>0</v>
      </c>
      <c r="DK76" s="120">
        <v>2.405735653220912</v>
      </c>
      <c r="DL76" s="120">
        <v>0</v>
      </c>
      <c r="DM76" s="120">
        <v>2566.7376520648581</v>
      </c>
      <c r="DN76" s="120">
        <v>0</v>
      </c>
      <c r="DO76" s="120">
        <v>15900.339406099651</v>
      </c>
      <c r="DP76" s="120">
        <v>3254.40570071406</v>
      </c>
      <c r="DQ76" s="120">
        <v>322569.18753746571</v>
      </c>
      <c r="DR76" s="120">
        <v>0</v>
      </c>
      <c r="DS76" s="120">
        <v>0</v>
      </c>
      <c r="DT76" s="120">
        <v>98389.21614464045</v>
      </c>
      <c r="DU76" s="120">
        <v>0</v>
      </c>
      <c r="DV76" s="120">
        <v>0</v>
      </c>
      <c r="DW76" s="120">
        <v>15373.6800247253</v>
      </c>
      <c r="DX76" s="120">
        <v>0</v>
      </c>
      <c r="DY76" s="120">
        <v>0</v>
      </c>
      <c r="DZ76" s="120">
        <v>8117.9450363917094</v>
      </c>
      <c r="EA76" s="120">
        <v>0</v>
      </c>
      <c r="EB76" s="120">
        <v>0</v>
      </c>
      <c r="EC76" s="120">
        <v>19786.473812315289</v>
      </c>
      <c r="ED76" s="120">
        <f t="shared" si="1"/>
        <v>1506087.8746484017</v>
      </c>
    </row>
    <row r="77" spans="1:134">
      <c r="A77" s="120">
        <v>76</v>
      </c>
      <c r="B77" s="120">
        <v>0</v>
      </c>
      <c r="C77" s="120">
        <v>0</v>
      </c>
      <c r="D77" s="120">
        <v>0</v>
      </c>
      <c r="E77" s="120">
        <v>0</v>
      </c>
      <c r="F77" s="120">
        <v>0</v>
      </c>
      <c r="G77" s="120">
        <v>0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120">
        <v>0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120">
        <v>0</v>
      </c>
      <c r="AF77" s="120">
        <v>0</v>
      </c>
      <c r="AG77" s="120">
        <v>0</v>
      </c>
      <c r="AH77" s="120">
        <v>0</v>
      </c>
      <c r="AI77" s="120">
        <v>0</v>
      </c>
      <c r="AJ77" s="120">
        <v>0</v>
      </c>
      <c r="AK77" s="120">
        <v>0</v>
      </c>
      <c r="AL77" s="120">
        <v>0</v>
      </c>
      <c r="AM77" s="120">
        <v>0</v>
      </c>
      <c r="AN77" s="120">
        <v>0</v>
      </c>
      <c r="AO77" s="120">
        <v>0</v>
      </c>
      <c r="AP77" s="120">
        <v>0</v>
      </c>
      <c r="AQ77" s="120">
        <v>0</v>
      </c>
      <c r="AR77" s="120">
        <v>0</v>
      </c>
      <c r="AS77" s="120">
        <v>0</v>
      </c>
      <c r="AT77" s="120">
        <v>0</v>
      </c>
      <c r="AU77" s="120">
        <v>0</v>
      </c>
      <c r="AV77" s="120">
        <v>0</v>
      </c>
      <c r="AW77" s="120">
        <v>0</v>
      </c>
      <c r="AX77" s="120">
        <v>0</v>
      </c>
      <c r="AY77" s="120">
        <v>0</v>
      </c>
      <c r="AZ77" s="120">
        <v>0</v>
      </c>
      <c r="BA77" s="120">
        <v>0</v>
      </c>
      <c r="BB77" s="120">
        <v>0</v>
      </c>
      <c r="BC77" s="120">
        <v>0</v>
      </c>
      <c r="BD77" s="120">
        <v>0</v>
      </c>
      <c r="BE77" s="120">
        <v>0</v>
      </c>
      <c r="BF77" s="120">
        <v>0</v>
      </c>
      <c r="BG77" s="120">
        <v>0</v>
      </c>
      <c r="BH77" s="120">
        <v>0</v>
      </c>
      <c r="BI77" s="120">
        <v>0</v>
      </c>
      <c r="BJ77" s="120">
        <v>0</v>
      </c>
      <c r="BK77" s="120">
        <v>0</v>
      </c>
      <c r="BL77" s="120">
        <v>0</v>
      </c>
      <c r="BM77" s="120">
        <v>0</v>
      </c>
      <c r="BN77" s="120">
        <v>0</v>
      </c>
      <c r="BO77" s="120">
        <v>0</v>
      </c>
      <c r="BP77" s="120">
        <v>0</v>
      </c>
      <c r="BQ77" s="120">
        <v>0</v>
      </c>
      <c r="BR77" s="120">
        <v>0</v>
      </c>
      <c r="BS77" s="120">
        <v>0</v>
      </c>
      <c r="BT77" s="120">
        <v>0</v>
      </c>
      <c r="BU77" s="120">
        <v>0</v>
      </c>
      <c r="BV77" s="120">
        <v>0</v>
      </c>
      <c r="BW77" s="120">
        <v>0</v>
      </c>
      <c r="BX77" s="120">
        <v>0</v>
      </c>
      <c r="BY77" s="120">
        <v>0</v>
      </c>
      <c r="BZ77" s="120">
        <v>0</v>
      </c>
      <c r="CA77" s="120">
        <v>0</v>
      </c>
      <c r="CB77" s="120">
        <v>405704.82696440449</v>
      </c>
      <c r="CC77" s="120">
        <v>0</v>
      </c>
      <c r="CD77" s="120">
        <v>0</v>
      </c>
      <c r="CE77" s="120">
        <v>0</v>
      </c>
      <c r="CF77" s="120">
        <v>0</v>
      </c>
      <c r="CG77" s="120">
        <v>0</v>
      </c>
      <c r="CH77" s="120">
        <v>0</v>
      </c>
      <c r="CI77" s="120">
        <v>0</v>
      </c>
      <c r="CJ77" s="120">
        <v>0</v>
      </c>
      <c r="CK77" s="120">
        <v>0</v>
      </c>
      <c r="CL77" s="120">
        <v>0</v>
      </c>
      <c r="CM77" s="120">
        <v>0</v>
      </c>
      <c r="CN77" s="120">
        <v>0</v>
      </c>
      <c r="CO77" s="120">
        <v>0</v>
      </c>
      <c r="CP77" s="120">
        <v>0</v>
      </c>
      <c r="CQ77" s="120">
        <v>0</v>
      </c>
      <c r="CR77" s="120">
        <v>0</v>
      </c>
      <c r="CS77" s="120">
        <v>0</v>
      </c>
      <c r="CT77" s="120">
        <v>0</v>
      </c>
      <c r="CU77" s="120">
        <v>0</v>
      </c>
      <c r="CV77" s="120">
        <v>0</v>
      </c>
      <c r="CW77" s="120">
        <v>0</v>
      </c>
      <c r="CX77" s="120">
        <v>0</v>
      </c>
      <c r="CY77" s="120">
        <v>0</v>
      </c>
      <c r="CZ77" s="120">
        <v>0</v>
      </c>
      <c r="DA77" s="120">
        <v>0</v>
      </c>
      <c r="DB77" s="120">
        <v>0</v>
      </c>
      <c r="DC77" s="120">
        <v>0</v>
      </c>
      <c r="DD77" s="120">
        <v>0</v>
      </c>
      <c r="DE77" s="120">
        <v>0</v>
      </c>
      <c r="DF77" s="120">
        <v>0</v>
      </c>
      <c r="DG77" s="120">
        <v>42605.733301243898</v>
      </c>
      <c r="DH77" s="120">
        <v>0</v>
      </c>
      <c r="DI77" s="120">
        <v>0</v>
      </c>
      <c r="DJ77" s="120">
        <v>0</v>
      </c>
      <c r="DK77" s="120">
        <v>0</v>
      </c>
      <c r="DL77" s="120">
        <v>0</v>
      </c>
      <c r="DM77" s="120">
        <v>0</v>
      </c>
      <c r="DN77" s="120">
        <v>0</v>
      </c>
      <c r="DO77" s="120">
        <v>0</v>
      </c>
      <c r="DP77" s="120">
        <v>0</v>
      </c>
      <c r="DQ77" s="120">
        <v>0</v>
      </c>
      <c r="DR77" s="120">
        <v>0</v>
      </c>
      <c r="DS77" s="120">
        <v>0</v>
      </c>
      <c r="DT77" s="120">
        <v>0</v>
      </c>
      <c r="DU77" s="120">
        <v>0</v>
      </c>
      <c r="DV77" s="120">
        <v>0</v>
      </c>
      <c r="DW77" s="120">
        <v>0</v>
      </c>
      <c r="DX77" s="120">
        <v>0</v>
      </c>
      <c r="DY77" s="120">
        <v>0</v>
      </c>
      <c r="DZ77" s="120">
        <v>0</v>
      </c>
      <c r="EA77" s="120">
        <v>0</v>
      </c>
      <c r="EB77" s="120">
        <v>0</v>
      </c>
      <c r="EC77" s="120">
        <v>0</v>
      </c>
      <c r="ED77" s="120">
        <f t="shared" si="1"/>
        <v>448310.56026564841</v>
      </c>
    </row>
    <row r="78" spans="1:134">
      <c r="A78" s="120">
        <v>77</v>
      </c>
      <c r="B78" s="120">
        <v>0</v>
      </c>
      <c r="C78" s="120">
        <v>0</v>
      </c>
      <c r="D78" s="120">
        <v>0</v>
      </c>
      <c r="E78" s="120">
        <v>0</v>
      </c>
      <c r="F78" s="120">
        <v>0</v>
      </c>
      <c r="G78" s="120">
        <v>0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120">
        <v>0</v>
      </c>
      <c r="U78" s="120">
        <v>0</v>
      </c>
      <c r="V78" s="120">
        <v>0</v>
      </c>
      <c r="W78" s="120">
        <v>0</v>
      </c>
      <c r="X78" s="120">
        <v>0</v>
      </c>
      <c r="Y78" s="120">
        <v>0</v>
      </c>
      <c r="Z78" s="120">
        <v>0</v>
      </c>
      <c r="AA78" s="120">
        <v>0</v>
      </c>
      <c r="AB78" s="120">
        <v>0</v>
      </c>
      <c r="AC78" s="120">
        <v>0</v>
      </c>
      <c r="AD78" s="120">
        <v>0</v>
      </c>
      <c r="AE78" s="120">
        <v>0</v>
      </c>
      <c r="AF78" s="120">
        <v>0</v>
      </c>
      <c r="AG78" s="120">
        <v>0</v>
      </c>
      <c r="AH78" s="120">
        <v>0</v>
      </c>
      <c r="AI78" s="120">
        <v>0</v>
      </c>
      <c r="AJ78" s="120">
        <v>0</v>
      </c>
      <c r="AK78" s="120">
        <v>0</v>
      </c>
      <c r="AL78" s="120">
        <v>0</v>
      </c>
      <c r="AM78" s="120">
        <v>0</v>
      </c>
      <c r="AN78" s="120">
        <v>0</v>
      </c>
      <c r="AO78" s="120">
        <v>0</v>
      </c>
      <c r="AP78" s="120">
        <v>0</v>
      </c>
      <c r="AQ78" s="120">
        <v>0</v>
      </c>
      <c r="AR78" s="120">
        <v>0</v>
      </c>
      <c r="AS78" s="120">
        <v>0</v>
      </c>
      <c r="AT78" s="120">
        <v>0</v>
      </c>
      <c r="AU78" s="120">
        <v>0</v>
      </c>
      <c r="AV78" s="120">
        <v>0</v>
      </c>
      <c r="AW78" s="120">
        <v>0</v>
      </c>
      <c r="AX78" s="120">
        <v>0</v>
      </c>
      <c r="AY78" s="120">
        <v>0</v>
      </c>
      <c r="AZ78" s="120">
        <v>0</v>
      </c>
      <c r="BA78" s="120">
        <v>0</v>
      </c>
      <c r="BB78" s="120">
        <v>0</v>
      </c>
      <c r="BC78" s="120">
        <v>0</v>
      </c>
      <c r="BD78" s="120">
        <v>0</v>
      </c>
      <c r="BE78" s="120">
        <v>0</v>
      </c>
      <c r="BF78" s="120">
        <v>0</v>
      </c>
      <c r="BG78" s="120">
        <v>0</v>
      </c>
      <c r="BH78" s="120">
        <v>0</v>
      </c>
      <c r="BI78" s="120">
        <v>0</v>
      </c>
      <c r="BJ78" s="120">
        <v>0</v>
      </c>
      <c r="BK78" s="120">
        <v>0</v>
      </c>
      <c r="BL78" s="120">
        <v>0</v>
      </c>
      <c r="BM78" s="120">
        <v>0</v>
      </c>
      <c r="BN78" s="120">
        <v>0</v>
      </c>
      <c r="BO78" s="120">
        <v>0</v>
      </c>
      <c r="BP78" s="120">
        <v>0</v>
      </c>
      <c r="BQ78" s="120">
        <v>0</v>
      </c>
      <c r="BR78" s="120">
        <v>0</v>
      </c>
      <c r="BS78" s="120">
        <v>0</v>
      </c>
      <c r="BT78" s="120">
        <v>0</v>
      </c>
      <c r="BU78" s="120">
        <v>0</v>
      </c>
      <c r="BV78" s="120">
        <v>0</v>
      </c>
      <c r="BW78" s="120">
        <v>0</v>
      </c>
      <c r="BX78" s="120">
        <v>0</v>
      </c>
      <c r="BY78" s="120">
        <v>0</v>
      </c>
      <c r="BZ78" s="120">
        <v>0</v>
      </c>
      <c r="CA78" s="120">
        <v>0</v>
      </c>
      <c r="CB78" s="120">
        <v>339750.82714648108</v>
      </c>
      <c r="CC78" s="120">
        <v>0</v>
      </c>
      <c r="CD78" s="120">
        <v>0</v>
      </c>
      <c r="CE78" s="120">
        <v>0</v>
      </c>
      <c r="CF78" s="120">
        <v>0</v>
      </c>
      <c r="CG78" s="120">
        <v>0</v>
      </c>
      <c r="CH78" s="120">
        <v>0</v>
      </c>
      <c r="CI78" s="120">
        <v>0</v>
      </c>
      <c r="CJ78" s="120">
        <v>0</v>
      </c>
      <c r="CK78" s="120">
        <v>0</v>
      </c>
      <c r="CL78" s="120">
        <v>0</v>
      </c>
      <c r="CM78" s="120">
        <v>0</v>
      </c>
      <c r="CN78" s="120">
        <v>0</v>
      </c>
      <c r="CO78" s="120">
        <v>0</v>
      </c>
      <c r="CP78" s="120">
        <v>0</v>
      </c>
      <c r="CQ78" s="120">
        <v>0</v>
      </c>
      <c r="CR78" s="120">
        <v>0</v>
      </c>
      <c r="CS78" s="120">
        <v>0</v>
      </c>
      <c r="CT78" s="120">
        <v>0</v>
      </c>
      <c r="CU78" s="120">
        <v>0</v>
      </c>
      <c r="CV78" s="120">
        <v>0</v>
      </c>
      <c r="CW78" s="120">
        <v>0</v>
      </c>
      <c r="CX78" s="120">
        <v>0</v>
      </c>
      <c r="CY78" s="120">
        <v>0</v>
      </c>
      <c r="CZ78" s="120">
        <v>0</v>
      </c>
      <c r="DA78" s="120">
        <v>0</v>
      </c>
      <c r="DB78" s="120">
        <v>0</v>
      </c>
      <c r="DC78" s="120">
        <v>0</v>
      </c>
      <c r="DD78" s="120">
        <v>0</v>
      </c>
      <c r="DE78" s="120">
        <v>0</v>
      </c>
      <c r="DF78" s="120">
        <v>0</v>
      </c>
      <c r="DG78" s="120">
        <v>991.59848815997532</v>
      </c>
      <c r="DH78" s="120">
        <v>0</v>
      </c>
      <c r="DI78" s="120">
        <v>0</v>
      </c>
      <c r="DJ78" s="120">
        <v>0</v>
      </c>
      <c r="DK78" s="120">
        <v>0</v>
      </c>
      <c r="DL78" s="120">
        <v>0</v>
      </c>
      <c r="DM78" s="120">
        <v>0</v>
      </c>
      <c r="DN78" s="120">
        <v>0</v>
      </c>
      <c r="DO78" s="120">
        <v>0</v>
      </c>
      <c r="DP78" s="120">
        <v>0</v>
      </c>
      <c r="DQ78" s="120">
        <v>0</v>
      </c>
      <c r="DR78" s="120">
        <v>0</v>
      </c>
      <c r="DS78" s="120">
        <v>0</v>
      </c>
      <c r="DT78" s="120">
        <v>0</v>
      </c>
      <c r="DU78" s="120">
        <v>0</v>
      </c>
      <c r="DV78" s="120">
        <v>0</v>
      </c>
      <c r="DW78" s="120">
        <v>0</v>
      </c>
      <c r="DX78" s="120">
        <v>0</v>
      </c>
      <c r="DY78" s="120">
        <v>0</v>
      </c>
      <c r="DZ78" s="120">
        <v>0</v>
      </c>
      <c r="EA78" s="120">
        <v>0</v>
      </c>
      <c r="EB78" s="120">
        <v>0</v>
      </c>
      <c r="EC78" s="120">
        <v>0</v>
      </c>
      <c r="ED78" s="120">
        <f t="shared" si="1"/>
        <v>340742.42563464108</v>
      </c>
    </row>
    <row r="79" spans="1:134">
      <c r="A79" s="120">
        <v>78</v>
      </c>
      <c r="B79" s="120">
        <v>0</v>
      </c>
      <c r="C79" s="120">
        <v>0</v>
      </c>
      <c r="D79" s="120">
        <v>0</v>
      </c>
      <c r="E79" s="120">
        <v>0</v>
      </c>
      <c r="F79" s="120">
        <v>0</v>
      </c>
      <c r="G79" s="120">
        <v>0</v>
      </c>
      <c r="H79" s="120">
        <v>0</v>
      </c>
      <c r="I79" s="120">
        <v>0</v>
      </c>
      <c r="J79" s="120">
        <v>0</v>
      </c>
      <c r="K79" s="120">
        <v>0</v>
      </c>
      <c r="L79" s="120">
        <v>0</v>
      </c>
      <c r="M79" s="120">
        <v>0</v>
      </c>
      <c r="N79" s="120">
        <v>0</v>
      </c>
      <c r="O79" s="120">
        <v>0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120">
        <v>0</v>
      </c>
      <c r="AH79" s="120">
        <v>0</v>
      </c>
      <c r="AI79" s="120">
        <v>0</v>
      </c>
      <c r="AJ79" s="120">
        <v>0</v>
      </c>
      <c r="AK79" s="120">
        <v>0</v>
      </c>
      <c r="AL79" s="120">
        <v>0</v>
      </c>
      <c r="AM79" s="120">
        <v>0</v>
      </c>
      <c r="AN79" s="120">
        <v>0</v>
      </c>
      <c r="AO79" s="120">
        <v>0</v>
      </c>
      <c r="AP79" s="120">
        <v>0</v>
      </c>
      <c r="AQ79" s="120">
        <v>0</v>
      </c>
      <c r="AR79" s="120">
        <v>0</v>
      </c>
      <c r="AS79" s="120">
        <v>0</v>
      </c>
      <c r="AT79" s="120">
        <v>0</v>
      </c>
      <c r="AU79" s="120">
        <v>0</v>
      </c>
      <c r="AV79" s="120">
        <v>0</v>
      </c>
      <c r="AW79" s="120">
        <v>0</v>
      </c>
      <c r="AX79" s="120">
        <v>0</v>
      </c>
      <c r="AY79" s="120">
        <v>0</v>
      </c>
      <c r="AZ79" s="120">
        <v>0</v>
      </c>
      <c r="BA79" s="120">
        <v>0</v>
      </c>
      <c r="BB79" s="120">
        <v>0</v>
      </c>
      <c r="BC79" s="120">
        <v>0</v>
      </c>
      <c r="BD79" s="120">
        <v>0</v>
      </c>
      <c r="BE79" s="120">
        <v>0</v>
      </c>
      <c r="BF79" s="120">
        <v>0</v>
      </c>
      <c r="BG79" s="120">
        <v>0</v>
      </c>
      <c r="BH79" s="120">
        <v>0</v>
      </c>
      <c r="BI79" s="120">
        <v>0</v>
      </c>
      <c r="BJ79" s="120">
        <v>0</v>
      </c>
      <c r="BK79" s="120">
        <v>0</v>
      </c>
      <c r="BL79" s="120">
        <v>0</v>
      </c>
      <c r="BM79" s="120">
        <v>0</v>
      </c>
      <c r="BN79" s="120">
        <v>0</v>
      </c>
      <c r="BO79" s="120">
        <v>0</v>
      </c>
      <c r="BP79" s="120">
        <v>0</v>
      </c>
      <c r="BQ79" s="120">
        <v>0</v>
      </c>
      <c r="BR79" s="120">
        <v>0</v>
      </c>
      <c r="BS79" s="120">
        <v>0</v>
      </c>
      <c r="BT79" s="120">
        <v>0</v>
      </c>
      <c r="BU79" s="120">
        <v>0</v>
      </c>
      <c r="BV79" s="120">
        <v>0</v>
      </c>
      <c r="BW79" s="120">
        <v>0</v>
      </c>
      <c r="BX79" s="120">
        <v>0</v>
      </c>
      <c r="BY79" s="120">
        <v>0</v>
      </c>
      <c r="BZ79" s="120">
        <v>0</v>
      </c>
      <c r="CA79" s="120">
        <v>0</v>
      </c>
      <c r="CB79" s="120">
        <v>338819.5994008705</v>
      </c>
      <c r="CC79" s="120">
        <v>0</v>
      </c>
      <c r="CD79" s="120">
        <v>0</v>
      </c>
      <c r="CE79" s="120">
        <v>0</v>
      </c>
      <c r="CF79" s="120">
        <v>0</v>
      </c>
      <c r="CG79" s="120">
        <v>0</v>
      </c>
      <c r="CH79" s="120">
        <v>0</v>
      </c>
      <c r="CI79" s="120">
        <v>0</v>
      </c>
      <c r="CJ79" s="120">
        <v>0</v>
      </c>
      <c r="CK79" s="120">
        <v>0</v>
      </c>
      <c r="CL79" s="120">
        <v>0</v>
      </c>
      <c r="CM79" s="120">
        <v>0</v>
      </c>
      <c r="CN79" s="120">
        <v>0</v>
      </c>
      <c r="CO79" s="120">
        <v>0</v>
      </c>
      <c r="CP79" s="120">
        <v>0</v>
      </c>
      <c r="CQ79" s="120">
        <v>0</v>
      </c>
      <c r="CR79" s="120">
        <v>0</v>
      </c>
      <c r="CS79" s="120">
        <v>0</v>
      </c>
      <c r="CT79" s="120">
        <v>0</v>
      </c>
      <c r="CU79" s="120">
        <v>0</v>
      </c>
      <c r="CV79" s="120">
        <v>0</v>
      </c>
      <c r="CW79" s="120">
        <v>0</v>
      </c>
      <c r="CX79" s="120">
        <v>0</v>
      </c>
      <c r="CY79" s="120">
        <v>0</v>
      </c>
      <c r="CZ79" s="120">
        <v>0</v>
      </c>
      <c r="DA79" s="120">
        <v>0</v>
      </c>
      <c r="DB79" s="120">
        <v>0</v>
      </c>
      <c r="DC79" s="120">
        <v>0</v>
      </c>
      <c r="DD79" s="120">
        <v>0</v>
      </c>
      <c r="DE79" s="120">
        <v>0</v>
      </c>
      <c r="DF79" s="120">
        <v>0</v>
      </c>
      <c r="DG79" s="120">
        <v>4884.1651358652816</v>
      </c>
      <c r="DH79" s="120">
        <v>0</v>
      </c>
      <c r="DI79" s="120">
        <v>0</v>
      </c>
      <c r="DJ79" s="120">
        <v>0</v>
      </c>
      <c r="DK79" s="120">
        <v>0</v>
      </c>
      <c r="DL79" s="120">
        <v>0</v>
      </c>
      <c r="DM79" s="120">
        <v>0</v>
      </c>
      <c r="DN79" s="120">
        <v>0</v>
      </c>
      <c r="DO79" s="120">
        <v>0</v>
      </c>
      <c r="DP79" s="120">
        <v>0</v>
      </c>
      <c r="DQ79" s="120">
        <v>0</v>
      </c>
      <c r="DR79" s="120">
        <v>0</v>
      </c>
      <c r="DS79" s="120">
        <v>0</v>
      </c>
      <c r="DT79" s="120">
        <v>0</v>
      </c>
      <c r="DU79" s="120">
        <v>0</v>
      </c>
      <c r="DV79" s="120">
        <v>0</v>
      </c>
      <c r="DW79" s="120">
        <v>0</v>
      </c>
      <c r="DX79" s="120">
        <v>0</v>
      </c>
      <c r="DY79" s="120">
        <v>0</v>
      </c>
      <c r="DZ79" s="120">
        <v>0</v>
      </c>
      <c r="EA79" s="120">
        <v>0</v>
      </c>
      <c r="EB79" s="120">
        <v>0</v>
      </c>
      <c r="EC79" s="120">
        <v>0</v>
      </c>
      <c r="ED79" s="120">
        <f t="shared" si="1"/>
        <v>343703.76453673578</v>
      </c>
    </row>
    <row r="80" spans="1:134">
      <c r="A80" s="120">
        <v>79</v>
      </c>
      <c r="B80" s="120">
        <v>0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120">
        <v>0</v>
      </c>
      <c r="AH80" s="120">
        <v>0</v>
      </c>
      <c r="AI80" s="120">
        <v>0</v>
      </c>
      <c r="AJ80" s="120">
        <v>0</v>
      </c>
      <c r="AK80" s="120">
        <v>0</v>
      </c>
      <c r="AL80" s="120">
        <v>0</v>
      </c>
      <c r="AM80" s="120">
        <v>0</v>
      </c>
      <c r="AN80" s="120">
        <v>0</v>
      </c>
      <c r="AO80" s="120">
        <v>0</v>
      </c>
      <c r="AP80" s="120">
        <v>0</v>
      </c>
      <c r="AQ80" s="120">
        <v>0</v>
      </c>
      <c r="AR80" s="120">
        <v>0</v>
      </c>
      <c r="AS80" s="120">
        <v>0</v>
      </c>
      <c r="AT80" s="120">
        <v>0</v>
      </c>
      <c r="AU80" s="120">
        <v>0</v>
      </c>
      <c r="AV80" s="120">
        <v>0</v>
      </c>
      <c r="AW80" s="120">
        <v>0</v>
      </c>
      <c r="AX80" s="120">
        <v>0</v>
      </c>
      <c r="AY80" s="120">
        <v>0</v>
      </c>
      <c r="AZ80" s="120">
        <v>0</v>
      </c>
      <c r="BA80" s="120">
        <v>0</v>
      </c>
      <c r="BB80" s="120">
        <v>0</v>
      </c>
      <c r="BC80" s="120">
        <v>0</v>
      </c>
      <c r="BD80" s="120">
        <v>0</v>
      </c>
      <c r="BE80" s="120">
        <v>0</v>
      </c>
      <c r="BF80" s="120">
        <v>0</v>
      </c>
      <c r="BG80" s="120">
        <v>0</v>
      </c>
      <c r="BH80" s="120">
        <v>0</v>
      </c>
      <c r="BI80" s="120">
        <v>0</v>
      </c>
      <c r="BJ80" s="120">
        <v>0</v>
      </c>
      <c r="BK80" s="120">
        <v>0</v>
      </c>
      <c r="BL80" s="120">
        <v>0</v>
      </c>
      <c r="BM80" s="120">
        <v>0</v>
      </c>
      <c r="BN80" s="120">
        <v>0</v>
      </c>
      <c r="BO80" s="120">
        <v>0</v>
      </c>
      <c r="BP80" s="120">
        <v>0</v>
      </c>
      <c r="BQ80" s="120">
        <v>0</v>
      </c>
      <c r="BR80" s="120">
        <v>0</v>
      </c>
      <c r="BS80" s="120">
        <v>14289.298741138689</v>
      </c>
      <c r="BT80" s="120">
        <v>0</v>
      </c>
      <c r="BU80" s="120">
        <v>0</v>
      </c>
      <c r="BV80" s="120">
        <v>0</v>
      </c>
      <c r="BW80" s="120">
        <v>0</v>
      </c>
      <c r="BX80" s="120">
        <v>0</v>
      </c>
      <c r="BY80" s="120">
        <v>0</v>
      </c>
      <c r="BZ80" s="120">
        <v>0</v>
      </c>
      <c r="CA80" s="120">
        <v>0</v>
      </c>
      <c r="CB80" s="120">
        <v>1262252.7256118229</v>
      </c>
      <c r="CC80" s="120">
        <v>0</v>
      </c>
      <c r="CD80" s="120">
        <v>0</v>
      </c>
      <c r="CE80" s="120">
        <v>0</v>
      </c>
      <c r="CF80" s="120">
        <v>0</v>
      </c>
      <c r="CG80" s="120">
        <v>0</v>
      </c>
      <c r="CH80" s="120">
        <v>0</v>
      </c>
      <c r="CI80" s="120">
        <v>0</v>
      </c>
      <c r="CJ80" s="120">
        <v>0</v>
      </c>
      <c r="CK80" s="120">
        <v>0</v>
      </c>
      <c r="CL80" s="120">
        <v>0</v>
      </c>
      <c r="CM80" s="120">
        <v>0</v>
      </c>
      <c r="CN80" s="120">
        <v>0</v>
      </c>
      <c r="CO80" s="120">
        <v>0</v>
      </c>
      <c r="CP80" s="120">
        <v>0</v>
      </c>
      <c r="CQ80" s="120">
        <v>0</v>
      </c>
      <c r="CR80" s="120">
        <v>0</v>
      </c>
      <c r="CS80" s="120">
        <v>0</v>
      </c>
      <c r="CT80" s="120">
        <v>0</v>
      </c>
      <c r="CU80" s="120">
        <v>0</v>
      </c>
      <c r="CV80" s="120">
        <v>0</v>
      </c>
      <c r="CW80" s="120">
        <v>0</v>
      </c>
      <c r="CX80" s="120">
        <v>0</v>
      </c>
      <c r="CY80" s="120">
        <v>0</v>
      </c>
      <c r="CZ80" s="120">
        <v>0</v>
      </c>
      <c r="DA80" s="120">
        <v>0</v>
      </c>
      <c r="DB80" s="120">
        <v>0</v>
      </c>
      <c r="DC80" s="120">
        <v>0</v>
      </c>
      <c r="DD80" s="120">
        <v>0</v>
      </c>
      <c r="DE80" s="120">
        <v>0</v>
      </c>
      <c r="DF80" s="120">
        <v>0</v>
      </c>
      <c r="DG80" s="120">
        <v>53262.861027382263</v>
      </c>
      <c r="DH80" s="120">
        <v>0</v>
      </c>
      <c r="DI80" s="120">
        <v>20260.872398983891</v>
      </c>
      <c r="DJ80" s="120">
        <v>0</v>
      </c>
      <c r="DK80" s="120">
        <v>0</v>
      </c>
      <c r="DL80" s="120">
        <v>0</v>
      </c>
      <c r="DM80" s="120">
        <v>3092.9617927724689</v>
      </c>
      <c r="DN80" s="120">
        <v>0</v>
      </c>
      <c r="DO80" s="120">
        <v>0</v>
      </c>
      <c r="DP80" s="120">
        <v>0</v>
      </c>
      <c r="DQ80" s="120">
        <v>0</v>
      </c>
      <c r="DR80" s="120">
        <v>0</v>
      </c>
      <c r="DS80" s="120">
        <v>0</v>
      </c>
      <c r="DT80" s="120">
        <v>0</v>
      </c>
      <c r="DU80" s="120">
        <v>0</v>
      </c>
      <c r="DV80" s="120">
        <v>0</v>
      </c>
      <c r="DW80" s="120">
        <v>0</v>
      </c>
      <c r="DX80" s="120">
        <v>0</v>
      </c>
      <c r="DY80" s="120">
        <v>0</v>
      </c>
      <c r="DZ80" s="120">
        <v>0</v>
      </c>
      <c r="EA80" s="120">
        <v>0</v>
      </c>
      <c r="EB80" s="120">
        <v>0</v>
      </c>
      <c r="EC80" s="120">
        <v>0</v>
      </c>
      <c r="ED80" s="120">
        <f t="shared" si="1"/>
        <v>1353158.7195721003</v>
      </c>
    </row>
    <row r="81" spans="1:134">
      <c r="A81" s="120">
        <v>80</v>
      </c>
      <c r="B81" s="120">
        <v>0</v>
      </c>
      <c r="C81" s="120">
        <v>0</v>
      </c>
      <c r="D81" s="120">
        <v>0</v>
      </c>
      <c r="E81" s="120">
        <v>0</v>
      </c>
      <c r="F81" s="120">
        <v>0</v>
      </c>
      <c r="G81" s="120">
        <v>0</v>
      </c>
      <c r="H81" s="120">
        <v>0</v>
      </c>
      <c r="I81" s="120">
        <v>0</v>
      </c>
      <c r="J81" s="120">
        <v>0</v>
      </c>
      <c r="K81" s="120">
        <v>0</v>
      </c>
      <c r="L81" s="120">
        <v>0</v>
      </c>
      <c r="M81" s="120">
        <v>0</v>
      </c>
      <c r="N81" s="120">
        <v>0</v>
      </c>
      <c r="O81" s="120">
        <v>0</v>
      </c>
      <c r="P81" s="120">
        <v>0</v>
      </c>
      <c r="Q81" s="120">
        <v>0</v>
      </c>
      <c r="R81" s="120">
        <v>0</v>
      </c>
      <c r="S81" s="120">
        <v>0</v>
      </c>
      <c r="T81" s="120">
        <v>0</v>
      </c>
      <c r="U81" s="120">
        <v>0</v>
      </c>
      <c r="V81" s="120">
        <v>0</v>
      </c>
      <c r="W81" s="120">
        <v>0</v>
      </c>
      <c r="X81" s="120">
        <v>0</v>
      </c>
      <c r="Y81" s="120">
        <v>0</v>
      </c>
      <c r="Z81" s="120">
        <v>0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120">
        <v>0</v>
      </c>
      <c r="AG81" s="120">
        <v>0</v>
      </c>
      <c r="AH81" s="120">
        <v>0</v>
      </c>
      <c r="AI81" s="120">
        <v>0</v>
      </c>
      <c r="AJ81" s="120">
        <v>0</v>
      </c>
      <c r="AK81" s="120">
        <v>0</v>
      </c>
      <c r="AL81" s="120">
        <v>0</v>
      </c>
      <c r="AM81" s="120">
        <v>0</v>
      </c>
      <c r="AN81" s="120">
        <v>0</v>
      </c>
      <c r="AO81" s="120">
        <v>0</v>
      </c>
      <c r="AP81" s="120">
        <v>0</v>
      </c>
      <c r="AQ81" s="120">
        <v>0</v>
      </c>
      <c r="AR81" s="120">
        <v>0</v>
      </c>
      <c r="AS81" s="120">
        <v>0</v>
      </c>
      <c r="AT81" s="120">
        <v>0</v>
      </c>
      <c r="AU81" s="120">
        <v>0</v>
      </c>
      <c r="AV81" s="120">
        <v>0</v>
      </c>
      <c r="AW81" s="120">
        <v>0</v>
      </c>
      <c r="AX81" s="120">
        <v>190123</v>
      </c>
      <c r="AY81" s="120">
        <v>0</v>
      </c>
      <c r="AZ81" s="120">
        <v>429.81810843185252</v>
      </c>
      <c r="BA81" s="120">
        <v>0</v>
      </c>
      <c r="BB81" s="120">
        <v>0</v>
      </c>
      <c r="BC81" s="120">
        <v>0</v>
      </c>
      <c r="BD81" s="120">
        <v>1530.1624925893191</v>
      </c>
      <c r="BE81" s="120">
        <v>0</v>
      </c>
      <c r="BF81" s="120">
        <v>0</v>
      </c>
      <c r="BG81" s="120">
        <v>0</v>
      </c>
      <c r="BH81" s="120">
        <v>0</v>
      </c>
      <c r="BI81" s="120">
        <v>0</v>
      </c>
      <c r="BJ81" s="120">
        <v>0</v>
      </c>
      <c r="BK81" s="120">
        <v>0</v>
      </c>
      <c r="BL81" s="120">
        <v>0</v>
      </c>
      <c r="BM81" s="120">
        <v>0</v>
      </c>
      <c r="BN81" s="120">
        <v>0</v>
      </c>
      <c r="BO81" s="120">
        <v>0</v>
      </c>
      <c r="BP81" s="120">
        <v>0</v>
      </c>
      <c r="BQ81" s="120">
        <v>0</v>
      </c>
      <c r="BR81" s="120">
        <v>0</v>
      </c>
      <c r="BS81" s="120">
        <v>105.6310837015609</v>
      </c>
      <c r="BT81" s="120">
        <v>0</v>
      </c>
      <c r="BU81" s="120">
        <v>0</v>
      </c>
      <c r="BV81" s="120">
        <v>26.090325166689482</v>
      </c>
      <c r="BW81" s="120">
        <v>68074.67677406795</v>
      </c>
      <c r="BX81" s="120">
        <v>0</v>
      </c>
      <c r="BY81" s="120">
        <v>0</v>
      </c>
      <c r="BZ81" s="120">
        <v>3058.982444176369</v>
      </c>
      <c r="CA81" s="120">
        <v>0</v>
      </c>
      <c r="CB81" s="120">
        <v>0</v>
      </c>
      <c r="CC81" s="120">
        <v>0</v>
      </c>
      <c r="CD81" s="120">
        <v>0</v>
      </c>
      <c r="CE81" s="120">
        <v>0</v>
      </c>
      <c r="CF81" s="120">
        <v>0</v>
      </c>
      <c r="CG81" s="120">
        <v>0</v>
      </c>
      <c r="CH81" s="120">
        <v>0</v>
      </c>
      <c r="CI81" s="120">
        <v>0</v>
      </c>
      <c r="CJ81" s="120">
        <v>0</v>
      </c>
      <c r="CK81" s="120">
        <v>0</v>
      </c>
      <c r="CL81" s="120">
        <v>0</v>
      </c>
      <c r="CM81" s="120">
        <v>0</v>
      </c>
      <c r="CN81" s="120">
        <v>0</v>
      </c>
      <c r="CO81" s="120">
        <v>0</v>
      </c>
      <c r="CP81" s="120">
        <v>0</v>
      </c>
      <c r="CQ81" s="120">
        <v>0</v>
      </c>
      <c r="CR81" s="120">
        <v>0</v>
      </c>
      <c r="CS81" s="120">
        <v>0</v>
      </c>
      <c r="CT81" s="120">
        <v>0</v>
      </c>
      <c r="CU81" s="120">
        <v>0</v>
      </c>
      <c r="CV81" s="120">
        <v>0</v>
      </c>
      <c r="CW81" s="120">
        <v>0</v>
      </c>
      <c r="CX81" s="120">
        <v>0</v>
      </c>
      <c r="CY81" s="120">
        <v>0</v>
      </c>
      <c r="CZ81" s="120">
        <v>0</v>
      </c>
      <c r="DA81" s="120">
        <v>0</v>
      </c>
      <c r="DB81" s="120">
        <v>0</v>
      </c>
      <c r="DC81" s="120">
        <v>0</v>
      </c>
      <c r="DD81" s="120">
        <v>0</v>
      </c>
      <c r="DE81" s="120">
        <v>1705.69049601491</v>
      </c>
      <c r="DF81" s="120">
        <v>0</v>
      </c>
      <c r="DG81" s="120">
        <v>0</v>
      </c>
      <c r="DH81" s="120">
        <v>0</v>
      </c>
      <c r="DI81" s="120">
        <v>212.05992256932461</v>
      </c>
      <c r="DJ81" s="120">
        <v>0</v>
      </c>
      <c r="DK81" s="120">
        <v>0</v>
      </c>
      <c r="DL81" s="120">
        <v>0</v>
      </c>
      <c r="DM81" s="120">
        <v>9.1023689649591297</v>
      </c>
      <c r="DN81" s="120">
        <v>0</v>
      </c>
      <c r="DO81" s="120">
        <v>77.459403982204563</v>
      </c>
      <c r="DP81" s="120">
        <v>41346.931888230509</v>
      </c>
      <c r="DQ81" s="120">
        <v>2124.3014350609278</v>
      </c>
      <c r="DR81" s="120">
        <v>-47740.464895631048</v>
      </c>
      <c r="DS81" s="120">
        <v>1308.405616136962</v>
      </c>
      <c r="DT81" s="120">
        <v>0</v>
      </c>
      <c r="DU81" s="120">
        <v>0</v>
      </c>
      <c r="DV81" s="120">
        <v>0</v>
      </c>
      <c r="DW81" s="120">
        <v>128.95579497882261</v>
      </c>
      <c r="DX81" s="120">
        <v>0</v>
      </c>
      <c r="DY81" s="120">
        <v>0</v>
      </c>
      <c r="DZ81" s="120">
        <v>35.209303492075733</v>
      </c>
      <c r="EA81" s="120">
        <v>0</v>
      </c>
      <c r="EB81" s="120">
        <v>0</v>
      </c>
      <c r="EC81" s="120">
        <v>107.9515466704987</v>
      </c>
      <c r="ED81" s="120">
        <f t="shared" si="1"/>
        <v>262663.96410860383</v>
      </c>
    </row>
    <row r="82" spans="1:134">
      <c r="A82" s="120">
        <v>81</v>
      </c>
      <c r="B82" s="120">
        <v>0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120">
        <v>0</v>
      </c>
      <c r="J82" s="120">
        <v>0</v>
      </c>
      <c r="K82" s="120">
        <v>0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120">
        <v>0</v>
      </c>
      <c r="AH82" s="120">
        <v>0</v>
      </c>
      <c r="AI82" s="120">
        <v>0</v>
      </c>
      <c r="AJ82" s="120">
        <v>0</v>
      </c>
      <c r="AK82" s="120">
        <v>0</v>
      </c>
      <c r="AL82" s="120">
        <v>0</v>
      </c>
      <c r="AM82" s="120">
        <v>0</v>
      </c>
      <c r="AN82" s="120">
        <v>0</v>
      </c>
      <c r="AO82" s="120">
        <v>0</v>
      </c>
      <c r="AP82" s="120">
        <v>0</v>
      </c>
      <c r="AQ82" s="120">
        <v>0</v>
      </c>
      <c r="AR82" s="120">
        <v>0</v>
      </c>
      <c r="AS82" s="120">
        <v>0</v>
      </c>
      <c r="AT82" s="120">
        <v>0</v>
      </c>
      <c r="AU82" s="120">
        <v>0</v>
      </c>
      <c r="AV82" s="120">
        <v>0</v>
      </c>
      <c r="AW82" s="120">
        <v>1359</v>
      </c>
      <c r="AX82" s="120">
        <v>0</v>
      </c>
      <c r="AY82" s="120">
        <v>0</v>
      </c>
      <c r="AZ82" s="120">
        <v>0</v>
      </c>
      <c r="BA82" s="120">
        <v>0</v>
      </c>
      <c r="BB82" s="120">
        <v>0</v>
      </c>
      <c r="BC82" s="120">
        <v>0</v>
      </c>
      <c r="BD82" s="120">
        <v>89.619061388094593</v>
      </c>
      <c r="BE82" s="120">
        <v>0</v>
      </c>
      <c r="BF82" s="120">
        <v>0</v>
      </c>
      <c r="BG82" s="120">
        <v>0</v>
      </c>
      <c r="BH82" s="120">
        <v>0</v>
      </c>
      <c r="BI82" s="120">
        <v>0</v>
      </c>
      <c r="BJ82" s="120">
        <v>0</v>
      </c>
      <c r="BK82" s="120">
        <v>0</v>
      </c>
      <c r="BL82" s="120">
        <v>0</v>
      </c>
      <c r="BM82" s="120">
        <v>0</v>
      </c>
      <c r="BN82" s="120">
        <v>0</v>
      </c>
      <c r="BO82" s="120">
        <v>0</v>
      </c>
      <c r="BP82" s="120">
        <v>0</v>
      </c>
      <c r="BQ82" s="120">
        <v>0</v>
      </c>
      <c r="BR82" s="120">
        <v>0</v>
      </c>
      <c r="BS82" s="120">
        <v>0</v>
      </c>
      <c r="BT82" s="120">
        <v>0</v>
      </c>
      <c r="BU82" s="120">
        <v>0</v>
      </c>
      <c r="BV82" s="120">
        <v>0</v>
      </c>
      <c r="BW82" s="120">
        <v>0</v>
      </c>
      <c r="BX82" s="120">
        <v>0</v>
      </c>
      <c r="BY82" s="120">
        <v>0</v>
      </c>
      <c r="BZ82" s="120">
        <v>8411.6888136305242</v>
      </c>
      <c r="CA82" s="120">
        <v>0</v>
      </c>
      <c r="CB82" s="120">
        <v>0</v>
      </c>
      <c r="CC82" s="120">
        <v>0</v>
      </c>
      <c r="CD82" s="120">
        <v>0</v>
      </c>
      <c r="CE82" s="120">
        <v>0</v>
      </c>
      <c r="CF82" s="120">
        <v>0</v>
      </c>
      <c r="CG82" s="120">
        <v>0</v>
      </c>
      <c r="CH82" s="120">
        <v>0</v>
      </c>
      <c r="CI82" s="120">
        <v>0</v>
      </c>
      <c r="CJ82" s="120">
        <v>0</v>
      </c>
      <c r="CK82" s="120">
        <v>0</v>
      </c>
      <c r="CL82" s="120">
        <v>0</v>
      </c>
      <c r="CM82" s="120">
        <v>0</v>
      </c>
      <c r="CN82" s="120">
        <v>0</v>
      </c>
      <c r="CO82" s="120">
        <v>0</v>
      </c>
      <c r="CP82" s="120">
        <v>0</v>
      </c>
      <c r="CQ82" s="120">
        <v>0</v>
      </c>
      <c r="CR82" s="120">
        <v>0</v>
      </c>
      <c r="CS82" s="120">
        <v>0</v>
      </c>
      <c r="CT82" s="120">
        <v>0</v>
      </c>
      <c r="CU82" s="120">
        <v>0</v>
      </c>
      <c r="CV82" s="120">
        <v>0</v>
      </c>
      <c r="CW82" s="120">
        <v>0</v>
      </c>
      <c r="CX82" s="120">
        <v>0</v>
      </c>
      <c r="CY82" s="120">
        <v>0</v>
      </c>
      <c r="CZ82" s="120">
        <v>0</v>
      </c>
      <c r="DA82" s="120">
        <v>0</v>
      </c>
      <c r="DB82" s="120">
        <v>0</v>
      </c>
      <c r="DC82" s="120">
        <v>0</v>
      </c>
      <c r="DD82" s="120">
        <v>0</v>
      </c>
      <c r="DE82" s="120">
        <v>3086.4361570295118</v>
      </c>
      <c r="DF82" s="120">
        <v>0</v>
      </c>
      <c r="DG82" s="120">
        <v>0</v>
      </c>
      <c r="DH82" s="120">
        <v>0</v>
      </c>
      <c r="DI82" s="120">
        <v>0</v>
      </c>
      <c r="DJ82" s="120">
        <v>0</v>
      </c>
      <c r="DK82" s="120">
        <v>0</v>
      </c>
      <c r="DL82" s="120">
        <v>0</v>
      </c>
      <c r="DM82" s="120">
        <v>29.257614530225769</v>
      </c>
      <c r="DN82" s="120">
        <v>0</v>
      </c>
      <c r="DO82" s="120">
        <v>219.60140304233249</v>
      </c>
      <c r="DP82" s="120">
        <v>1410.1072082271021</v>
      </c>
      <c r="DQ82" s="120">
        <v>14593.159571801079</v>
      </c>
      <c r="DR82" s="120">
        <v>0</v>
      </c>
      <c r="DS82" s="120">
        <v>680.17850780061212</v>
      </c>
      <c r="DT82" s="120">
        <v>0</v>
      </c>
      <c r="DU82" s="120">
        <v>0</v>
      </c>
      <c r="DV82" s="120">
        <v>0</v>
      </c>
      <c r="DW82" s="120">
        <v>569.5547611564665</v>
      </c>
      <c r="DX82" s="120">
        <v>0</v>
      </c>
      <c r="DY82" s="120">
        <v>0</v>
      </c>
      <c r="DZ82" s="120">
        <v>565.54943734146639</v>
      </c>
      <c r="EA82" s="120">
        <v>0</v>
      </c>
      <c r="EB82" s="120">
        <v>0</v>
      </c>
      <c r="EC82" s="120">
        <v>1280.328558898495</v>
      </c>
      <c r="ED82" s="120">
        <f t="shared" si="1"/>
        <v>32294.481094845909</v>
      </c>
    </row>
    <row r="83" spans="1:134">
      <c r="A83" s="120">
        <v>82</v>
      </c>
      <c r="B83" s="120">
        <v>0</v>
      </c>
      <c r="C83" s="120">
        <v>0</v>
      </c>
      <c r="D83" s="120">
        <v>0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120">
        <v>0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120">
        <v>0</v>
      </c>
      <c r="Q83" s="120">
        <v>0</v>
      </c>
      <c r="R83" s="120">
        <v>0</v>
      </c>
      <c r="S83" s="120">
        <v>0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120">
        <v>0</v>
      </c>
      <c r="AH83" s="120">
        <v>0</v>
      </c>
      <c r="AI83" s="120">
        <v>0</v>
      </c>
      <c r="AJ83" s="120">
        <v>0</v>
      </c>
      <c r="AK83" s="120">
        <v>0</v>
      </c>
      <c r="AL83" s="120">
        <v>0</v>
      </c>
      <c r="AM83" s="120">
        <v>0</v>
      </c>
      <c r="AN83" s="120">
        <v>0</v>
      </c>
      <c r="AO83" s="120">
        <v>0</v>
      </c>
      <c r="AP83" s="120">
        <v>0</v>
      </c>
      <c r="AQ83" s="120">
        <v>0</v>
      </c>
      <c r="AR83" s="120">
        <v>0</v>
      </c>
      <c r="AS83" s="120">
        <v>0</v>
      </c>
      <c r="AT83" s="120">
        <v>0</v>
      </c>
      <c r="AU83" s="120">
        <v>0</v>
      </c>
      <c r="AV83" s="120">
        <v>0</v>
      </c>
      <c r="AW83" s="120">
        <v>0</v>
      </c>
      <c r="AX83" s="120">
        <v>0</v>
      </c>
      <c r="AY83" s="120">
        <v>1874.529664660361</v>
      </c>
      <c r="AZ83" s="120">
        <v>0</v>
      </c>
      <c r="BA83" s="120">
        <v>0</v>
      </c>
      <c r="BB83" s="120">
        <v>0</v>
      </c>
      <c r="BC83" s="120">
        <v>0</v>
      </c>
      <c r="BD83" s="120">
        <v>0</v>
      </c>
      <c r="BE83" s="120">
        <v>0</v>
      </c>
      <c r="BF83" s="120">
        <v>0</v>
      </c>
      <c r="BG83" s="120">
        <v>0</v>
      </c>
      <c r="BH83" s="120">
        <v>0</v>
      </c>
      <c r="BI83" s="120">
        <v>0</v>
      </c>
      <c r="BJ83" s="120">
        <v>0</v>
      </c>
      <c r="BK83" s="120">
        <v>0</v>
      </c>
      <c r="BL83" s="120">
        <v>0</v>
      </c>
      <c r="BM83" s="120">
        <v>0</v>
      </c>
      <c r="BN83" s="120">
        <v>0</v>
      </c>
      <c r="BO83" s="120">
        <v>0</v>
      </c>
      <c r="BP83" s="120">
        <v>0</v>
      </c>
      <c r="BQ83" s="120">
        <v>0</v>
      </c>
      <c r="BR83" s="120">
        <v>0</v>
      </c>
      <c r="BS83" s="120">
        <v>0</v>
      </c>
      <c r="BT83" s="120">
        <v>0</v>
      </c>
      <c r="BU83" s="120">
        <v>0</v>
      </c>
      <c r="BV83" s="120">
        <v>2.087226013335159</v>
      </c>
      <c r="BW83" s="120">
        <v>11686.323225932059</v>
      </c>
      <c r="BX83" s="120">
        <v>0</v>
      </c>
      <c r="BY83" s="120">
        <v>0</v>
      </c>
      <c r="BZ83" s="120">
        <v>1955.204741314607</v>
      </c>
      <c r="CA83" s="120">
        <v>0</v>
      </c>
      <c r="CB83" s="120">
        <v>0</v>
      </c>
      <c r="CC83" s="120">
        <v>0</v>
      </c>
      <c r="CD83" s="120">
        <v>0</v>
      </c>
      <c r="CE83" s="120">
        <v>0</v>
      </c>
      <c r="CF83" s="120">
        <v>0</v>
      </c>
      <c r="CG83" s="120">
        <v>0</v>
      </c>
      <c r="CH83" s="120">
        <v>0</v>
      </c>
      <c r="CI83" s="120">
        <v>0</v>
      </c>
      <c r="CJ83" s="120">
        <v>0</v>
      </c>
      <c r="CK83" s="120">
        <v>0</v>
      </c>
      <c r="CL83" s="120">
        <v>0</v>
      </c>
      <c r="CM83" s="120">
        <v>0</v>
      </c>
      <c r="CN83" s="120">
        <v>0</v>
      </c>
      <c r="CO83" s="120">
        <v>0</v>
      </c>
      <c r="CP83" s="120">
        <v>0</v>
      </c>
      <c r="CQ83" s="120">
        <v>0</v>
      </c>
      <c r="CR83" s="120">
        <v>0</v>
      </c>
      <c r="CS83" s="120">
        <v>0</v>
      </c>
      <c r="CT83" s="120">
        <v>0</v>
      </c>
      <c r="CU83" s="120">
        <v>0</v>
      </c>
      <c r="CV83" s="120">
        <v>0</v>
      </c>
      <c r="CW83" s="120">
        <v>0</v>
      </c>
      <c r="CX83" s="120">
        <v>0</v>
      </c>
      <c r="CY83" s="120">
        <v>0</v>
      </c>
      <c r="CZ83" s="120">
        <v>0</v>
      </c>
      <c r="DA83" s="120">
        <v>0</v>
      </c>
      <c r="DB83" s="120">
        <v>0</v>
      </c>
      <c r="DC83" s="120">
        <v>0</v>
      </c>
      <c r="DD83" s="120">
        <v>0</v>
      </c>
      <c r="DE83" s="120">
        <v>7.5568566279141596</v>
      </c>
      <c r="DF83" s="120">
        <v>0</v>
      </c>
      <c r="DG83" s="120">
        <v>0</v>
      </c>
      <c r="DH83" s="120">
        <v>0</v>
      </c>
      <c r="DI83" s="120">
        <v>0</v>
      </c>
      <c r="DJ83" s="120">
        <v>0</v>
      </c>
      <c r="DK83" s="120">
        <v>0</v>
      </c>
      <c r="DL83" s="120">
        <v>0</v>
      </c>
      <c r="DM83" s="120">
        <v>0</v>
      </c>
      <c r="DN83" s="120">
        <v>0</v>
      </c>
      <c r="DO83" s="120">
        <v>-1.1978258347763591</v>
      </c>
      <c r="DP83" s="120">
        <v>4900.8740358154519</v>
      </c>
      <c r="DQ83" s="120">
        <v>2464.1490858467018</v>
      </c>
      <c r="DR83" s="120">
        <v>0</v>
      </c>
      <c r="DS83" s="120">
        <v>16488.79695218485</v>
      </c>
      <c r="DT83" s="120">
        <v>0</v>
      </c>
      <c r="DU83" s="120">
        <v>0</v>
      </c>
      <c r="DV83" s="120">
        <v>0</v>
      </c>
      <c r="DW83" s="120">
        <v>1.0746316248235219</v>
      </c>
      <c r="DX83" s="120">
        <v>0</v>
      </c>
      <c r="DY83" s="120">
        <v>0</v>
      </c>
      <c r="DZ83" s="120">
        <v>0</v>
      </c>
      <c r="EA83" s="120">
        <v>0</v>
      </c>
      <c r="EB83" s="120">
        <v>0</v>
      </c>
      <c r="EC83" s="120">
        <v>1.1607693190376209</v>
      </c>
      <c r="ED83" s="120">
        <f t="shared" si="1"/>
        <v>39380.55936350437</v>
      </c>
    </row>
    <row r="84" spans="1:134">
      <c r="A84" s="120">
        <v>83</v>
      </c>
      <c r="B84" s="120">
        <v>0</v>
      </c>
      <c r="C84" s="120">
        <v>0</v>
      </c>
      <c r="D84" s="120">
        <v>0</v>
      </c>
      <c r="E84" s="120">
        <v>0</v>
      </c>
      <c r="F84" s="120">
        <v>0</v>
      </c>
      <c r="G84" s="120">
        <v>0</v>
      </c>
      <c r="H84" s="120">
        <v>0</v>
      </c>
      <c r="I84" s="120">
        <v>0</v>
      </c>
      <c r="J84" s="120">
        <v>0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120">
        <v>0</v>
      </c>
      <c r="Q84" s="120">
        <v>0</v>
      </c>
      <c r="R84" s="120">
        <v>0</v>
      </c>
      <c r="S84" s="120">
        <v>0</v>
      </c>
      <c r="T84" s="120">
        <v>0</v>
      </c>
      <c r="U84" s="120">
        <v>0</v>
      </c>
      <c r="V84" s="120">
        <v>0</v>
      </c>
      <c r="W84" s="120">
        <v>0</v>
      </c>
      <c r="X84" s="120">
        <v>0</v>
      </c>
      <c r="Y84" s="120">
        <v>0</v>
      </c>
      <c r="Z84" s="120">
        <v>0</v>
      </c>
      <c r="AA84" s="120">
        <v>0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120">
        <v>0</v>
      </c>
      <c r="AH84" s="120">
        <v>0</v>
      </c>
      <c r="AI84" s="120">
        <v>0</v>
      </c>
      <c r="AJ84" s="120">
        <v>0</v>
      </c>
      <c r="AK84" s="120">
        <v>0</v>
      </c>
      <c r="AL84" s="120">
        <v>0</v>
      </c>
      <c r="AM84" s="120">
        <v>0</v>
      </c>
      <c r="AN84" s="120">
        <v>0</v>
      </c>
      <c r="AO84" s="120">
        <v>0</v>
      </c>
      <c r="AP84" s="120">
        <v>0</v>
      </c>
      <c r="AQ84" s="120">
        <v>0</v>
      </c>
      <c r="AR84" s="120">
        <v>0</v>
      </c>
      <c r="AS84" s="120">
        <v>0</v>
      </c>
      <c r="AT84" s="120">
        <v>0</v>
      </c>
      <c r="AU84" s="120">
        <v>0</v>
      </c>
      <c r="AV84" s="120">
        <v>0</v>
      </c>
      <c r="AW84" s="120">
        <v>0</v>
      </c>
      <c r="AX84" s="120">
        <v>0</v>
      </c>
      <c r="AY84" s="120">
        <v>0</v>
      </c>
      <c r="AZ84" s="120">
        <v>0</v>
      </c>
      <c r="BA84" s="120">
        <v>0</v>
      </c>
      <c r="BB84" s="120">
        <v>0</v>
      </c>
      <c r="BC84" s="120">
        <v>0</v>
      </c>
      <c r="BD84" s="120">
        <v>0</v>
      </c>
      <c r="BE84" s="120">
        <v>0</v>
      </c>
      <c r="BF84" s="120">
        <v>0</v>
      </c>
      <c r="BG84" s="120">
        <v>0</v>
      </c>
      <c r="BH84" s="120">
        <v>0</v>
      </c>
      <c r="BI84" s="120">
        <v>0</v>
      </c>
      <c r="BJ84" s="120">
        <v>0</v>
      </c>
      <c r="BK84" s="120">
        <v>0</v>
      </c>
      <c r="BL84" s="120">
        <v>0</v>
      </c>
      <c r="BM84" s="120">
        <v>0</v>
      </c>
      <c r="BN84" s="120">
        <v>0</v>
      </c>
      <c r="BO84" s="120">
        <v>0</v>
      </c>
      <c r="BP84" s="120">
        <v>0</v>
      </c>
      <c r="BQ84" s="120">
        <v>0</v>
      </c>
      <c r="BR84" s="120">
        <v>0</v>
      </c>
      <c r="BS84" s="120">
        <v>0</v>
      </c>
      <c r="BT84" s="120">
        <v>0</v>
      </c>
      <c r="BU84" s="120">
        <v>0</v>
      </c>
      <c r="BV84" s="120">
        <v>16461.95156717439</v>
      </c>
      <c r="BW84" s="120">
        <v>0</v>
      </c>
      <c r="BX84" s="120">
        <v>0</v>
      </c>
      <c r="BY84" s="120">
        <v>0</v>
      </c>
      <c r="BZ84" s="120">
        <v>125970.169062662</v>
      </c>
      <c r="CA84" s="120">
        <v>0</v>
      </c>
      <c r="CB84" s="120">
        <v>0</v>
      </c>
      <c r="CC84" s="120">
        <v>0</v>
      </c>
      <c r="CD84" s="120">
        <v>0</v>
      </c>
      <c r="CE84" s="120">
        <v>0</v>
      </c>
      <c r="CF84" s="120">
        <v>0</v>
      </c>
      <c r="CG84" s="120">
        <v>0</v>
      </c>
      <c r="CH84" s="120">
        <v>0</v>
      </c>
      <c r="CI84" s="120">
        <v>0</v>
      </c>
      <c r="CJ84" s="120">
        <v>0</v>
      </c>
      <c r="CK84" s="120">
        <v>0</v>
      </c>
      <c r="CL84" s="120">
        <v>0</v>
      </c>
      <c r="CM84" s="120">
        <v>0</v>
      </c>
      <c r="CN84" s="120">
        <v>0</v>
      </c>
      <c r="CO84" s="120">
        <v>0</v>
      </c>
      <c r="CP84" s="120">
        <v>0</v>
      </c>
      <c r="CQ84" s="120">
        <v>0</v>
      </c>
      <c r="CR84" s="120">
        <v>0</v>
      </c>
      <c r="CS84" s="120">
        <v>0</v>
      </c>
      <c r="CT84" s="120">
        <v>0</v>
      </c>
      <c r="CU84" s="120">
        <v>0</v>
      </c>
      <c r="CV84" s="120">
        <v>0</v>
      </c>
      <c r="CW84" s="120">
        <v>0</v>
      </c>
      <c r="CX84" s="120">
        <v>0</v>
      </c>
      <c r="CY84" s="120">
        <v>0</v>
      </c>
      <c r="CZ84" s="120">
        <v>0</v>
      </c>
      <c r="DA84" s="120">
        <v>0</v>
      </c>
      <c r="DB84" s="120">
        <v>0</v>
      </c>
      <c r="DC84" s="120">
        <v>0</v>
      </c>
      <c r="DD84" s="120">
        <v>0</v>
      </c>
      <c r="DE84" s="120">
        <v>32463.176522572379</v>
      </c>
      <c r="DF84" s="120">
        <v>0</v>
      </c>
      <c r="DG84" s="120">
        <v>0</v>
      </c>
      <c r="DH84" s="120">
        <v>0</v>
      </c>
      <c r="DI84" s="120">
        <v>1940.8326923476759</v>
      </c>
      <c r="DJ84" s="120">
        <v>0</v>
      </c>
      <c r="DK84" s="120">
        <v>0</v>
      </c>
      <c r="DL84" s="120">
        <v>0</v>
      </c>
      <c r="DM84" s="120">
        <v>886.18063565994953</v>
      </c>
      <c r="DN84" s="120">
        <v>0</v>
      </c>
      <c r="DO84" s="120">
        <v>1658.589505886998</v>
      </c>
      <c r="DP84" s="120">
        <v>1882.8481859492811</v>
      </c>
      <c r="DQ84" s="120">
        <v>53236.373642641993</v>
      </c>
      <c r="DR84" s="120">
        <v>0</v>
      </c>
      <c r="DS84" s="120">
        <v>7805.2167380288074</v>
      </c>
      <c r="DT84" s="120">
        <v>0</v>
      </c>
      <c r="DU84" s="120">
        <v>0</v>
      </c>
      <c r="DV84" s="120">
        <v>0</v>
      </c>
      <c r="DW84" s="120">
        <v>1150.9304701859919</v>
      </c>
      <c r="DX84" s="120">
        <v>0</v>
      </c>
      <c r="DY84" s="120">
        <v>0</v>
      </c>
      <c r="DZ84" s="120">
        <v>357.59448859139411</v>
      </c>
      <c r="EA84" s="120">
        <v>0</v>
      </c>
      <c r="EB84" s="120">
        <v>0</v>
      </c>
      <c r="EC84" s="120">
        <v>1347.653179402678</v>
      </c>
      <c r="ED84" s="120">
        <f t="shared" si="1"/>
        <v>245161.51669110355</v>
      </c>
    </row>
    <row r="85" spans="1:134">
      <c r="A85" s="120">
        <v>84</v>
      </c>
      <c r="B85" s="120">
        <v>0</v>
      </c>
      <c r="C85" s="120">
        <v>0</v>
      </c>
      <c r="D85" s="120">
        <v>0</v>
      </c>
      <c r="E85" s="120">
        <v>0</v>
      </c>
      <c r="F85" s="120">
        <v>0</v>
      </c>
      <c r="G85" s="120">
        <v>0</v>
      </c>
      <c r="H85" s="120">
        <v>0</v>
      </c>
      <c r="I85" s="120">
        <v>0</v>
      </c>
      <c r="J85" s="120">
        <v>0</v>
      </c>
      <c r="K85" s="120">
        <v>0</v>
      </c>
      <c r="L85" s="120">
        <v>0</v>
      </c>
      <c r="M85" s="120">
        <v>0</v>
      </c>
      <c r="N85" s="120">
        <v>0</v>
      </c>
      <c r="O85" s="120">
        <v>0</v>
      </c>
      <c r="P85" s="120">
        <v>0</v>
      </c>
      <c r="Q85" s="120">
        <v>0</v>
      </c>
      <c r="R85" s="120">
        <v>0</v>
      </c>
      <c r="S85" s="120">
        <v>0</v>
      </c>
      <c r="T85" s="120">
        <v>0</v>
      </c>
      <c r="U85" s="120">
        <v>0</v>
      </c>
      <c r="V85" s="120">
        <v>0</v>
      </c>
      <c r="W85" s="120">
        <v>0</v>
      </c>
      <c r="X85" s="120">
        <v>0</v>
      </c>
      <c r="Y85" s="120">
        <v>0</v>
      </c>
      <c r="Z85" s="120">
        <v>0</v>
      </c>
      <c r="AA85" s="120">
        <v>0</v>
      </c>
      <c r="AB85" s="120">
        <v>0</v>
      </c>
      <c r="AC85" s="120">
        <v>0</v>
      </c>
      <c r="AD85" s="120">
        <v>0</v>
      </c>
      <c r="AE85" s="120">
        <v>0</v>
      </c>
      <c r="AF85" s="120">
        <v>0</v>
      </c>
      <c r="AG85" s="120">
        <v>0</v>
      </c>
      <c r="AH85" s="120">
        <v>0</v>
      </c>
      <c r="AI85" s="120">
        <v>0</v>
      </c>
      <c r="AJ85" s="120">
        <v>0</v>
      </c>
      <c r="AK85" s="120">
        <v>0</v>
      </c>
      <c r="AL85" s="120">
        <v>0</v>
      </c>
      <c r="AM85" s="120">
        <v>0</v>
      </c>
      <c r="AN85" s="120">
        <v>0</v>
      </c>
      <c r="AO85" s="120">
        <v>0</v>
      </c>
      <c r="AP85" s="120">
        <v>0</v>
      </c>
      <c r="AQ85" s="120">
        <v>0</v>
      </c>
      <c r="AR85" s="120">
        <v>0</v>
      </c>
      <c r="AS85" s="120">
        <v>0</v>
      </c>
      <c r="AT85" s="120">
        <v>0</v>
      </c>
      <c r="AU85" s="120">
        <v>0</v>
      </c>
      <c r="AV85" s="120">
        <v>0</v>
      </c>
      <c r="AW85" s="120">
        <v>56209.853515975192</v>
      </c>
      <c r="AX85" s="120">
        <v>0</v>
      </c>
      <c r="AY85" s="120">
        <v>0</v>
      </c>
      <c r="AZ85" s="120">
        <v>0</v>
      </c>
      <c r="BA85" s="120">
        <v>0</v>
      </c>
      <c r="BB85" s="120">
        <v>0</v>
      </c>
      <c r="BC85" s="120">
        <v>0</v>
      </c>
      <c r="BD85" s="120">
        <v>0</v>
      </c>
      <c r="BE85" s="120">
        <v>0</v>
      </c>
      <c r="BF85" s="120">
        <v>0</v>
      </c>
      <c r="BG85" s="120">
        <v>0</v>
      </c>
      <c r="BH85" s="120">
        <v>0</v>
      </c>
      <c r="BI85" s="120">
        <v>0</v>
      </c>
      <c r="BJ85" s="120">
        <v>0</v>
      </c>
      <c r="BK85" s="120">
        <v>0</v>
      </c>
      <c r="BL85" s="120">
        <v>0</v>
      </c>
      <c r="BM85" s="120">
        <v>0</v>
      </c>
      <c r="BN85" s="120">
        <v>0</v>
      </c>
      <c r="BO85" s="120">
        <v>0</v>
      </c>
      <c r="BP85" s="120">
        <v>0</v>
      </c>
      <c r="BQ85" s="120">
        <v>0</v>
      </c>
      <c r="BR85" s="120">
        <v>0</v>
      </c>
      <c r="BS85" s="120">
        <v>0</v>
      </c>
      <c r="BT85" s="120">
        <v>0</v>
      </c>
      <c r="BU85" s="120">
        <v>0</v>
      </c>
      <c r="BV85" s="120">
        <v>0</v>
      </c>
      <c r="BW85" s="120">
        <v>0</v>
      </c>
      <c r="BX85" s="120">
        <v>0</v>
      </c>
      <c r="BY85" s="120">
        <v>0</v>
      </c>
      <c r="BZ85" s="120">
        <v>0</v>
      </c>
      <c r="CA85" s="120">
        <v>0</v>
      </c>
      <c r="CB85" s="120">
        <v>0</v>
      </c>
      <c r="CC85" s="120">
        <v>0</v>
      </c>
      <c r="CD85" s="120">
        <v>0</v>
      </c>
      <c r="CE85" s="120">
        <v>0</v>
      </c>
      <c r="CF85" s="120">
        <v>0</v>
      </c>
      <c r="CG85" s="120">
        <v>0</v>
      </c>
      <c r="CH85" s="120">
        <v>0</v>
      </c>
      <c r="CI85" s="120">
        <v>0</v>
      </c>
      <c r="CJ85" s="120">
        <v>0</v>
      </c>
      <c r="CK85" s="120">
        <v>0</v>
      </c>
      <c r="CL85" s="120">
        <v>0</v>
      </c>
      <c r="CM85" s="120">
        <v>0</v>
      </c>
      <c r="CN85" s="120">
        <v>0</v>
      </c>
      <c r="CO85" s="120">
        <v>0</v>
      </c>
      <c r="CP85" s="120">
        <v>0</v>
      </c>
      <c r="CQ85" s="120">
        <v>0</v>
      </c>
      <c r="CR85" s="120">
        <v>0</v>
      </c>
      <c r="CS85" s="120">
        <v>0</v>
      </c>
      <c r="CT85" s="120">
        <v>0</v>
      </c>
      <c r="CU85" s="120">
        <v>0</v>
      </c>
      <c r="CV85" s="120">
        <v>0</v>
      </c>
      <c r="CW85" s="120">
        <v>0</v>
      </c>
      <c r="CX85" s="120">
        <v>0</v>
      </c>
      <c r="CY85" s="120">
        <v>0</v>
      </c>
      <c r="CZ85" s="120">
        <v>0</v>
      </c>
      <c r="DA85" s="120">
        <v>0</v>
      </c>
      <c r="DB85" s="120">
        <v>0</v>
      </c>
      <c r="DC85" s="120">
        <v>0</v>
      </c>
      <c r="DD85" s="120">
        <v>0</v>
      </c>
      <c r="DE85" s="120">
        <v>0</v>
      </c>
      <c r="DF85" s="120">
        <v>0</v>
      </c>
      <c r="DG85" s="120">
        <v>0</v>
      </c>
      <c r="DH85" s="120">
        <v>0</v>
      </c>
      <c r="DI85" s="120">
        <v>0</v>
      </c>
      <c r="DJ85" s="120">
        <v>0</v>
      </c>
      <c r="DK85" s="120">
        <v>0</v>
      </c>
      <c r="DL85" s="120">
        <v>0</v>
      </c>
      <c r="DM85" s="120">
        <v>0</v>
      </c>
      <c r="DN85" s="120">
        <v>0</v>
      </c>
      <c r="DO85" s="120">
        <v>0</v>
      </c>
      <c r="DP85" s="120">
        <v>0</v>
      </c>
      <c r="DQ85" s="120">
        <v>0</v>
      </c>
      <c r="DR85" s="120">
        <v>0</v>
      </c>
      <c r="DS85" s="120">
        <v>0</v>
      </c>
      <c r="DT85" s="120">
        <v>0</v>
      </c>
      <c r="DU85" s="120">
        <v>0</v>
      </c>
      <c r="DV85" s="120">
        <v>0</v>
      </c>
      <c r="DW85" s="120">
        <v>0</v>
      </c>
      <c r="DX85" s="120">
        <v>0</v>
      </c>
      <c r="DY85" s="120">
        <v>0</v>
      </c>
      <c r="DZ85" s="120">
        <v>0</v>
      </c>
      <c r="EA85" s="120">
        <v>0</v>
      </c>
      <c r="EB85" s="120">
        <v>0</v>
      </c>
      <c r="EC85" s="120">
        <v>0</v>
      </c>
      <c r="ED85" s="120">
        <f t="shared" si="1"/>
        <v>56209.853515975192</v>
      </c>
    </row>
    <row r="86" spans="1:134">
      <c r="A86" s="120">
        <v>85</v>
      </c>
      <c r="B86" s="120">
        <v>0</v>
      </c>
      <c r="C86" s="120">
        <v>0</v>
      </c>
      <c r="D86" s="120">
        <v>0</v>
      </c>
      <c r="E86" s="120">
        <v>0</v>
      </c>
      <c r="F86" s="120">
        <v>0</v>
      </c>
      <c r="G86" s="120">
        <v>0</v>
      </c>
      <c r="H86" s="120">
        <v>0</v>
      </c>
      <c r="I86" s="120">
        <v>0</v>
      </c>
      <c r="J86" s="120">
        <v>0</v>
      </c>
      <c r="K86" s="120">
        <v>0</v>
      </c>
      <c r="L86" s="120">
        <v>0</v>
      </c>
      <c r="M86" s="120">
        <v>0</v>
      </c>
      <c r="N86" s="120">
        <v>0</v>
      </c>
      <c r="O86" s="120">
        <v>0</v>
      </c>
      <c r="P86" s="120">
        <v>0</v>
      </c>
      <c r="Q86" s="120">
        <v>0</v>
      </c>
      <c r="R86" s="120">
        <v>0</v>
      </c>
      <c r="S86" s="120">
        <v>0</v>
      </c>
      <c r="T86" s="120">
        <v>0</v>
      </c>
      <c r="U86" s="120">
        <v>0</v>
      </c>
      <c r="V86" s="120">
        <v>0</v>
      </c>
      <c r="W86" s="120">
        <v>0</v>
      </c>
      <c r="X86" s="120">
        <v>0</v>
      </c>
      <c r="Y86" s="120">
        <v>0</v>
      </c>
      <c r="Z86" s="120">
        <v>0</v>
      </c>
      <c r="AA86" s="120">
        <v>0</v>
      </c>
      <c r="AB86" s="120">
        <v>0</v>
      </c>
      <c r="AC86" s="120">
        <v>0</v>
      </c>
      <c r="AD86" s="120">
        <v>0</v>
      </c>
      <c r="AE86" s="120">
        <v>0</v>
      </c>
      <c r="AF86" s="120">
        <v>0</v>
      </c>
      <c r="AG86" s="120">
        <v>0</v>
      </c>
      <c r="AH86" s="120">
        <v>0</v>
      </c>
      <c r="AI86" s="120">
        <v>0</v>
      </c>
      <c r="AJ86" s="120">
        <v>0</v>
      </c>
      <c r="AK86" s="120">
        <v>0</v>
      </c>
      <c r="AL86" s="120">
        <v>0</v>
      </c>
      <c r="AM86" s="120">
        <v>0</v>
      </c>
      <c r="AN86" s="120">
        <v>0</v>
      </c>
      <c r="AO86" s="120">
        <v>0</v>
      </c>
      <c r="AP86" s="120">
        <v>0</v>
      </c>
      <c r="AQ86" s="120">
        <v>0</v>
      </c>
      <c r="AR86" s="120">
        <v>0</v>
      </c>
      <c r="AS86" s="120">
        <v>0</v>
      </c>
      <c r="AT86" s="120">
        <v>0</v>
      </c>
      <c r="AU86" s="120">
        <v>0</v>
      </c>
      <c r="AV86" s="120">
        <v>0</v>
      </c>
      <c r="AW86" s="120">
        <v>0</v>
      </c>
      <c r="AX86" s="120">
        <v>0</v>
      </c>
      <c r="AY86" s="120">
        <v>0</v>
      </c>
      <c r="AZ86" s="120">
        <v>0</v>
      </c>
      <c r="BA86" s="120">
        <v>0</v>
      </c>
      <c r="BB86" s="120">
        <v>0</v>
      </c>
      <c r="BC86" s="120">
        <v>0</v>
      </c>
      <c r="BD86" s="120">
        <v>0</v>
      </c>
      <c r="BE86" s="120">
        <v>0</v>
      </c>
      <c r="BF86" s="120">
        <v>0</v>
      </c>
      <c r="BG86" s="120">
        <v>0</v>
      </c>
      <c r="BH86" s="120">
        <v>0</v>
      </c>
      <c r="BI86" s="120">
        <v>0</v>
      </c>
      <c r="BJ86" s="120">
        <v>0</v>
      </c>
      <c r="BK86" s="120">
        <v>0</v>
      </c>
      <c r="BL86" s="120">
        <v>0</v>
      </c>
      <c r="BM86" s="120">
        <v>0</v>
      </c>
      <c r="BN86" s="120">
        <v>0</v>
      </c>
      <c r="BO86" s="120">
        <v>0</v>
      </c>
      <c r="BP86" s="120">
        <v>0</v>
      </c>
      <c r="BQ86" s="120">
        <v>0</v>
      </c>
      <c r="BR86" s="120">
        <v>0</v>
      </c>
      <c r="BS86" s="120">
        <v>0</v>
      </c>
      <c r="BT86" s="120">
        <v>0</v>
      </c>
      <c r="BU86" s="120">
        <v>0</v>
      </c>
      <c r="BV86" s="120">
        <v>0</v>
      </c>
      <c r="BW86" s="120">
        <v>0</v>
      </c>
      <c r="BX86" s="120">
        <v>0</v>
      </c>
      <c r="BY86" s="120">
        <v>0</v>
      </c>
      <c r="BZ86" s="120">
        <v>4048.894603341424</v>
      </c>
      <c r="CA86" s="120">
        <v>0</v>
      </c>
      <c r="CB86" s="120">
        <v>0</v>
      </c>
      <c r="CC86" s="120">
        <v>0</v>
      </c>
      <c r="CD86" s="120">
        <v>0</v>
      </c>
      <c r="CE86" s="120">
        <v>0</v>
      </c>
      <c r="CF86" s="120">
        <v>0</v>
      </c>
      <c r="CG86" s="120">
        <v>0</v>
      </c>
      <c r="CH86" s="120">
        <v>0</v>
      </c>
      <c r="CI86" s="120">
        <v>0</v>
      </c>
      <c r="CJ86" s="120">
        <v>0</v>
      </c>
      <c r="CK86" s="120">
        <v>0</v>
      </c>
      <c r="CL86" s="120">
        <v>0</v>
      </c>
      <c r="CM86" s="120">
        <v>0</v>
      </c>
      <c r="CN86" s="120">
        <v>0</v>
      </c>
      <c r="CO86" s="120">
        <v>0</v>
      </c>
      <c r="CP86" s="120">
        <v>0</v>
      </c>
      <c r="CQ86" s="120">
        <v>0</v>
      </c>
      <c r="CR86" s="120">
        <v>0</v>
      </c>
      <c r="CS86" s="120">
        <v>0</v>
      </c>
      <c r="CT86" s="120">
        <v>0</v>
      </c>
      <c r="CU86" s="120">
        <v>0</v>
      </c>
      <c r="CV86" s="120">
        <v>0</v>
      </c>
      <c r="CW86" s="120">
        <v>0</v>
      </c>
      <c r="CX86" s="120">
        <v>0</v>
      </c>
      <c r="CY86" s="120">
        <v>0</v>
      </c>
      <c r="CZ86" s="120">
        <v>0</v>
      </c>
      <c r="DA86" s="120">
        <v>0</v>
      </c>
      <c r="DB86" s="120">
        <v>0</v>
      </c>
      <c r="DC86" s="120">
        <v>0</v>
      </c>
      <c r="DD86" s="120">
        <v>0</v>
      </c>
      <c r="DE86" s="120">
        <v>0</v>
      </c>
      <c r="DF86" s="120">
        <v>0</v>
      </c>
      <c r="DG86" s="120">
        <v>0</v>
      </c>
      <c r="DH86" s="120">
        <v>0</v>
      </c>
      <c r="DI86" s="120">
        <v>0</v>
      </c>
      <c r="DJ86" s="120">
        <v>0</v>
      </c>
      <c r="DK86" s="120">
        <v>0</v>
      </c>
      <c r="DL86" s="120">
        <v>0</v>
      </c>
      <c r="DM86" s="120">
        <v>0</v>
      </c>
      <c r="DN86" s="120">
        <v>0</v>
      </c>
      <c r="DO86" s="120">
        <v>97.023892616885107</v>
      </c>
      <c r="DP86" s="120">
        <v>290.13716658485691</v>
      </c>
      <c r="DQ86" s="120">
        <v>18164.096081550098</v>
      </c>
      <c r="DR86" s="120">
        <v>0</v>
      </c>
      <c r="DS86" s="120">
        <v>0</v>
      </c>
      <c r="DT86" s="120">
        <v>0</v>
      </c>
      <c r="DU86" s="120">
        <v>0</v>
      </c>
      <c r="DV86" s="120">
        <v>0</v>
      </c>
      <c r="DW86" s="120">
        <v>0</v>
      </c>
      <c r="DX86" s="120">
        <v>0</v>
      </c>
      <c r="DY86" s="120">
        <v>0</v>
      </c>
      <c r="DZ86" s="120">
        <v>0</v>
      </c>
      <c r="EA86" s="120">
        <v>0</v>
      </c>
      <c r="EB86" s="120">
        <v>0</v>
      </c>
      <c r="EC86" s="120">
        <v>0</v>
      </c>
      <c r="ED86" s="120">
        <f t="shared" si="1"/>
        <v>22600.151744093266</v>
      </c>
    </row>
    <row r="87" spans="1:134">
      <c r="A87" s="120">
        <v>86</v>
      </c>
      <c r="B87" s="120">
        <v>0</v>
      </c>
      <c r="C87" s="120">
        <v>0</v>
      </c>
      <c r="D87" s="120">
        <v>0</v>
      </c>
      <c r="E87" s="120">
        <v>0</v>
      </c>
      <c r="F87" s="120">
        <v>0</v>
      </c>
      <c r="G87" s="120">
        <v>0</v>
      </c>
      <c r="H87" s="120">
        <v>0</v>
      </c>
      <c r="I87" s="120">
        <v>0</v>
      </c>
      <c r="J87" s="120">
        <v>0</v>
      </c>
      <c r="K87" s="120">
        <v>0</v>
      </c>
      <c r="L87" s="120">
        <v>0</v>
      </c>
      <c r="M87" s="120">
        <v>0</v>
      </c>
      <c r="N87" s="120">
        <v>0</v>
      </c>
      <c r="O87" s="120">
        <v>0</v>
      </c>
      <c r="P87" s="120">
        <v>0</v>
      </c>
      <c r="Q87" s="120">
        <v>0</v>
      </c>
      <c r="R87" s="120">
        <v>0</v>
      </c>
      <c r="S87" s="120">
        <v>0</v>
      </c>
      <c r="T87" s="120">
        <v>0</v>
      </c>
      <c r="U87" s="120">
        <v>0</v>
      </c>
      <c r="V87" s="120">
        <v>0</v>
      </c>
      <c r="W87" s="120">
        <v>0</v>
      </c>
      <c r="X87" s="120">
        <v>0</v>
      </c>
      <c r="Y87" s="120">
        <v>0</v>
      </c>
      <c r="Z87" s="120">
        <v>0</v>
      </c>
      <c r="AA87" s="120">
        <v>0</v>
      </c>
      <c r="AB87" s="120">
        <v>0</v>
      </c>
      <c r="AC87" s="120">
        <v>0</v>
      </c>
      <c r="AD87" s="120">
        <v>0</v>
      </c>
      <c r="AE87" s="120">
        <v>0</v>
      </c>
      <c r="AF87" s="120">
        <v>0</v>
      </c>
      <c r="AG87" s="120">
        <v>0</v>
      </c>
      <c r="AH87" s="120">
        <v>0</v>
      </c>
      <c r="AI87" s="120">
        <v>0</v>
      </c>
      <c r="AJ87" s="120">
        <v>0</v>
      </c>
      <c r="AK87" s="120">
        <v>0</v>
      </c>
      <c r="AL87" s="120">
        <v>0</v>
      </c>
      <c r="AM87" s="120">
        <v>0</v>
      </c>
      <c r="AN87" s="120">
        <v>0</v>
      </c>
      <c r="AO87" s="120">
        <v>0</v>
      </c>
      <c r="AP87" s="120">
        <v>0</v>
      </c>
      <c r="AQ87" s="120">
        <v>0</v>
      </c>
      <c r="AR87" s="120">
        <v>0</v>
      </c>
      <c r="AS87" s="120">
        <v>0</v>
      </c>
      <c r="AT87" s="120">
        <v>0</v>
      </c>
      <c r="AU87" s="120">
        <v>10268.66152894934</v>
      </c>
      <c r="AV87" s="120">
        <v>0</v>
      </c>
      <c r="AW87" s="120">
        <v>1630.432100978951</v>
      </c>
      <c r="AX87" s="120">
        <v>0</v>
      </c>
      <c r="AY87" s="120">
        <v>2693.470335339638</v>
      </c>
      <c r="AZ87" s="120">
        <v>0</v>
      </c>
      <c r="BA87" s="120">
        <v>0</v>
      </c>
      <c r="BB87" s="120">
        <v>0</v>
      </c>
      <c r="BC87" s="120">
        <v>0</v>
      </c>
      <c r="BD87" s="120">
        <v>0</v>
      </c>
      <c r="BE87" s="120">
        <v>0</v>
      </c>
      <c r="BF87" s="120">
        <v>0</v>
      </c>
      <c r="BG87" s="120">
        <v>0</v>
      </c>
      <c r="BH87" s="120">
        <v>0</v>
      </c>
      <c r="BI87" s="120">
        <v>0</v>
      </c>
      <c r="BJ87" s="120">
        <v>0</v>
      </c>
      <c r="BK87" s="120">
        <v>0</v>
      </c>
      <c r="BL87" s="120">
        <v>0</v>
      </c>
      <c r="BM87" s="120">
        <v>0</v>
      </c>
      <c r="BN87" s="120">
        <v>0</v>
      </c>
      <c r="BO87" s="120">
        <v>0</v>
      </c>
      <c r="BP87" s="120">
        <v>0</v>
      </c>
      <c r="BQ87" s="120">
        <v>0</v>
      </c>
      <c r="BR87" s="120">
        <v>0</v>
      </c>
      <c r="BS87" s="120">
        <v>0</v>
      </c>
      <c r="BT87" s="120">
        <v>0</v>
      </c>
      <c r="BU87" s="120">
        <v>0</v>
      </c>
      <c r="BV87" s="120">
        <v>0</v>
      </c>
      <c r="BW87" s="120">
        <v>0</v>
      </c>
      <c r="BX87" s="120">
        <v>0</v>
      </c>
      <c r="BY87" s="120">
        <v>0</v>
      </c>
      <c r="BZ87" s="120">
        <v>0</v>
      </c>
      <c r="CA87" s="120">
        <v>0</v>
      </c>
      <c r="CB87" s="120">
        <v>0</v>
      </c>
      <c r="CC87" s="120">
        <v>0</v>
      </c>
      <c r="CD87" s="120">
        <v>0</v>
      </c>
      <c r="CE87" s="120">
        <v>0</v>
      </c>
      <c r="CF87" s="120">
        <v>0</v>
      </c>
      <c r="CG87" s="120">
        <v>0</v>
      </c>
      <c r="CH87" s="120">
        <v>0</v>
      </c>
      <c r="CI87" s="120">
        <v>0</v>
      </c>
      <c r="CJ87" s="120">
        <v>0</v>
      </c>
      <c r="CK87" s="120">
        <v>0</v>
      </c>
      <c r="CL87" s="120">
        <v>0</v>
      </c>
      <c r="CM87" s="120">
        <v>0</v>
      </c>
      <c r="CN87" s="120">
        <v>0</v>
      </c>
      <c r="CO87" s="120">
        <v>0</v>
      </c>
      <c r="CP87" s="120">
        <v>0</v>
      </c>
      <c r="CQ87" s="120">
        <v>0</v>
      </c>
      <c r="CR87" s="120">
        <v>0</v>
      </c>
      <c r="CS87" s="120">
        <v>0</v>
      </c>
      <c r="CT87" s="120">
        <v>0</v>
      </c>
      <c r="CU87" s="120">
        <v>0</v>
      </c>
      <c r="CV87" s="120">
        <v>0</v>
      </c>
      <c r="CW87" s="120">
        <v>0</v>
      </c>
      <c r="CX87" s="120">
        <v>0</v>
      </c>
      <c r="CY87" s="120">
        <v>0</v>
      </c>
      <c r="CZ87" s="120">
        <v>0</v>
      </c>
      <c r="DA87" s="120">
        <v>0</v>
      </c>
      <c r="DB87" s="120">
        <v>0</v>
      </c>
      <c r="DC87" s="120">
        <v>0</v>
      </c>
      <c r="DD87" s="120">
        <v>0</v>
      </c>
      <c r="DE87" s="120">
        <v>0</v>
      </c>
      <c r="DF87" s="120">
        <v>0</v>
      </c>
      <c r="DG87" s="120">
        <v>0</v>
      </c>
      <c r="DH87" s="120">
        <v>0</v>
      </c>
      <c r="DI87" s="120">
        <v>0</v>
      </c>
      <c r="DJ87" s="120">
        <v>0</v>
      </c>
      <c r="DK87" s="120">
        <v>0</v>
      </c>
      <c r="DL87" s="120">
        <v>0</v>
      </c>
      <c r="DM87" s="120">
        <v>0</v>
      </c>
      <c r="DN87" s="120">
        <v>0</v>
      </c>
      <c r="DO87" s="120">
        <v>0</v>
      </c>
      <c r="DP87" s="120">
        <v>1189.5910605422091</v>
      </c>
      <c r="DQ87" s="120">
        <v>0</v>
      </c>
      <c r="DR87" s="120">
        <v>0</v>
      </c>
      <c r="DS87" s="120">
        <v>0</v>
      </c>
      <c r="DT87" s="120">
        <v>0</v>
      </c>
      <c r="DU87" s="120">
        <v>0</v>
      </c>
      <c r="DV87" s="120">
        <v>0</v>
      </c>
      <c r="DW87" s="120">
        <v>0</v>
      </c>
      <c r="DX87" s="120">
        <v>0</v>
      </c>
      <c r="DY87" s="120">
        <v>0</v>
      </c>
      <c r="DZ87" s="120">
        <v>0</v>
      </c>
      <c r="EA87" s="120">
        <v>0</v>
      </c>
      <c r="EB87" s="120">
        <v>0</v>
      </c>
      <c r="EC87" s="120">
        <v>0</v>
      </c>
      <c r="ED87" s="120">
        <f t="shared" si="1"/>
        <v>15782.155025810138</v>
      </c>
    </row>
    <row r="88" spans="1:134">
      <c r="A88" s="120">
        <v>87</v>
      </c>
      <c r="B88" s="120">
        <v>0</v>
      </c>
      <c r="C88" s="120">
        <v>0</v>
      </c>
      <c r="D88" s="120">
        <v>0</v>
      </c>
      <c r="E88" s="120">
        <v>0</v>
      </c>
      <c r="F88" s="120">
        <v>0</v>
      </c>
      <c r="G88" s="120">
        <v>0</v>
      </c>
      <c r="H88" s="120">
        <v>0</v>
      </c>
      <c r="I88" s="120">
        <v>0</v>
      </c>
      <c r="J88" s="120">
        <v>0</v>
      </c>
      <c r="K88" s="120">
        <v>0</v>
      </c>
      <c r="L88" s="120">
        <v>0</v>
      </c>
      <c r="M88" s="120">
        <v>0</v>
      </c>
      <c r="N88" s="120">
        <v>0</v>
      </c>
      <c r="O88" s="120">
        <v>0</v>
      </c>
      <c r="P88" s="120">
        <v>0</v>
      </c>
      <c r="Q88" s="120">
        <v>0</v>
      </c>
      <c r="R88" s="120">
        <v>0</v>
      </c>
      <c r="S88" s="120">
        <v>0</v>
      </c>
      <c r="T88" s="120">
        <v>0</v>
      </c>
      <c r="U88" s="120">
        <v>0</v>
      </c>
      <c r="V88" s="120">
        <v>0</v>
      </c>
      <c r="W88" s="120">
        <v>0</v>
      </c>
      <c r="X88" s="120">
        <v>0</v>
      </c>
      <c r="Y88" s="120">
        <v>0</v>
      </c>
      <c r="Z88" s="120">
        <v>0</v>
      </c>
      <c r="AA88" s="120">
        <v>0</v>
      </c>
      <c r="AB88" s="120">
        <v>0</v>
      </c>
      <c r="AC88" s="120">
        <v>0</v>
      </c>
      <c r="AD88" s="120">
        <v>0</v>
      </c>
      <c r="AE88" s="120">
        <v>0</v>
      </c>
      <c r="AF88" s="120">
        <v>0</v>
      </c>
      <c r="AG88" s="120">
        <v>0</v>
      </c>
      <c r="AH88" s="120">
        <v>0</v>
      </c>
      <c r="AI88" s="120">
        <v>0</v>
      </c>
      <c r="AJ88" s="120">
        <v>0</v>
      </c>
      <c r="AK88" s="120">
        <v>0</v>
      </c>
      <c r="AL88" s="120">
        <v>0</v>
      </c>
      <c r="AM88" s="120">
        <v>0</v>
      </c>
      <c r="AN88" s="120">
        <v>0</v>
      </c>
      <c r="AO88" s="120">
        <v>0</v>
      </c>
      <c r="AP88" s="120">
        <v>0</v>
      </c>
      <c r="AQ88" s="120">
        <v>0</v>
      </c>
      <c r="AR88" s="120">
        <v>0</v>
      </c>
      <c r="AS88" s="120">
        <v>0</v>
      </c>
      <c r="AT88" s="120">
        <v>0</v>
      </c>
      <c r="AU88" s="120">
        <v>0</v>
      </c>
      <c r="AV88" s="120">
        <v>0</v>
      </c>
      <c r="AW88" s="120">
        <v>0</v>
      </c>
      <c r="AX88" s="120">
        <v>0</v>
      </c>
      <c r="AY88" s="120">
        <v>0</v>
      </c>
      <c r="AZ88" s="120">
        <v>0</v>
      </c>
      <c r="BA88" s="120">
        <v>0</v>
      </c>
      <c r="BB88" s="120">
        <v>0</v>
      </c>
      <c r="BC88" s="120">
        <v>0</v>
      </c>
      <c r="BD88" s="120">
        <v>0</v>
      </c>
      <c r="BE88" s="120">
        <v>0</v>
      </c>
      <c r="BF88" s="120">
        <v>0</v>
      </c>
      <c r="BG88" s="120">
        <v>0</v>
      </c>
      <c r="BH88" s="120">
        <v>0</v>
      </c>
      <c r="BI88" s="120">
        <v>0</v>
      </c>
      <c r="BJ88" s="120">
        <v>0</v>
      </c>
      <c r="BK88" s="120">
        <v>0</v>
      </c>
      <c r="BL88" s="120">
        <v>0</v>
      </c>
      <c r="BM88" s="120">
        <v>0</v>
      </c>
      <c r="BN88" s="120">
        <v>10416.068424803991</v>
      </c>
      <c r="BO88" s="120">
        <v>0</v>
      </c>
      <c r="BP88" s="120">
        <v>0</v>
      </c>
      <c r="BQ88" s="120">
        <v>0</v>
      </c>
      <c r="BR88" s="120">
        <v>0</v>
      </c>
      <c r="BS88" s="120">
        <v>0</v>
      </c>
      <c r="BT88" s="120">
        <v>0</v>
      </c>
      <c r="BU88" s="120">
        <v>0</v>
      </c>
      <c r="BV88" s="120">
        <v>0</v>
      </c>
      <c r="BW88" s="120">
        <v>0</v>
      </c>
      <c r="BX88" s="120">
        <v>0</v>
      </c>
      <c r="BY88" s="120">
        <v>0</v>
      </c>
      <c r="BZ88" s="120">
        <v>0</v>
      </c>
      <c r="CA88" s="120">
        <v>0</v>
      </c>
      <c r="CB88" s="120">
        <v>0</v>
      </c>
      <c r="CC88" s="120">
        <v>0</v>
      </c>
      <c r="CD88" s="120">
        <v>0</v>
      </c>
      <c r="CE88" s="120">
        <v>0</v>
      </c>
      <c r="CF88" s="120">
        <v>0</v>
      </c>
      <c r="CG88" s="120">
        <v>0</v>
      </c>
      <c r="CH88" s="120">
        <v>0</v>
      </c>
      <c r="CI88" s="120">
        <v>0</v>
      </c>
      <c r="CJ88" s="120">
        <v>0</v>
      </c>
      <c r="CK88" s="120">
        <v>0</v>
      </c>
      <c r="CL88" s="120">
        <v>0</v>
      </c>
      <c r="CM88" s="120">
        <v>0</v>
      </c>
      <c r="CN88" s="120">
        <v>0</v>
      </c>
      <c r="CO88" s="120">
        <v>0</v>
      </c>
      <c r="CP88" s="120">
        <v>0</v>
      </c>
      <c r="CQ88" s="120">
        <v>0</v>
      </c>
      <c r="CR88" s="120">
        <v>0</v>
      </c>
      <c r="CS88" s="120">
        <v>0</v>
      </c>
      <c r="CT88" s="120">
        <v>0</v>
      </c>
      <c r="CU88" s="120">
        <v>0</v>
      </c>
      <c r="CV88" s="120">
        <v>0</v>
      </c>
      <c r="CW88" s="120">
        <v>0</v>
      </c>
      <c r="CX88" s="120">
        <v>0</v>
      </c>
      <c r="CY88" s="120">
        <v>0</v>
      </c>
      <c r="CZ88" s="120">
        <v>0</v>
      </c>
      <c r="DA88" s="120">
        <v>0</v>
      </c>
      <c r="DB88" s="120">
        <v>0</v>
      </c>
      <c r="DC88" s="120">
        <v>0</v>
      </c>
      <c r="DD88" s="120">
        <v>0</v>
      </c>
      <c r="DE88" s="120">
        <v>0</v>
      </c>
      <c r="DF88" s="120">
        <v>0</v>
      </c>
      <c r="DG88" s="120">
        <v>0</v>
      </c>
      <c r="DH88" s="120">
        <v>0</v>
      </c>
      <c r="DI88" s="120">
        <v>0</v>
      </c>
      <c r="DJ88" s="120">
        <v>0</v>
      </c>
      <c r="DK88" s="120">
        <v>0</v>
      </c>
      <c r="DL88" s="120">
        <v>0</v>
      </c>
      <c r="DM88" s="120">
        <v>0</v>
      </c>
      <c r="DN88" s="120">
        <v>0</v>
      </c>
      <c r="DO88" s="120">
        <v>0</v>
      </c>
      <c r="DP88" s="120">
        <v>16343.418205493041</v>
      </c>
      <c r="DQ88" s="120">
        <v>0</v>
      </c>
      <c r="DR88" s="120">
        <v>-45.216958792968562</v>
      </c>
      <c r="DS88" s="120">
        <v>4843.024905612845</v>
      </c>
      <c r="DT88" s="120">
        <v>0</v>
      </c>
      <c r="DU88" s="120">
        <v>0</v>
      </c>
      <c r="DV88" s="120">
        <v>0</v>
      </c>
      <c r="DW88" s="120">
        <v>0</v>
      </c>
      <c r="DX88" s="120">
        <v>0</v>
      </c>
      <c r="DY88" s="120">
        <v>0</v>
      </c>
      <c r="DZ88" s="120">
        <v>0</v>
      </c>
      <c r="EA88" s="120">
        <v>0</v>
      </c>
      <c r="EB88" s="120">
        <v>0</v>
      </c>
      <c r="EC88" s="120">
        <v>0</v>
      </c>
      <c r="ED88" s="120">
        <f t="shared" si="1"/>
        <v>31557.294577116911</v>
      </c>
    </row>
    <row r="89" spans="1:134">
      <c r="A89" s="120">
        <v>88</v>
      </c>
      <c r="B89" s="120">
        <v>0</v>
      </c>
      <c r="C89" s="120">
        <v>0</v>
      </c>
      <c r="D89" s="120">
        <v>0</v>
      </c>
      <c r="E89" s="120">
        <v>0</v>
      </c>
      <c r="F89" s="120">
        <v>0</v>
      </c>
      <c r="G89" s="120">
        <v>0</v>
      </c>
      <c r="H89" s="120">
        <v>0</v>
      </c>
      <c r="I89" s="120">
        <v>0</v>
      </c>
      <c r="J89" s="120">
        <v>0</v>
      </c>
      <c r="K89" s="120">
        <v>0</v>
      </c>
      <c r="L89" s="120">
        <v>0</v>
      </c>
      <c r="M89" s="120">
        <v>0</v>
      </c>
      <c r="N89" s="120">
        <v>0</v>
      </c>
      <c r="O89" s="120">
        <v>0</v>
      </c>
      <c r="P89" s="120">
        <v>0</v>
      </c>
      <c r="Q89" s="120">
        <v>0</v>
      </c>
      <c r="R89" s="120">
        <v>0</v>
      </c>
      <c r="S89" s="120">
        <v>0</v>
      </c>
      <c r="T89" s="120">
        <v>0</v>
      </c>
      <c r="U89" s="120">
        <v>0</v>
      </c>
      <c r="V89" s="120">
        <v>0</v>
      </c>
      <c r="W89" s="120">
        <v>0</v>
      </c>
      <c r="X89" s="120">
        <v>0</v>
      </c>
      <c r="Y89" s="120">
        <v>0</v>
      </c>
      <c r="Z89" s="120">
        <v>0</v>
      </c>
      <c r="AA89" s="120">
        <v>0</v>
      </c>
      <c r="AB89" s="120">
        <v>0</v>
      </c>
      <c r="AC89" s="120">
        <v>0</v>
      </c>
      <c r="AD89" s="120">
        <v>0</v>
      </c>
      <c r="AE89" s="120">
        <v>0</v>
      </c>
      <c r="AF89" s="120">
        <v>0</v>
      </c>
      <c r="AG89" s="120">
        <v>0</v>
      </c>
      <c r="AH89" s="120">
        <v>0</v>
      </c>
      <c r="AI89" s="120">
        <v>0</v>
      </c>
      <c r="AJ89" s="120">
        <v>0</v>
      </c>
      <c r="AK89" s="120">
        <v>0</v>
      </c>
      <c r="AL89" s="120">
        <v>0</v>
      </c>
      <c r="AM89" s="120">
        <v>0</v>
      </c>
      <c r="AN89" s="120">
        <v>0</v>
      </c>
      <c r="AO89" s="120">
        <v>0</v>
      </c>
      <c r="AP89" s="120">
        <v>0</v>
      </c>
      <c r="AQ89" s="120">
        <v>0</v>
      </c>
      <c r="AR89" s="120">
        <v>0</v>
      </c>
      <c r="AS89" s="120">
        <v>0</v>
      </c>
      <c r="AT89" s="120">
        <v>0</v>
      </c>
      <c r="AU89" s="120">
        <v>0</v>
      </c>
      <c r="AV89" s="120">
        <v>0</v>
      </c>
      <c r="AW89" s="120">
        <v>0</v>
      </c>
      <c r="AX89" s="120">
        <v>0</v>
      </c>
      <c r="AY89" s="120">
        <v>0</v>
      </c>
      <c r="AZ89" s="120">
        <v>0</v>
      </c>
      <c r="BA89" s="120">
        <v>0</v>
      </c>
      <c r="BB89" s="120">
        <v>0</v>
      </c>
      <c r="BC89" s="120">
        <v>0</v>
      </c>
      <c r="BD89" s="120">
        <v>0</v>
      </c>
      <c r="BE89" s="120">
        <v>0</v>
      </c>
      <c r="BF89" s="120">
        <v>0</v>
      </c>
      <c r="BG89" s="120">
        <v>0</v>
      </c>
      <c r="BH89" s="120">
        <v>0</v>
      </c>
      <c r="BI89" s="120">
        <v>0</v>
      </c>
      <c r="BJ89" s="120">
        <v>0</v>
      </c>
      <c r="BK89" s="120">
        <v>0</v>
      </c>
      <c r="BL89" s="120">
        <v>0</v>
      </c>
      <c r="BM89" s="120">
        <v>0</v>
      </c>
      <c r="BN89" s="120">
        <v>0</v>
      </c>
      <c r="BO89" s="120">
        <v>0</v>
      </c>
      <c r="BP89" s="120">
        <v>0</v>
      </c>
      <c r="BQ89" s="120">
        <v>0</v>
      </c>
      <c r="BR89" s="120">
        <v>0</v>
      </c>
      <c r="BS89" s="120">
        <v>0</v>
      </c>
      <c r="BT89" s="120">
        <v>0</v>
      </c>
      <c r="BU89" s="120">
        <v>0</v>
      </c>
      <c r="BV89" s="120">
        <v>327.69448409361979</v>
      </c>
      <c r="BW89" s="120">
        <v>0</v>
      </c>
      <c r="BX89" s="120">
        <v>0</v>
      </c>
      <c r="BY89" s="120">
        <v>0</v>
      </c>
      <c r="BZ89" s="120">
        <v>0</v>
      </c>
      <c r="CA89" s="120">
        <v>0</v>
      </c>
      <c r="CB89" s="120">
        <v>0</v>
      </c>
      <c r="CC89" s="120">
        <v>0</v>
      </c>
      <c r="CD89" s="120">
        <v>0</v>
      </c>
      <c r="CE89" s="120">
        <v>0</v>
      </c>
      <c r="CF89" s="120">
        <v>0</v>
      </c>
      <c r="CG89" s="120">
        <v>0</v>
      </c>
      <c r="CH89" s="120">
        <v>0</v>
      </c>
      <c r="CI89" s="120">
        <v>0</v>
      </c>
      <c r="CJ89" s="120">
        <v>0</v>
      </c>
      <c r="CK89" s="120">
        <v>0</v>
      </c>
      <c r="CL89" s="120">
        <v>0</v>
      </c>
      <c r="CM89" s="120">
        <v>0</v>
      </c>
      <c r="CN89" s="120">
        <v>0</v>
      </c>
      <c r="CO89" s="120">
        <v>0</v>
      </c>
      <c r="CP89" s="120">
        <v>0</v>
      </c>
      <c r="CQ89" s="120">
        <v>0</v>
      </c>
      <c r="CR89" s="120">
        <v>0</v>
      </c>
      <c r="CS89" s="120">
        <v>0</v>
      </c>
      <c r="CT89" s="120">
        <v>0</v>
      </c>
      <c r="CU89" s="120">
        <v>0</v>
      </c>
      <c r="CV89" s="120">
        <v>0</v>
      </c>
      <c r="CW89" s="120">
        <v>0</v>
      </c>
      <c r="CX89" s="120">
        <v>0</v>
      </c>
      <c r="CY89" s="120">
        <v>0</v>
      </c>
      <c r="CZ89" s="120">
        <v>0</v>
      </c>
      <c r="DA89" s="120">
        <v>0</v>
      </c>
      <c r="DB89" s="120">
        <v>0</v>
      </c>
      <c r="DC89" s="120">
        <v>0</v>
      </c>
      <c r="DD89" s="120">
        <v>0</v>
      </c>
      <c r="DE89" s="120">
        <v>0</v>
      </c>
      <c r="DF89" s="120">
        <v>0</v>
      </c>
      <c r="DG89" s="120">
        <v>0</v>
      </c>
      <c r="DH89" s="120">
        <v>0</v>
      </c>
      <c r="DI89" s="120">
        <v>0</v>
      </c>
      <c r="DJ89" s="120">
        <v>0</v>
      </c>
      <c r="DK89" s="120">
        <v>0</v>
      </c>
      <c r="DL89" s="120">
        <v>0</v>
      </c>
      <c r="DM89" s="120">
        <v>0</v>
      </c>
      <c r="DN89" s="120">
        <v>0</v>
      </c>
      <c r="DO89" s="120">
        <v>0</v>
      </c>
      <c r="DP89" s="120">
        <v>194.7773985464774</v>
      </c>
      <c r="DQ89" s="120">
        <v>0</v>
      </c>
      <c r="DR89" s="120">
        <v>0</v>
      </c>
      <c r="DS89" s="120">
        <v>0</v>
      </c>
      <c r="DT89" s="120">
        <v>0</v>
      </c>
      <c r="DU89" s="120">
        <v>0</v>
      </c>
      <c r="DV89" s="120">
        <v>0</v>
      </c>
      <c r="DW89" s="120">
        <v>0</v>
      </c>
      <c r="DX89" s="120">
        <v>0</v>
      </c>
      <c r="DY89" s="120">
        <v>0</v>
      </c>
      <c r="DZ89" s="120">
        <v>0</v>
      </c>
      <c r="EA89" s="120">
        <v>0</v>
      </c>
      <c r="EB89" s="120">
        <v>0</v>
      </c>
      <c r="EC89" s="120">
        <v>0</v>
      </c>
      <c r="ED89" s="120">
        <f t="shared" si="1"/>
        <v>522.47188264009719</v>
      </c>
    </row>
    <row r="90" spans="1:134">
      <c r="A90" s="120">
        <v>89</v>
      </c>
      <c r="B90" s="120">
        <v>0</v>
      </c>
      <c r="C90" s="120">
        <v>0</v>
      </c>
      <c r="D90" s="120">
        <v>0</v>
      </c>
      <c r="E90" s="120">
        <v>0</v>
      </c>
      <c r="F90" s="120">
        <v>0</v>
      </c>
      <c r="G90" s="120">
        <v>0</v>
      </c>
      <c r="H90" s="120">
        <v>0</v>
      </c>
      <c r="I90" s="120">
        <v>173885.39368980131</v>
      </c>
      <c r="J90" s="120">
        <v>0</v>
      </c>
      <c r="K90" s="120">
        <v>0</v>
      </c>
      <c r="L90" s="120">
        <v>0</v>
      </c>
      <c r="M90" s="120">
        <v>0</v>
      </c>
      <c r="N90" s="120">
        <v>0</v>
      </c>
      <c r="O90" s="120">
        <v>0</v>
      </c>
      <c r="P90" s="120">
        <v>0</v>
      </c>
      <c r="Q90" s="120">
        <v>0</v>
      </c>
      <c r="R90" s="120">
        <v>0</v>
      </c>
      <c r="S90" s="120">
        <v>0</v>
      </c>
      <c r="T90" s="120">
        <v>0</v>
      </c>
      <c r="U90" s="120">
        <v>0</v>
      </c>
      <c r="V90" s="120">
        <v>0</v>
      </c>
      <c r="W90" s="120">
        <v>0</v>
      </c>
      <c r="X90" s="120">
        <v>0</v>
      </c>
      <c r="Y90" s="120">
        <v>0</v>
      </c>
      <c r="Z90" s="120">
        <v>0</v>
      </c>
      <c r="AA90" s="120">
        <v>0</v>
      </c>
      <c r="AB90" s="120">
        <v>0</v>
      </c>
      <c r="AC90" s="120">
        <v>0</v>
      </c>
      <c r="AD90" s="120">
        <v>0</v>
      </c>
      <c r="AE90" s="120">
        <v>0</v>
      </c>
      <c r="AF90" s="120">
        <v>0</v>
      </c>
      <c r="AG90" s="120">
        <v>0</v>
      </c>
      <c r="AH90" s="120">
        <v>0</v>
      </c>
      <c r="AI90" s="120">
        <v>0</v>
      </c>
      <c r="AJ90" s="120">
        <v>0</v>
      </c>
      <c r="AK90" s="120">
        <v>0</v>
      </c>
      <c r="AL90" s="120">
        <v>0</v>
      </c>
      <c r="AM90" s="120">
        <v>0</v>
      </c>
      <c r="AN90" s="120">
        <v>0</v>
      </c>
      <c r="AO90" s="120">
        <v>0</v>
      </c>
      <c r="AP90" s="120">
        <v>0</v>
      </c>
      <c r="AQ90" s="120">
        <v>0</v>
      </c>
      <c r="AR90" s="120">
        <v>0</v>
      </c>
      <c r="AS90" s="120">
        <v>0</v>
      </c>
      <c r="AT90" s="120">
        <v>0</v>
      </c>
      <c r="AU90" s="120">
        <v>0</v>
      </c>
      <c r="AV90" s="120">
        <v>0</v>
      </c>
      <c r="AW90" s="120">
        <v>0</v>
      </c>
      <c r="AX90" s="120">
        <v>0</v>
      </c>
      <c r="AY90" s="120">
        <v>0</v>
      </c>
      <c r="AZ90" s="120">
        <v>0</v>
      </c>
      <c r="BA90" s="120">
        <v>0</v>
      </c>
      <c r="BB90" s="120">
        <v>0</v>
      </c>
      <c r="BC90" s="120">
        <v>0</v>
      </c>
      <c r="BD90" s="120">
        <v>0</v>
      </c>
      <c r="BE90" s="120">
        <v>0</v>
      </c>
      <c r="BF90" s="120">
        <v>0</v>
      </c>
      <c r="BG90" s="120">
        <v>0</v>
      </c>
      <c r="BH90" s="120">
        <v>0</v>
      </c>
      <c r="BI90" s="120">
        <v>0</v>
      </c>
      <c r="BJ90" s="120">
        <v>0</v>
      </c>
      <c r="BK90" s="120">
        <v>0</v>
      </c>
      <c r="BL90" s="120">
        <v>0</v>
      </c>
      <c r="BM90" s="120">
        <v>0</v>
      </c>
      <c r="BN90" s="120">
        <v>0</v>
      </c>
      <c r="BO90" s="120">
        <v>0</v>
      </c>
      <c r="BP90" s="120">
        <v>0</v>
      </c>
      <c r="BQ90" s="120">
        <v>0</v>
      </c>
      <c r="BR90" s="120">
        <v>0</v>
      </c>
      <c r="BS90" s="120">
        <v>0</v>
      </c>
      <c r="BT90" s="120">
        <v>0</v>
      </c>
      <c r="BU90" s="120">
        <v>0</v>
      </c>
      <c r="BV90" s="120">
        <v>0</v>
      </c>
      <c r="BW90" s="120">
        <v>0</v>
      </c>
      <c r="BX90" s="120">
        <v>0</v>
      </c>
      <c r="BY90" s="120">
        <v>0</v>
      </c>
      <c r="BZ90" s="120">
        <v>-1543.560506019222</v>
      </c>
      <c r="CA90" s="120">
        <v>-24654.269327123071</v>
      </c>
      <c r="CB90" s="120">
        <v>-33111.828033340433</v>
      </c>
      <c r="CC90" s="120">
        <v>0</v>
      </c>
      <c r="CD90" s="120">
        <v>0</v>
      </c>
      <c r="CE90" s="120">
        <v>0</v>
      </c>
      <c r="CF90" s="120">
        <v>0</v>
      </c>
      <c r="CG90" s="120">
        <v>0</v>
      </c>
      <c r="CH90" s="120">
        <v>0</v>
      </c>
      <c r="CI90" s="120">
        <v>0</v>
      </c>
      <c r="CJ90" s="120">
        <v>0</v>
      </c>
      <c r="CK90" s="120">
        <v>0</v>
      </c>
      <c r="CL90" s="120">
        <v>0</v>
      </c>
      <c r="CM90" s="120">
        <v>0</v>
      </c>
      <c r="CN90" s="120">
        <v>0</v>
      </c>
      <c r="CO90" s="120">
        <v>0</v>
      </c>
      <c r="CP90" s="120">
        <v>0</v>
      </c>
      <c r="CQ90" s="120">
        <v>0</v>
      </c>
      <c r="CR90" s="120">
        <v>0</v>
      </c>
      <c r="CS90" s="120">
        <v>0</v>
      </c>
      <c r="CT90" s="120">
        <v>0</v>
      </c>
      <c r="CU90" s="120">
        <v>0</v>
      </c>
      <c r="CV90" s="120">
        <v>0</v>
      </c>
      <c r="CW90" s="120">
        <v>0</v>
      </c>
      <c r="CX90" s="120">
        <v>0</v>
      </c>
      <c r="CY90" s="120">
        <v>0</v>
      </c>
      <c r="CZ90" s="120">
        <v>0</v>
      </c>
      <c r="DA90" s="120">
        <v>0</v>
      </c>
      <c r="DB90" s="120">
        <v>0</v>
      </c>
      <c r="DC90" s="120">
        <v>0</v>
      </c>
      <c r="DD90" s="120">
        <v>0</v>
      </c>
      <c r="DE90" s="120">
        <v>0</v>
      </c>
      <c r="DF90" s="120">
        <v>0</v>
      </c>
      <c r="DG90" s="120">
        <v>0</v>
      </c>
      <c r="DH90" s="120">
        <v>205251.88266638821</v>
      </c>
      <c r="DI90" s="120">
        <v>-56801.918751970152</v>
      </c>
      <c r="DJ90" s="120">
        <v>0</v>
      </c>
      <c r="DK90" s="120">
        <v>0</v>
      </c>
      <c r="DL90" s="120">
        <v>0</v>
      </c>
      <c r="DM90" s="120">
        <v>0</v>
      </c>
      <c r="DN90" s="120">
        <v>157.72190165656929</v>
      </c>
      <c r="DO90" s="120">
        <v>-115.9650799432076</v>
      </c>
      <c r="DP90" s="120">
        <v>41692.986549738809</v>
      </c>
      <c r="DQ90" s="120">
        <v>-12288.449949707719</v>
      </c>
      <c r="DR90" s="120">
        <v>-1962.357723059491</v>
      </c>
      <c r="DS90" s="120">
        <v>0</v>
      </c>
      <c r="DT90" s="120">
        <v>0</v>
      </c>
      <c r="DU90" s="120">
        <v>0</v>
      </c>
      <c r="DV90" s="120">
        <v>6998.4377790950402</v>
      </c>
      <c r="DW90" s="120">
        <v>-1313.2817822564709</v>
      </c>
      <c r="DX90" s="120">
        <v>0</v>
      </c>
      <c r="DY90" s="120">
        <v>8325.0729003836859</v>
      </c>
      <c r="DZ90" s="120">
        <v>-1562.9447207616879</v>
      </c>
      <c r="EA90" s="120">
        <v>0</v>
      </c>
      <c r="EB90" s="120">
        <v>20535.27249141939</v>
      </c>
      <c r="EC90" s="120">
        <v>-3855.8769622708119</v>
      </c>
      <c r="ED90" s="120">
        <f t="shared" si="1"/>
        <v>319636.31514203071</v>
      </c>
    </row>
    <row r="91" spans="1:134">
      <c r="A91" s="120">
        <v>90</v>
      </c>
      <c r="B91" s="120">
        <v>0</v>
      </c>
      <c r="C91" s="120">
        <v>0</v>
      </c>
      <c r="D91" s="120">
        <v>0</v>
      </c>
      <c r="E91" s="120">
        <v>0</v>
      </c>
      <c r="F91" s="120">
        <v>0</v>
      </c>
      <c r="G91" s="120">
        <v>0</v>
      </c>
      <c r="H91" s="120">
        <v>0</v>
      </c>
      <c r="I91" s="120">
        <v>15642.69409073699</v>
      </c>
      <c r="J91" s="120">
        <v>0</v>
      </c>
      <c r="K91" s="120">
        <v>0</v>
      </c>
      <c r="L91" s="120">
        <v>0</v>
      </c>
      <c r="M91" s="120">
        <v>0</v>
      </c>
      <c r="N91" s="120">
        <v>0</v>
      </c>
      <c r="O91" s="120">
        <v>0</v>
      </c>
      <c r="P91" s="120">
        <v>0</v>
      </c>
      <c r="Q91" s="120">
        <v>0</v>
      </c>
      <c r="R91" s="120">
        <v>0</v>
      </c>
      <c r="S91" s="120">
        <v>0</v>
      </c>
      <c r="T91" s="120">
        <v>0</v>
      </c>
      <c r="U91" s="120">
        <v>0</v>
      </c>
      <c r="V91" s="120">
        <v>0</v>
      </c>
      <c r="W91" s="120">
        <v>0</v>
      </c>
      <c r="X91" s="120">
        <v>0</v>
      </c>
      <c r="Y91" s="120">
        <v>0</v>
      </c>
      <c r="Z91" s="120">
        <v>0</v>
      </c>
      <c r="AA91" s="120">
        <v>0</v>
      </c>
      <c r="AB91" s="120">
        <v>0</v>
      </c>
      <c r="AC91" s="120">
        <v>0</v>
      </c>
      <c r="AD91" s="120">
        <v>0</v>
      </c>
      <c r="AE91" s="120">
        <v>0</v>
      </c>
      <c r="AF91" s="120">
        <v>0</v>
      </c>
      <c r="AG91" s="120">
        <v>435.18237628851261</v>
      </c>
      <c r="AH91" s="120">
        <v>0</v>
      </c>
      <c r="AI91" s="120">
        <v>0</v>
      </c>
      <c r="AJ91" s="120">
        <v>0</v>
      </c>
      <c r="AK91" s="120">
        <v>0</v>
      </c>
      <c r="AL91" s="120">
        <v>0</v>
      </c>
      <c r="AM91" s="120">
        <v>0</v>
      </c>
      <c r="AN91" s="120">
        <v>0</v>
      </c>
      <c r="AO91" s="120">
        <v>0</v>
      </c>
      <c r="AP91" s="120">
        <v>0</v>
      </c>
      <c r="AQ91" s="120">
        <v>0</v>
      </c>
      <c r="AR91" s="120">
        <v>0</v>
      </c>
      <c r="AS91" s="120">
        <v>0</v>
      </c>
      <c r="AT91" s="120">
        <v>0</v>
      </c>
      <c r="AU91" s="120">
        <v>0</v>
      </c>
      <c r="AV91" s="120">
        <v>0</v>
      </c>
      <c r="AW91" s="120">
        <v>0</v>
      </c>
      <c r="AX91" s="120">
        <v>0</v>
      </c>
      <c r="AY91" s="120">
        <v>0</v>
      </c>
      <c r="AZ91" s="120">
        <v>8896.6617537281036</v>
      </c>
      <c r="BA91" s="120">
        <v>0</v>
      </c>
      <c r="BB91" s="120">
        <v>0</v>
      </c>
      <c r="BC91" s="120">
        <v>0</v>
      </c>
      <c r="BD91" s="120">
        <v>3752.9364966471212</v>
      </c>
      <c r="BE91" s="120">
        <v>0</v>
      </c>
      <c r="BF91" s="120">
        <v>0</v>
      </c>
      <c r="BG91" s="120">
        <v>0</v>
      </c>
      <c r="BH91" s="120">
        <v>0</v>
      </c>
      <c r="BI91" s="120">
        <v>0</v>
      </c>
      <c r="BJ91" s="120">
        <v>0</v>
      </c>
      <c r="BK91" s="120">
        <v>0</v>
      </c>
      <c r="BL91" s="120">
        <v>0</v>
      </c>
      <c r="BM91" s="120">
        <v>0</v>
      </c>
      <c r="BN91" s="120">
        <v>0</v>
      </c>
      <c r="BO91" s="120">
        <v>0</v>
      </c>
      <c r="BP91" s="120">
        <v>0</v>
      </c>
      <c r="BQ91" s="120">
        <v>0</v>
      </c>
      <c r="BR91" s="120">
        <v>0</v>
      </c>
      <c r="BS91" s="120">
        <v>0</v>
      </c>
      <c r="BT91" s="120">
        <v>0</v>
      </c>
      <c r="BU91" s="120">
        <v>0</v>
      </c>
      <c r="BV91" s="120">
        <v>0</v>
      </c>
      <c r="BW91" s="120">
        <v>0</v>
      </c>
      <c r="BX91" s="120">
        <v>0</v>
      </c>
      <c r="BY91" s="120">
        <v>0</v>
      </c>
      <c r="BZ91" s="120">
        <v>-81.09224219292976</v>
      </c>
      <c r="CA91" s="120">
        <v>-1492.5355927941939</v>
      </c>
      <c r="CB91" s="120">
        <v>-8031.4195004321928</v>
      </c>
      <c r="CC91" s="120">
        <v>0</v>
      </c>
      <c r="CD91" s="120">
        <v>0</v>
      </c>
      <c r="CE91" s="120">
        <v>0</v>
      </c>
      <c r="CF91" s="120">
        <v>0</v>
      </c>
      <c r="CG91" s="120">
        <v>0</v>
      </c>
      <c r="CH91" s="120">
        <v>0</v>
      </c>
      <c r="CI91" s="120">
        <v>0</v>
      </c>
      <c r="CJ91" s="120">
        <v>0</v>
      </c>
      <c r="CK91" s="120">
        <v>0</v>
      </c>
      <c r="CL91" s="120">
        <v>0</v>
      </c>
      <c r="CM91" s="120">
        <v>0</v>
      </c>
      <c r="CN91" s="120">
        <v>0</v>
      </c>
      <c r="CO91" s="120">
        <v>0</v>
      </c>
      <c r="CP91" s="120">
        <v>0</v>
      </c>
      <c r="CQ91" s="120">
        <v>0</v>
      </c>
      <c r="CR91" s="120">
        <v>0</v>
      </c>
      <c r="CS91" s="120">
        <v>0</v>
      </c>
      <c r="CT91" s="120">
        <v>0</v>
      </c>
      <c r="CU91" s="120">
        <v>0</v>
      </c>
      <c r="CV91" s="120">
        <v>0</v>
      </c>
      <c r="CW91" s="120">
        <v>0</v>
      </c>
      <c r="CX91" s="120">
        <v>0</v>
      </c>
      <c r="CY91" s="120">
        <v>0</v>
      </c>
      <c r="CZ91" s="120">
        <v>0</v>
      </c>
      <c r="DA91" s="120">
        <v>0</v>
      </c>
      <c r="DB91" s="120">
        <v>0</v>
      </c>
      <c r="DC91" s="120">
        <v>0</v>
      </c>
      <c r="DD91" s="120">
        <v>0</v>
      </c>
      <c r="DE91" s="120">
        <v>0</v>
      </c>
      <c r="DF91" s="120">
        <v>0</v>
      </c>
      <c r="DG91" s="120">
        <v>0</v>
      </c>
      <c r="DH91" s="120">
        <v>52114.190974354453</v>
      </c>
      <c r="DI91" s="120">
        <v>0</v>
      </c>
      <c r="DJ91" s="120">
        <v>0</v>
      </c>
      <c r="DK91" s="120">
        <v>0</v>
      </c>
      <c r="DL91" s="120">
        <v>0</v>
      </c>
      <c r="DM91" s="120">
        <v>0</v>
      </c>
      <c r="DN91" s="120">
        <v>-159.70655919036781</v>
      </c>
      <c r="DO91" s="120">
        <v>-8.3845943574943096</v>
      </c>
      <c r="DP91" s="120">
        <v>20736.691685877831</v>
      </c>
      <c r="DQ91" s="120">
        <v>-98.403164890668265</v>
      </c>
      <c r="DR91" s="120">
        <v>-13058.080461637501</v>
      </c>
      <c r="DS91" s="120">
        <v>0</v>
      </c>
      <c r="DT91" s="120">
        <v>0</v>
      </c>
      <c r="DU91" s="120">
        <v>0</v>
      </c>
      <c r="DV91" s="120">
        <v>0</v>
      </c>
      <c r="DW91" s="120">
        <v>0</v>
      </c>
      <c r="DX91" s="120">
        <v>0</v>
      </c>
      <c r="DY91" s="120">
        <v>0</v>
      </c>
      <c r="DZ91" s="120">
        <v>0</v>
      </c>
      <c r="EA91" s="120">
        <v>0</v>
      </c>
      <c r="EB91" s="120">
        <v>0</v>
      </c>
      <c r="EC91" s="120">
        <v>0</v>
      </c>
      <c r="ED91" s="120">
        <f t="shared" si="1"/>
        <v>78648.735262137663</v>
      </c>
    </row>
    <row r="92" spans="1:134">
      <c r="A92" s="120">
        <v>91</v>
      </c>
      <c r="B92" s="120">
        <v>0</v>
      </c>
      <c r="C92" s="120">
        <v>0</v>
      </c>
      <c r="D92" s="120">
        <v>0</v>
      </c>
      <c r="E92" s="120">
        <v>0</v>
      </c>
      <c r="F92" s="120">
        <v>0</v>
      </c>
      <c r="G92" s="120">
        <v>0</v>
      </c>
      <c r="H92" s="120">
        <v>0</v>
      </c>
      <c r="I92" s="120">
        <v>0</v>
      </c>
      <c r="J92" s="120">
        <v>0</v>
      </c>
      <c r="K92" s="120">
        <v>0</v>
      </c>
      <c r="L92" s="120">
        <v>0</v>
      </c>
      <c r="M92" s="120">
        <v>0</v>
      </c>
      <c r="N92" s="120">
        <v>0</v>
      </c>
      <c r="O92" s="120">
        <v>0</v>
      </c>
      <c r="P92" s="120">
        <v>0</v>
      </c>
      <c r="Q92" s="120">
        <v>0</v>
      </c>
      <c r="R92" s="120">
        <v>0</v>
      </c>
      <c r="S92" s="120">
        <v>0</v>
      </c>
      <c r="T92" s="120">
        <v>0</v>
      </c>
      <c r="U92" s="120">
        <v>0</v>
      </c>
      <c r="V92" s="120">
        <v>0</v>
      </c>
      <c r="W92" s="120">
        <v>0</v>
      </c>
      <c r="X92" s="120">
        <v>0</v>
      </c>
      <c r="Y92" s="120">
        <v>0</v>
      </c>
      <c r="Z92" s="120">
        <v>0</v>
      </c>
      <c r="AA92" s="120">
        <v>0</v>
      </c>
      <c r="AB92" s="120">
        <v>0</v>
      </c>
      <c r="AC92" s="120">
        <v>0</v>
      </c>
      <c r="AD92" s="120">
        <v>0</v>
      </c>
      <c r="AE92" s="120">
        <v>0</v>
      </c>
      <c r="AF92" s="120">
        <v>0</v>
      </c>
      <c r="AG92" s="120">
        <v>0</v>
      </c>
      <c r="AH92" s="120">
        <v>0</v>
      </c>
      <c r="AI92" s="120">
        <v>0</v>
      </c>
      <c r="AJ92" s="120">
        <v>0</v>
      </c>
      <c r="AK92" s="120">
        <v>0</v>
      </c>
      <c r="AL92" s="120">
        <v>0</v>
      </c>
      <c r="AM92" s="120">
        <v>0</v>
      </c>
      <c r="AN92" s="120">
        <v>0</v>
      </c>
      <c r="AO92" s="120">
        <v>0</v>
      </c>
      <c r="AP92" s="120">
        <v>0</v>
      </c>
      <c r="AQ92" s="120">
        <v>0</v>
      </c>
      <c r="AR92" s="120">
        <v>0</v>
      </c>
      <c r="AS92" s="120">
        <v>0</v>
      </c>
      <c r="AT92" s="120">
        <v>0</v>
      </c>
      <c r="AU92" s="120">
        <v>0</v>
      </c>
      <c r="AV92" s="120">
        <v>0</v>
      </c>
      <c r="AW92" s="120">
        <v>0</v>
      </c>
      <c r="AX92" s="120">
        <v>0</v>
      </c>
      <c r="AY92" s="120">
        <v>0</v>
      </c>
      <c r="AZ92" s="120">
        <v>0</v>
      </c>
      <c r="BA92" s="120">
        <v>93122.969904613477</v>
      </c>
      <c r="BB92" s="120">
        <v>0</v>
      </c>
      <c r="BC92" s="120">
        <v>0</v>
      </c>
      <c r="BD92" s="120">
        <v>0</v>
      </c>
      <c r="BE92" s="120">
        <v>0</v>
      </c>
      <c r="BF92" s="120">
        <v>0</v>
      </c>
      <c r="BG92" s="120">
        <v>0</v>
      </c>
      <c r="BH92" s="120">
        <v>0</v>
      </c>
      <c r="BI92" s="120">
        <v>0</v>
      </c>
      <c r="BJ92" s="120">
        <v>0</v>
      </c>
      <c r="BK92" s="120">
        <v>0</v>
      </c>
      <c r="BL92" s="120">
        <v>0</v>
      </c>
      <c r="BM92" s="120">
        <v>181630.19808346851</v>
      </c>
      <c r="BN92" s="120">
        <v>0</v>
      </c>
      <c r="BO92" s="120">
        <v>107677</v>
      </c>
      <c r="BP92" s="120">
        <v>0</v>
      </c>
      <c r="BQ92" s="120">
        <v>0</v>
      </c>
      <c r="BR92" s="120">
        <v>0</v>
      </c>
      <c r="BS92" s="120">
        <v>0</v>
      </c>
      <c r="BT92" s="120">
        <v>0</v>
      </c>
      <c r="BU92" s="120">
        <v>0</v>
      </c>
      <c r="BV92" s="120">
        <v>0</v>
      </c>
      <c r="BW92" s="120">
        <v>0</v>
      </c>
      <c r="BX92" s="120">
        <v>0</v>
      </c>
      <c r="BY92" s="120">
        <v>0</v>
      </c>
      <c r="BZ92" s="120">
        <v>0</v>
      </c>
      <c r="CA92" s="120">
        <v>0</v>
      </c>
      <c r="CB92" s="120">
        <v>0</v>
      </c>
      <c r="CC92" s="120">
        <v>0</v>
      </c>
      <c r="CD92" s="120">
        <v>7294.8818499832287</v>
      </c>
      <c r="CE92" s="120">
        <v>0</v>
      </c>
      <c r="CF92" s="120">
        <v>0</v>
      </c>
      <c r="CG92" s="120">
        <v>0</v>
      </c>
      <c r="CH92" s="120">
        <v>0</v>
      </c>
      <c r="CI92" s="120">
        <v>0</v>
      </c>
      <c r="CJ92" s="120">
        <v>0</v>
      </c>
      <c r="CK92" s="120">
        <v>0</v>
      </c>
      <c r="CL92" s="120">
        <v>0</v>
      </c>
      <c r="CM92" s="120">
        <v>0</v>
      </c>
      <c r="CN92" s="120">
        <v>0</v>
      </c>
      <c r="CO92" s="120">
        <v>0</v>
      </c>
      <c r="CP92" s="120">
        <v>0</v>
      </c>
      <c r="CQ92" s="120">
        <v>0</v>
      </c>
      <c r="CR92" s="120">
        <v>0</v>
      </c>
      <c r="CS92" s="120">
        <v>0</v>
      </c>
      <c r="CT92" s="120">
        <v>0</v>
      </c>
      <c r="CU92" s="120">
        <v>0</v>
      </c>
      <c r="CV92" s="120">
        <v>0</v>
      </c>
      <c r="CW92" s="120">
        <v>0</v>
      </c>
      <c r="CX92" s="120">
        <v>0</v>
      </c>
      <c r="CY92" s="120">
        <v>0</v>
      </c>
      <c r="CZ92" s="120">
        <v>0</v>
      </c>
      <c r="DA92" s="120">
        <v>0</v>
      </c>
      <c r="DB92" s="120">
        <v>0</v>
      </c>
      <c r="DC92" s="120">
        <v>0</v>
      </c>
      <c r="DD92" s="120">
        <v>0</v>
      </c>
      <c r="DE92" s="120">
        <v>0</v>
      </c>
      <c r="DF92" s="120">
        <v>0</v>
      </c>
      <c r="DG92" s="120">
        <v>0</v>
      </c>
      <c r="DH92" s="120">
        <v>0</v>
      </c>
      <c r="DI92" s="120">
        <v>0</v>
      </c>
      <c r="DJ92" s="120">
        <v>0</v>
      </c>
      <c r="DK92" s="120">
        <v>0</v>
      </c>
      <c r="DL92" s="120">
        <v>0</v>
      </c>
      <c r="DM92" s="120">
        <v>0</v>
      </c>
      <c r="DN92" s="120">
        <v>0</v>
      </c>
      <c r="DO92" s="120">
        <v>0</v>
      </c>
      <c r="DP92" s="120">
        <v>11194.412442914499</v>
      </c>
      <c r="DQ92" s="120">
        <v>0</v>
      </c>
      <c r="DR92" s="120">
        <v>-163.5507020171203</v>
      </c>
      <c r="DS92" s="120">
        <v>0</v>
      </c>
      <c r="DT92" s="120">
        <v>0</v>
      </c>
      <c r="DU92" s="120">
        <v>0</v>
      </c>
      <c r="DV92" s="120">
        <v>0</v>
      </c>
      <c r="DW92" s="120">
        <v>0</v>
      </c>
      <c r="DX92" s="120">
        <v>0</v>
      </c>
      <c r="DY92" s="120">
        <v>0</v>
      </c>
      <c r="DZ92" s="120">
        <v>0</v>
      </c>
      <c r="EA92" s="120">
        <v>0</v>
      </c>
      <c r="EB92" s="120">
        <v>0</v>
      </c>
      <c r="EC92" s="120">
        <v>0</v>
      </c>
      <c r="ED92" s="120">
        <f t="shared" si="1"/>
        <v>400755.91157896264</v>
      </c>
    </row>
    <row r="93" spans="1:134">
      <c r="A93" s="120">
        <v>92</v>
      </c>
      <c r="B93" s="120">
        <v>0</v>
      </c>
      <c r="C93" s="120">
        <v>0</v>
      </c>
      <c r="D93" s="120">
        <v>0</v>
      </c>
      <c r="E93" s="120">
        <v>0</v>
      </c>
      <c r="F93" s="120">
        <v>0</v>
      </c>
      <c r="G93" s="120">
        <v>0</v>
      </c>
      <c r="H93" s="120">
        <v>0</v>
      </c>
      <c r="I93" s="120">
        <v>51274.160970751916</v>
      </c>
      <c r="J93" s="120">
        <v>0</v>
      </c>
      <c r="K93" s="120">
        <v>0</v>
      </c>
      <c r="L93" s="120">
        <v>0</v>
      </c>
      <c r="M93" s="120">
        <v>0</v>
      </c>
      <c r="N93" s="120">
        <v>0</v>
      </c>
      <c r="O93" s="120">
        <v>0</v>
      </c>
      <c r="P93" s="120">
        <v>0</v>
      </c>
      <c r="Q93" s="120">
        <v>0</v>
      </c>
      <c r="R93" s="120">
        <v>0</v>
      </c>
      <c r="S93" s="120">
        <v>0</v>
      </c>
      <c r="T93" s="120">
        <v>0</v>
      </c>
      <c r="U93" s="120">
        <v>0</v>
      </c>
      <c r="V93" s="120">
        <v>0</v>
      </c>
      <c r="W93" s="120">
        <v>0</v>
      </c>
      <c r="X93" s="120">
        <v>0</v>
      </c>
      <c r="Y93" s="120">
        <v>0</v>
      </c>
      <c r="Z93" s="120">
        <v>0</v>
      </c>
      <c r="AA93" s="120">
        <v>0</v>
      </c>
      <c r="AB93" s="120">
        <v>0</v>
      </c>
      <c r="AC93" s="120">
        <v>0</v>
      </c>
      <c r="AD93" s="120">
        <v>0</v>
      </c>
      <c r="AE93" s="120">
        <v>0</v>
      </c>
      <c r="AF93" s="120">
        <v>0</v>
      </c>
      <c r="AG93" s="120">
        <v>0</v>
      </c>
      <c r="AH93" s="120">
        <v>0</v>
      </c>
      <c r="AI93" s="120">
        <v>0</v>
      </c>
      <c r="AJ93" s="120">
        <v>0</v>
      </c>
      <c r="AK93" s="120">
        <v>0</v>
      </c>
      <c r="AL93" s="120">
        <v>0</v>
      </c>
      <c r="AM93" s="120">
        <v>0</v>
      </c>
      <c r="AN93" s="120">
        <v>0</v>
      </c>
      <c r="AO93" s="120">
        <v>0</v>
      </c>
      <c r="AP93" s="120">
        <v>0</v>
      </c>
      <c r="AQ93" s="120">
        <v>0</v>
      </c>
      <c r="AR93" s="120">
        <v>0</v>
      </c>
      <c r="AS93" s="120">
        <v>0</v>
      </c>
      <c r="AT93" s="120">
        <v>0</v>
      </c>
      <c r="AU93" s="120">
        <v>0</v>
      </c>
      <c r="AV93" s="120">
        <v>0</v>
      </c>
      <c r="AW93" s="120">
        <v>0</v>
      </c>
      <c r="AX93" s="120">
        <v>0</v>
      </c>
      <c r="AY93" s="120">
        <v>0</v>
      </c>
      <c r="AZ93" s="120">
        <v>0</v>
      </c>
      <c r="BA93" s="120">
        <v>44534.224845010511</v>
      </c>
      <c r="BB93" s="120">
        <v>0</v>
      </c>
      <c r="BC93" s="120">
        <v>0</v>
      </c>
      <c r="BD93" s="120">
        <v>0</v>
      </c>
      <c r="BE93" s="120">
        <v>0</v>
      </c>
      <c r="BF93" s="120">
        <v>0</v>
      </c>
      <c r="BG93" s="120">
        <v>0</v>
      </c>
      <c r="BH93" s="120">
        <v>0</v>
      </c>
      <c r="BI93" s="120">
        <v>0</v>
      </c>
      <c r="BJ93" s="120">
        <v>0</v>
      </c>
      <c r="BK93" s="120">
        <v>0</v>
      </c>
      <c r="BL93" s="120">
        <v>0</v>
      </c>
      <c r="BM93" s="120">
        <v>0</v>
      </c>
      <c r="BN93" s="120">
        <v>0</v>
      </c>
      <c r="BO93" s="120">
        <v>0</v>
      </c>
      <c r="BP93" s="120">
        <v>0</v>
      </c>
      <c r="BQ93" s="120">
        <v>0</v>
      </c>
      <c r="BR93" s="120">
        <v>0</v>
      </c>
      <c r="BS93" s="120">
        <v>0</v>
      </c>
      <c r="BT93" s="120">
        <v>0</v>
      </c>
      <c r="BU93" s="120">
        <v>0</v>
      </c>
      <c r="BV93" s="120">
        <v>0</v>
      </c>
      <c r="BW93" s="120">
        <v>0</v>
      </c>
      <c r="BX93" s="120">
        <v>0</v>
      </c>
      <c r="BY93" s="120">
        <v>0</v>
      </c>
      <c r="BZ93" s="120">
        <v>0</v>
      </c>
      <c r="CA93" s="120">
        <v>0</v>
      </c>
      <c r="CB93" s="120">
        <v>0</v>
      </c>
      <c r="CC93" s="120">
        <v>0</v>
      </c>
      <c r="CD93" s="120">
        <v>0</v>
      </c>
      <c r="CE93" s="120">
        <v>0</v>
      </c>
      <c r="CF93" s="120">
        <v>0</v>
      </c>
      <c r="CG93" s="120">
        <v>0</v>
      </c>
      <c r="CH93" s="120">
        <v>0</v>
      </c>
      <c r="CI93" s="120">
        <v>0</v>
      </c>
      <c r="CJ93" s="120">
        <v>0</v>
      </c>
      <c r="CK93" s="120">
        <v>0</v>
      </c>
      <c r="CL93" s="120">
        <v>0</v>
      </c>
      <c r="CM93" s="120">
        <v>0</v>
      </c>
      <c r="CN93" s="120">
        <v>0</v>
      </c>
      <c r="CO93" s="120">
        <v>0</v>
      </c>
      <c r="CP93" s="120">
        <v>0</v>
      </c>
      <c r="CQ93" s="120">
        <v>0</v>
      </c>
      <c r="CR93" s="120">
        <v>0</v>
      </c>
      <c r="CS93" s="120">
        <v>0</v>
      </c>
      <c r="CT93" s="120">
        <v>0</v>
      </c>
      <c r="CU93" s="120">
        <v>0</v>
      </c>
      <c r="CV93" s="120">
        <v>0</v>
      </c>
      <c r="CW93" s="120">
        <v>0</v>
      </c>
      <c r="CX93" s="120">
        <v>0</v>
      </c>
      <c r="CY93" s="120">
        <v>0</v>
      </c>
      <c r="CZ93" s="120">
        <v>0</v>
      </c>
      <c r="DA93" s="120">
        <v>0</v>
      </c>
      <c r="DB93" s="120">
        <v>0</v>
      </c>
      <c r="DC93" s="120">
        <v>0</v>
      </c>
      <c r="DD93" s="120">
        <v>0</v>
      </c>
      <c r="DE93" s="120">
        <v>0</v>
      </c>
      <c r="DF93" s="120">
        <v>0</v>
      </c>
      <c r="DG93" s="120">
        <v>0</v>
      </c>
      <c r="DH93" s="120">
        <v>73463.375854146056</v>
      </c>
      <c r="DI93" s="120">
        <v>0</v>
      </c>
      <c r="DJ93" s="120">
        <v>0</v>
      </c>
      <c r="DK93" s="120">
        <v>0</v>
      </c>
      <c r="DL93" s="120">
        <v>0</v>
      </c>
      <c r="DM93" s="120">
        <v>0</v>
      </c>
      <c r="DN93" s="120">
        <v>0</v>
      </c>
      <c r="DO93" s="120">
        <v>0</v>
      </c>
      <c r="DP93" s="120">
        <v>1745.27823330366</v>
      </c>
      <c r="DQ93" s="120">
        <v>0</v>
      </c>
      <c r="DR93" s="120">
        <v>-716.26853736548105</v>
      </c>
      <c r="DS93" s="120">
        <v>0</v>
      </c>
      <c r="DT93" s="120">
        <v>0</v>
      </c>
      <c r="DU93" s="120">
        <v>0</v>
      </c>
      <c r="DV93" s="120">
        <v>3232.6936178620831</v>
      </c>
      <c r="DW93" s="120">
        <v>0</v>
      </c>
      <c r="DX93" s="120">
        <v>0</v>
      </c>
      <c r="DY93" s="120">
        <v>3845.2179759203809</v>
      </c>
      <c r="DZ93" s="120">
        <v>0</v>
      </c>
      <c r="EA93" s="120">
        <v>0</v>
      </c>
      <c r="EB93" s="120">
        <v>9255.4975608511286</v>
      </c>
      <c r="EC93" s="120">
        <v>0</v>
      </c>
      <c r="ED93" s="120">
        <f t="shared" si="1"/>
        <v>186634.18052048027</v>
      </c>
    </row>
    <row r="94" spans="1:134">
      <c r="A94" s="120">
        <v>93</v>
      </c>
      <c r="B94" s="120">
        <v>0</v>
      </c>
      <c r="C94" s="120">
        <v>0</v>
      </c>
      <c r="D94" s="120">
        <v>0</v>
      </c>
      <c r="E94" s="120">
        <v>0</v>
      </c>
      <c r="F94" s="120">
        <v>0</v>
      </c>
      <c r="G94" s="120">
        <v>0</v>
      </c>
      <c r="H94" s="120">
        <v>0</v>
      </c>
      <c r="I94" s="120">
        <v>0</v>
      </c>
      <c r="J94" s="120">
        <v>0</v>
      </c>
      <c r="K94" s="120">
        <v>0</v>
      </c>
      <c r="L94" s="120">
        <v>30590.026033585051</v>
      </c>
      <c r="M94" s="120">
        <v>0</v>
      </c>
      <c r="N94" s="120">
        <v>0</v>
      </c>
      <c r="O94" s="120">
        <v>0</v>
      </c>
      <c r="P94" s="120">
        <v>8150.6551473262998</v>
      </c>
      <c r="Q94" s="120">
        <v>0</v>
      </c>
      <c r="R94" s="120">
        <v>0</v>
      </c>
      <c r="S94" s="120">
        <v>0</v>
      </c>
      <c r="T94" s="120">
        <v>0</v>
      </c>
      <c r="U94" s="120">
        <v>0</v>
      </c>
      <c r="V94" s="120">
        <v>0</v>
      </c>
      <c r="W94" s="120">
        <v>0</v>
      </c>
      <c r="X94" s="120">
        <v>0</v>
      </c>
      <c r="Y94" s="120">
        <v>0</v>
      </c>
      <c r="Z94" s="120">
        <v>0</v>
      </c>
      <c r="AA94" s="120">
        <v>0</v>
      </c>
      <c r="AB94" s="120">
        <v>0</v>
      </c>
      <c r="AC94" s="120">
        <v>0</v>
      </c>
      <c r="AD94" s="120">
        <v>0</v>
      </c>
      <c r="AE94" s="120">
        <v>0</v>
      </c>
      <c r="AF94" s="120">
        <v>0</v>
      </c>
      <c r="AG94" s="120">
        <v>95719.80714428486</v>
      </c>
      <c r="AH94" s="120">
        <v>0</v>
      </c>
      <c r="AI94" s="120">
        <v>0</v>
      </c>
      <c r="AJ94" s="120">
        <v>0</v>
      </c>
      <c r="AK94" s="120">
        <v>0</v>
      </c>
      <c r="AL94" s="120">
        <v>0</v>
      </c>
      <c r="AM94" s="120">
        <v>0</v>
      </c>
      <c r="AN94" s="120">
        <v>0</v>
      </c>
      <c r="AO94" s="120">
        <v>0</v>
      </c>
      <c r="AP94" s="120">
        <v>0</v>
      </c>
      <c r="AQ94" s="120">
        <v>0</v>
      </c>
      <c r="AR94" s="120">
        <v>0</v>
      </c>
      <c r="AS94" s="120">
        <v>0</v>
      </c>
      <c r="AT94" s="120">
        <v>0</v>
      </c>
      <c r="AU94" s="120">
        <v>0</v>
      </c>
      <c r="AV94" s="120">
        <v>0</v>
      </c>
      <c r="AW94" s="120">
        <v>0</v>
      </c>
      <c r="AX94" s="120">
        <v>0</v>
      </c>
      <c r="AY94" s="120">
        <v>0</v>
      </c>
      <c r="AZ94" s="120">
        <v>5681.6223026578473</v>
      </c>
      <c r="BA94" s="120">
        <v>6683.7173408535627</v>
      </c>
      <c r="BB94" s="120">
        <v>0</v>
      </c>
      <c r="BC94" s="120">
        <v>0</v>
      </c>
      <c r="BD94" s="120">
        <v>0</v>
      </c>
      <c r="BE94" s="120">
        <v>0</v>
      </c>
      <c r="BF94" s="120">
        <v>0</v>
      </c>
      <c r="BG94" s="120">
        <v>0</v>
      </c>
      <c r="BH94" s="120">
        <v>0</v>
      </c>
      <c r="BI94" s="120">
        <v>0</v>
      </c>
      <c r="BJ94" s="120">
        <v>0</v>
      </c>
      <c r="BK94" s="120">
        <v>0</v>
      </c>
      <c r="BL94" s="120">
        <v>0</v>
      </c>
      <c r="BM94" s="120">
        <v>0</v>
      </c>
      <c r="BN94" s="120">
        <v>0</v>
      </c>
      <c r="BO94" s="120">
        <v>0</v>
      </c>
      <c r="BP94" s="120">
        <v>0</v>
      </c>
      <c r="BQ94" s="120">
        <v>0</v>
      </c>
      <c r="BR94" s="120">
        <v>0</v>
      </c>
      <c r="BS94" s="120">
        <v>0</v>
      </c>
      <c r="BT94" s="120">
        <v>0</v>
      </c>
      <c r="BU94" s="120">
        <v>0</v>
      </c>
      <c r="BV94" s="120">
        <v>0</v>
      </c>
      <c r="BW94" s="120">
        <v>0</v>
      </c>
      <c r="BX94" s="120">
        <v>0</v>
      </c>
      <c r="BY94" s="120">
        <v>6986.9409646161903</v>
      </c>
      <c r="BZ94" s="120">
        <v>-2884.6627826362342</v>
      </c>
      <c r="CA94" s="120">
        <v>-8280.7791194880174</v>
      </c>
      <c r="CB94" s="120">
        <v>-22041.673234076348</v>
      </c>
      <c r="CC94" s="120">
        <v>0</v>
      </c>
      <c r="CD94" s="120">
        <v>0</v>
      </c>
      <c r="CE94" s="120">
        <v>0</v>
      </c>
      <c r="CF94" s="120">
        <v>0</v>
      </c>
      <c r="CG94" s="120">
        <v>0</v>
      </c>
      <c r="CH94" s="120">
        <v>0</v>
      </c>
      <c r="CI94" s="120">
        <v>0</v>
      </c>
      <c r="CJ94" s="120">
        <v>0</v>
      </c>
      <c r="CK94" s="120">
        <v>0</v>
      </c>
      <c r="CL94" s="120">
        <v>0</v>
      </c>
      <c r="CM94" s="120">
        <v>0</v>
      </c>
      <c r="CN94" s="120">
        <v>0</v>
      </c>
      <c r="CO94" s="120">
        <v>0</v>
      </c>
      <c r="CP94" s="120">
        <v>0</v>
      </c>
      <c r="CQ94" s="120">
        <v>0</v>
      </c>
      <c r="CR94" s="120">
        <v>0</v>
      </c>
      <c r="CS94" s="120">
        <v>0</v>
      </c>
      <c r="CT94" s="120">
        <v>0</v>
      </c>
      <c r="CU94" s="120">
        <v>0</v>
      </c>
      <c r="CV94" s="120">
        <v>0</v>
      </c>
      <c r="CW94" s="120">
        <v>0</v>
      </c>
      <c r="CX94" s="120">
        <v>0</v>
      </c>
      <c r="CY94" s="120">
        <v>0</v>
      </c>
      <c r="CZ94" s="120">
        <v>0</v>
      </c>
      <c r="DA94" s="120">
        <v>0</v>
      </c>
      <c r="DB94" s="120">
        <v>0</v>
      </c>
      <c r="DC94" s="120">
        <v>0</v>
      </c>
      <c r="DD94" s="120">
        <v>0</v>
      </c>
      <c r="DE94" s="120">
        <v>0</v>
      </c>
      <c r="DF94" s="120">
        <v>0</v>
      </c>
      <c r="DG94" s="120">
        <v>0</v>
      </c>
      <c r="DH94" s="120">
        <v>54807.065681746877</v>
      </c>
      <c r="DI94" s="120">
        <v>0</v>
      </c>
      <c r="DJ94" s="120">
        <v>0</v>
      </c>
      <c r="DK94" s="120">
        <v>0</v>
      </c>
      <c r="DL94" s="120">
        <v>0</v>
      </c>
      <c r="DM94" s="120">
        <v>0</v>
      </c>
      <c r="DN94" s="120">
        <v>-311.83873127527431</v>
      </c>
      <c r="DO94" s="120">
        <v>3.771222111974232</v>
      </c>
      <c r="DP94" s="120">
        <v>10748.61735176137</v>
      </c>
      <c r="DQ94" s="120">
        <v>-794.09865266401346</v>
      </c>
      <c r="DR94" s="120">
        <v>-4715.7895966549486</v>
      </c>
      <c r="DS94" s="120">
        <v>0</v>
      </c>
      <c r="DT94" s="120">
        <v>0</v>
      </c>
      <c r="DU94" s="120">
        <v>0</v>
      </c>
      <c r="DV94" s="120">
        <v>0</v>
      </c>
      <c r="DW94" s="120">
        <v>0</v>
      </c>
      <c r="DX94" s="120">
        <v>0</v>
      </c>
      <c r="DY94" s="120">
        <v>0</v>
      </c>
      <c r="DZ94" s="120">
        <v>0</v>
      </c>
      <c r="EA94" s="120">
        <v>0</v>
      </c>
      <c r="EB94" s="120">
        <v>0</v>
      </c>
      <c r="EC94" s="120">
        <v>0</v>
      </c>
      <c r="ED94" s="120">
        <f t="shared" si="1"/>
        <v>180343.38107214918</v>
      </c>
    </row>
    <row r="95" spans="1:134">
      <c r="A95" s="120">
        <v>94</v>
      </c>
      <c r="B95" s="120">
        <v>0</v>
      </c>
      <c r="C95" s="120">
        <v>0</v>
      </c>
      <c r="D95" s="120">
        <v>0</v>
      </c>
      <c r="E95" s="120">
        <v>0</v>
      </c>
      <c r="F95" s="120">
        <v>0</v>
      </c>
      <c r="G95" s="120">
        <v>0</v>
      </c>
      <c r="H95" s="120">
        <v>0</v>
      </c>
      <c r="I95" s="120">
        <v>0</v>
      </c>
      <c r="J95" s="120">
        <v>0</v>
      </c>
      <c r="K95" s="120">
        <v>0</v>
      </c>
      <c r="L95" s="120">
        <v>0</v>
      </c>
      <c r="M95" s="120">
        <v>0</v>
      </c>
      <c r="N95" s="120">
        <v>0</v>
      </c>
      <c r="O95" s="120">
        <v>0</v>
      </c>
      <c r="P95" s="120">
        <v>0</v>
      </c>
      <c r="Q95" s="120">
        <v>0</v>
      </c>
      <c r="R95" s="120">
        <v>0</v>
      </c>
      <c r="S95" s="120">
        <v>0</v>
      </c>
      <c r="T95" s="120">
        <v>0</v>
      </c>
      <c r="U95" s="120">
        <v>0</v>
      </c>
      <c r="V95" s="120">
        <v>0</v>
      </c>
      <c r="W95" s="120">
        <v>0</v>
      </c>
      <c r="X95" s="120">
        <v>0</v>
      </c>
      <c r="Y95" s="120">
        <v>0</v>
      </c>
      <c r="Z95" s="120">
        <v>0</v>
      </c>
      <c r="AA95" s="120">
        <v>0</v>
      </c>
      <c r="AB95" s="120">
        <v>0</v>
      </c>
      <c r="AC95" s="120">
        <v>0</v>
      </c>
      <c r="AD95" s="120">
        <v>0</v>
      </c>
      <c r="AE95" s="120">
        <v>0</v>
      </c>
      <c r="AF95" s="120">
        <v>0</v>
      </c>
      <c r="AG95" s="120">
        <v>0</v>
      </c>
      <c r="AH95" s="120">
        <v>0</v>
      </c>
      <c r="AI95" s="120">
        <v>0</v>
      </c>
      <c r="AJ95" s="120">
        <v>0</v>
      </c>
      <c r="AK95" s="120">
        <v>0</v>
      </c>
      <c r="AL95" s="120">
        <v>0</v>
      </c>
      <c r="AM95" s="120">
        <v>0</v>
      </c>
      <c r="AN95" s="120">
        <v>0</v>
      </c>
      <c r="AO95" s="120">
        <v>0</v>
      </c>
      <c r="AP95" s="120">
        <v>0</v>
      </c>
      <c r="AQ95" s="120">
        <v>0</v>
      </c>
      <c r="AR95" s="120">
        <v>0</v>
      </c>
      <c r="AS95" s="120">
        <v>0</v>
      </c>
      <c r="AT95" s="120">
        <v>0</v>
      </c>
      <c r="AU95" s="120">
        <v>0</v>
      </c>
      <c r="AV95" s="120">
        <v>0</v>
      </c>
      <c r="AW95" s="120">
        <v>0</v>
      </c>
      <c r="AX95" s="120">
        <v>0</v>
      </c>
      <c r="AY95" s="120">
        <v>0</v>
      </c>
      <c r="AZ95" s="120">
        <v>0</v>
      </c>
      <c r="BA95" s="120">
        <v>0</v>
      </c>
      <c r="BB95" s="120">
        <v>0</v>
      </c>
      <c r="BC95" s="120">
        <v>0</v>
      </c>
      <c r="BD95" s="120">
        <v>0</v>
      </c>
      <c r="BE95" s="120">
        <v>0</v>
      </c>
      <c r="BF95" s="120">
        <v>0</v>
      </c>
      <c r="BG95" s="120">
        <v>249961.49380817669</v>
      </c>
      <c r="BH95" s="120">
        <v>131857.01572626809</v>
      </c>
      <c r="BI95" s="120">
        <v>0</v>
      </c>
      <c r="BJ95" s="120">
        <v>0</v>
      </c>
      <c r="BK95" s="120">
        <v>0</v>
      </c>
      <c r="BL95" s="120">
        <v>0</v>
      </c>
      <c r="BM95" s="120">
        <v>0</v>
      </c>
      <c r="BN95" s="120">
        <v>0</v>
      </c>
      <c r="BO95" s="120">
        <v>0</v>
      </c>
      <c r="BP95" s="120">
        <v>0</v>
      </c>
      <c r="BQ95" s="120">
        <v>0</v>
      </c>
      <c r="BR95" s="120">
        <v>0</v>
      </c>
      <c r="BS95" s="120">
        <v>0</v>
      </c>
      <c r="BT95" s="120">
        <v>0</v>
      </c>
      <c r="BU95" s="120">
        <v>0</v>
      </c>
      <c r="BV95" s="120">
        <v>0</v>
      </c>
      <c r="BW95" s="120">
        <v>0</v>
      </c>
      <c r="BX95" s="120">
        <v>0</v>
      </c>
      <c r="BY95" s="120">
        <v>0</v>
      </c>
      <c r="BZ95" s="120">
        <v>0</v>
      </c>
      <c r="CA95" s="120">
        <v>0</v>
      </c>
      <c r="CB95" s="120">
        <v>0</v>
      </c>
      <c r="CC95" s="120">
        <v>0</v>
      </c>
      <c r="CD95" s="120">
        <v>0</v>
      </c>
      <c r="CE95" s="120">
        <v>0</v>
      </c>
      <c r="CF95" s="120">
        <v>0</v>
      </c>
      <c r="CG95" s="120">
        <v>0</v>
      </c>
      <c r="CH95" s="120">
        <v>0</v>
      </c>
      <c r="CI95" s="120">
        <v>0</v>
      </c>
      <c r="CJ95" s="120">
        <v>0</v>
      </c>
      <c r="CK95" s="120">
        <v>0</v>
      </c>
      <c r="CL95" s="120">
        <v>0</v>
      </c>
      <c r="CM95" s="120">
        <v>0</v>
      </c>
      <c r="CN95" s="120">
        <v>0</v>
      </c>
      <c r="CO95" s="120">
        <v>0</v>
      </c>
      <c r="CP95" s="120">
        <v>0</v>
      </c>
      <c r="CQ95" s="120">
        <v>0</v>
      </c>
      <c r="CR95" s="120">
        <v>0</v>
      </c>
      <c r="CS95" s="120">
        <v>0</v>
      </c>
      <c r="CT95" s="120">
        <v>0</v>
      </c>
      <c r="CU95" s="120">
        <v>0</v>
      </c>
      <c r="CV95" s="120">
        <v>0</v>
      </c>
      <c r="CW95" s="120">
        <v>0</v>
      </c>
      <c r="CX95" s="120">
        <v>0</v>
      </c>
      <c r="CY95" s="120">
        <v>0</v>
      </c>
      <c r="CZ95" s="120">
        <v>0</v>
      </c>
      <c r="DA95" s="120">
        <v>0</v>
      </c>
      <c r="DB95" s="120">
        <v>0</v>
      </c>
      <c r="DC95" s="120">
        <v>0</v>
      </c>
      <c r="DD95" s="120">
        <v>0</v>
      </c>
      <c r="DE95" s="120">
        <v>0</v>
      </c>
      <c r="DF95" s="120">
        <v>0</v>
      </c>
      <c r="DG95" s="120">
        <v>0</v>
      </c>
      <c r="DH95" s="120">
        <v>0</v>
      </c>
      <c r="DI95" s="120">
        <v>0</v>
      </c>
      <c r="DJ95" s="120">
        <v>0</v>
      </c>
      <c r="DK95" s="120">
        <v>0</v>
      </c>
      <c r="DL95" s="120">
        <v>0</v>
      </c>
      <c r="DM95" s="120">
        <v>0</v>
      </c>
      <c r="DN95" s="120">
        <v>0</v>
      </c>
      <c r="DO95" s="120">
        <v>0</v>
      </c>
      <c r="DP95" s="120">
        <v>84887.439469654099</v>
      </c>
      <c r="DQ95" s="120">
        <v>0</v>
      </c>
      <c r="DR95" s="120">
        <v>-10788.57395541169</v>
      </c>
      <c r="DS95" s="120">
        <v>0</v>
      </c>
      <c r="DT95" s="120">
        <v>0</v>
      </c>
      <c r="DU95" s="120">
        <v>0</v>
      </c>
      <c r="DV95" s="120">
        <v>0</v>
      </c>
      <c r="DW95" s="120">
        <v>0</v>
      </c>
      <c r="DX95" s="120">
        <v>0</v>
      </c>
      <c r="DY95" s="120">
        <v>0</v>
      </c>
      <c r="DZ95" s="120">
        <v>0</v>
      </c>
      <c r="EA95" s="120">
        <v>0</v>
      </c>
      <c r="EB95" s="120">
        <v>0</v>
      </c>
      <c r="EC95" s="120">
        <v>0</v>
      </c>
      <c r="ED95" s="120">
        <f t="shared" si="1"/>
        <v>455917.37504868722</v>
      </c>
    </row>
    <row r="96" spans="1:134">
      <c r="A96" s="120">
        <v>95</v>
      </c>
      <c r="B96" s="120">
        <v>0</v>
      </c>
      <c r="C96" s="120">
        <v>0</v>
      </c>
      <c r="D96" s="120">
        <v>0</v>
      </c>
      <c r="E96" s="120">
        <v>0</v>
      </c>
      <c r="F96" s="120">
        <v>0</v>
      </c>
      <c r="G96" s="120">
        <v>0</v>
      </c>
      <c r="H96" s="120">
        <v>0</v>
      </c>
      <c r="I96" s="120">
        <v>0</v>
      </c>
      <c r="J96" s="120">
        <v>0</v>
      </c>
      <c r="K96" s="120">
        <v>0</v>
      </c>
      <c r="L96" s="120">
        <v>0</v>
      </c>
      <c r="M96" s="120">
        <v>0</v>
      </c>
      <c r="N96" s="120">
        <v>0</v>
      </c>
      <c r="O96" s="120">
        <v>0</v>
      </c>
      <c r="P96" s="120">
        <v>0</v>
      </c>
      <c r="Q96" s="120">
        <v>0</v>
      </c>
      <c r="R96" s="120">
        <v>0</v>
      </c>
      <c r="S96" s="120">
        <v>0</v>
      </c>
      <c r="T96" s="120">
        <v>0</v>
      </c>
      <c r="U96" s="120">
        <v>0</v>
      </c>
      <c r="V96" s="120">
        <v>0</v>
      </c>
      <c r="W96" s="120">
        <v>0</v>
      </c>
      <c r="X96" s="120">
        <v>0</v>
      </c>
      <c r="Y96" s="120">
        <v>0</v>
      </c>
      <c r="Z96" s="120">
        <v>0</v>
      </c>
      <c r="AA96" s="120">
        <v>0</v>
      </c>
      <c r="AB96" s="120">
        <v>0</v>
      </c>
      <c r="AC96" s="120">
        <v>0</v>
      </c>
      <c r="AD96" s="120">
        <v>0</v>
      </c>
      <c r="AE96" s="120">
        <v>0</v>
      </c>
      <c r="AF96" s="120">
        <v>0</v>
      </c>
      <c r="AG96" s="120">
        <v>0</v>
      </c>
      <c r="AH96" s="120">
        <v>0</v>
      </c>
      <c r="AI96" s="120">
        <v>0</v>
      </c>
      <c r="AJ96" s="120">
        <v>0</v>
      </c>
      <c r="AK96" s="120">
        <v>0</v>
      </c>
      <c r="AL96" s="120">
        <v>0</v>
      </c>
      <c r="AM96" s="120">
        <v>0</v>
      </c>
      <c r="AN96" s="120">
        <v>0</v>
      </c>
      <c r="AO96" s="120">
        <v>0</v>
      </c>
      <c r="AP96" s="120">
        <v>0</v>
      </c>
      <c r="AQ96" s="120">
        <v>0</v>
      </c>
      <c r="AR96" s="120">
        <v>0</v>
      </c>
      <c r="AS96" s="120">
        <v>0</v>
      </c>
      <c r="AT96" s="120">
        <v>0</v>
      </c>
      <c r="AU96" s="120">
        <v>0</v>
      </c>
      <c r="AV96" s="120">
        <v>0</v>
      </c>
      <c r="AW96" s="120">
        <v>0</v>
      </c>
      <c r="AX96" s="120">
        <v>0</v>
      </c>
      <c r="AY96" s="120">
        <v>0</v>
      </c>
      <c r="AZ96" s="120">
        <v>0</v>
      </c>
      <c r="BA96" s="120">
        <v>0</v>
      </c>
      <c r="BB96" s="120">
        <v>0</v>
      </c>
      <c r="BC96" s="120">
        <v>0</v>
      </c>
      <c r="BD96" s="120">
        <v>0</v>
      </c>
      <c r="BE96" s="120">
        <v>0</v>
      </c>
      <c r="BF96" s="120">
        <v>0</v>
      </c>
      <c r="BG96" s="120">
        <v>0</v>
      </c>
      <c r="BH96" s="120">
        <v>294292.20550012222</v>
      </c>
      <c r="BI96" s="120">
        <v>0</v>
      </c>
      <c r="BJ96" s="120">
        <v>0</v>
      </c>
      <c r="BK96" s="120">
        <v>0</v>
      </c>
      <c r="BL96" s="120">
        <v>0</v>
      </c>
      <c r="BM96" s="120">
        <v>0</v>
      </c>
      <c r="BN96" s="120">
        <v>0</v>
      </c>
      <c r="BO96" s="120">
        <v>0</v>
      </c>
      <c r="BP96" s="120">
        <v>0</v>
      </c>
      <c r="BQ96" s="120">
        <v>0</v>
      </c>
      <c r="BR96" s="120">
        <v>0</v>
      </c>
      <c r="BS96" s="120">
        <v>0</v>
      </c>
      <c r="BT96" s="120">
        <v>0</v>
      </c>
      <c r="BU96" s="120">
        <v>0</v>
      </c>
      <c r="BV96" s="120">
        <v>0</v>
      </c>
      <c r="BW96" s="120">
        <v>0</v>
      </c>
      <c r="BX96" s="120">
        <v>0</v>
      </c>
      <c r="BY96" s="120">
        <v>0</v>
      </c>
      <c r="BZ96" s="120">
        <v>0</v>
      </c>
      <c r="CA96" s="120">
        <v>0</v>
      </c>
      <c r="CB96" s="120">
        <v>0</v>
      </c>
      <c r="CC96" s="120">
        <v>0</v>
      </c>
      <c r="CD96" s="120">
        <v>0</v>
      </c>
      <c r="CE96" s="120">
        <v>0</v>
      </c>
      <c r="CF96" s="120">
        <v>0</v>
      </c>
      <c r="CG96" s="120">
        <v>0</v>
      </c>
      <c r="CH96" s="120">
        <v>0</v>
      </c>
      <c r="CI96" s="120">
        <v>0</v>
      </c>
      <c r="CJ96" s="120">
        <v>0</v>
      </c>
      <c r="CK96" s="120">
        <v>0</v>
      </c>
      <c r="CL96" s="120">
        <v>0</v>
      </c>
      <c r="CM96" s="120">
        <v>0</v>
      </c>
      <c r="CN96" s="120">
        <v>0</v>
      </c>
      <c r="CO96" s="120">
        <v>0</v>
      </c>
      <c r="CP96" s="120">
        <v>0</v>
      </c>
      <c r="CQ96" s="120">
        <v>0</v>
      </c>
      <c r="CR96" s="120">
        <v>0</v>
      </c>
      <c r="CS96" s="120">
        <v>0</v>
      </c>
      <c r="CT96" s="120">
        <v>0</v>
      </c>
      <c r="CU96" s="120">
        <v>0</v>
      </c>
      <c r="CV96" s="120">
        <v>0</v>
      </c>
      <c r="CW96" s="120">
        <v>0</v>
      </c>
      <c r="CX96" s="120">
        <v>0</v>
      </c>
      <c r="CY96" s="120">
        <v>0</v>
      </c>
      <c r="CZ96" s="120">
        <v>0</v>
      </c>
      <c r="DA96" s="120">
        <v>0</v>
      </c>
      <c r="DB96" s="120">
        <v>0</v>
      </c>
      <c r="DC96" s="120">
        <v>0</v>
      </c>
      <c r="DD96" s="120">
        <v>0</v>
      </c>
      <c r="DE96" s="120">
        <v>0</v>
      </c>
      <c r="DF96" s="120">
        <v>0</v>
      </c>
      <c r="DG96" s="120">
        <v>0</v>
      </c>
      <c r="DH96" s="120">
        <v>0</v>
      </c>
      <c r="DI96" s="120">
        <v>0</v>
      </c>
      <c r="DJ96" s="120">
        <v>0</v>
      </c>
      <c r="DK96" s="120">
        <v>0</v>
      </c>
      <c r="DL96" s="120">
        <v>0</v>
      </c>
      <c r="DM96" s="120">
        <v>0</v>
      </c>
      <c r="DN96" s="120">
        <v>0</v>
      </c>
      <c r="DO96" s="120">
        <v>0</v>
      </c>
      <c r="DP96" s="120">
        <v>85236.556553429444</v>
      </c>
      <c r="DQ96" s="120">
        <v>0</v>
      </c>
      <c r="DR96" s="120">
        <v>-58.68584013555494</v>
      </c>
      <c r="DS96" s="120">
        <v>0</v>
      </c>
      <c r="DT96" s="120">
        <v>0</v>
      </c>
      <c r="DU96" s="120">
        <v>0</v>
      </c>
      <c r="DV96" s="120">
        <v>0</v>
      </c>
      <c r="DW96" s="120">
        <v>0</v>
      </c>
      <c r="DX96" s="120">
        <v>0</v>
      </c>
      <c r="DY96" s="120">
        <v>0</v>
      </c>
      <c r="DZ96" s="120">
        <v>0</v>
      </c>
      <c r="EA96" s="120">
        <v>0</v>
      </c>
      <c r="EB96" s="120">
        <v>0</v>
      </c>
      <c r="EC96" s="120">
        <v>0</v>
      </c>
      <c r="ED96" s="120">
        <f t="shared" si="1"/>
        <v>379470.07621341612</v>
      </c>
    </row>
    <row r="97" spans="1:134">
      <c r="A97" s="120">
        <v>96</v>
      </c>
      <c r="B97" s="120">
        <v>0</v>
      </c>
      <c r="C97" s="120">
        <v>0</v>
      </c>
      <c r="D97" s="120">
        <v>0</v>
      </c>
      <c r="E97" s="120">
        <v>0</v>
      </c>
      <c r="F97" s="120">
        <v>0</v>
      </c>
      <c r="G97" s="120">
        <v>0</v>
      </c>
      <c r="H97" s="120">
        <v>0</v>
      </c>
      <c r="I97" s="120">
        <v>0</v>
      </c>
      <c r="J97" s="120">
        <v>0</v>
      </c>
      <c r="K97" s="120">
        <v>0</v>
      </c>
      <c r="L97" s="120">
        <v>0</v>
      </c>
      <c r="M97" s="120">
        <v>0</v>
      </c>
      <c r="N97" s="120">
        <v>0</v>
      </c>
      <c r="O97" s="120">
        <v>0</v>
      </c>
      <c r="P97" s="120">
        <v>0</v>
      </c>
      <c r="Q97" s="120">
        <v>0</v>
      </c>
      <c r="R97" s="120">
        <v>0</v>
      </c>
      <c r="S97" s="120">
        <v>0</v>
      </c>
      <c r="T97" s="120">
        <v>0</v>
      </c>
      <c r="U97" s="120">
        <v>0</v>
      </c>
      <c r="V97" s="120">
        <v>0</v>
      </c>
      <c r="W97" s="120">
        <v>0</v>
      </c>
      <c r="X97" s="120">
        <v>0</v>
      </c>
      <c r="Y97" s="120">
        <v>0</v>
      </c>
      <c r="Z97" s="120">
        <v>0</v>
      </c>
      <c r="AA97" s="120">
        <v>0</v>
      </c>
      <c r="AB97" s="120">
        <v>0</v>
      </c>
      <c r="AC97" s="120">
        <v>0</v>
      </c>
      <c r="AD97" s="120">
        <v>0</v>
      </c>
      <c r="AE97" s="120">
        <v>0</v>
      </c>
      <c r="AF97" s="120">
        <v>0</v>
      </c>
      <c r="AG97" s="120">
        <v>0</v>
      </c>
      <c r="AH97" s="120">
        <v>0</v>
      </c>
      <c r="AI97" s="120">
        <v>0</v>
      </c>
      <c r="AJ97" s="120">
        <v>0</v>
      </c>
      <c r="AK97" s="120">
        <v>0</v>
      </c>
      <c r="AL97" s="120">
        <v>0</v>
      </c>
      <c r="AM97" s="120">
        <v>0</v>
      </c>
      <c r="AN97" s="120">
        <v>0</v>
      </c>
      <c r="AO97" s="120">
        <v>0</v>
      </c>
      <c r="AP97" s="120">
        <v>0</v>
      </c>
      <c r="AQ97" s="120">
        <v>0</v>
      </c>
      <c r="AR97" s="120">
        <v>0</v>
      </c>
      <c r="AS97" s="120">
        <v>0</v>
      </c>
      <c r="AT97" s="120">
        <v>0</v>
      </c>
      <c r="AU97" s="120">
        <v>0</v>
      </c>
      <c r="AV97" s="120">
        <v>0</v>
      </c>
      <c r="AW97" s="120">
        <v>0</v>
      </c>
      <c r="AX97" s="120">
        <v>0</v>
      </c>
      <c r="AY97" s="120">
        <v>0</v>
      </c>
      <c r="AZ97" s="120">
        <v>0</v>
      </c>
      <c r="BA97" s="120">
        <v>0</v>
      </c>
      <c r="BB97" s="120">
        <v>0</v>
      </c>
      <c r="BC97" s="120">
        <v>0</v>
      </c>
      <c r="BD97" s="120">
        <v>0</v>
      </c>
      <c r="BE97" s="120">
        <v>0</v>
      </c>
      <c r="BF97" s="120">
        <v>0</v>
      </c>
      <c r="BG97" s="120">
        <v>175086.4150523943</v>
      </c>
      <c r="BH97" s="120">
        <v>0</v>
      </c>
      <c r="BI97" s="120">
        <v>0</v>
      </c>
      <c r="BJ97" s="120">
        <v>0</v>
      </c>
      <c r="BK97" s="120">
        <v>0</v>
      </c>
      <c r="BL97" s="120">
        <v>0</v>
      </c>
      <c r="BM97" s="120">
        <v>0</v>
      </c>
      <c r="BN97" s="120">
        <v>0</v>
      </c>
      <c r="BO97" s="120">
        <v>0</v>
      </c>
      <c r="BP97" s="120">
        <v>0</v>
      </c>
      <c r="BQ97" s="120">
        <v>0</v>
      </c>
      <c r="BR97" s="120">
        <v>0</v>
      </c>
      <c r="BS97" s="120">
        <v>0</v>
      </c>
      <c r="BT97" s="120">
        <v>0</v>
      </c>
      <c r="BU97" s="120">
        <v>0</v>
      </c>
      <c r="BV97" s="120">
        <v>0</v>
      </c>
      <c r="BW97" s="120">
        <v>0</v>
      </c>
      <c r="BX97" s="120">
        <v>0</v>
      </c>
      <c r="BY97" s="120">
        <v>0</v>
      </c>
      <c r="BZ97" s="120">
        <v>0</v>
      </c>
      <c r="CA97" s="120">
        <v>0</v>
      </c>
      <c r="CB97" s="120">
        <v>0</v>
      </c>
      <c r="CC97" s="120">
        <v>0</v>
      </c>
      <c r="CD97" s="120">
        <v>0</v>
      </c>
      <c r="CE97" s="120">
        <v>0</v>
      </c>
      <c r="CF97" s="120">
        <v>0</v>
      </c>
      <c r="CG97" s="120">
        <v>0</v>
      </c>
      <c r="CH97" s="120">
        <v>0</v>
      </c>
      <c r="CI97" s="120">
        <v>0</v>
      </c>
      <c r="CJ97" s="120">
        <v>0</v>
      </c>
      <c r="CK97" s="120">
        <v>0</v>
      </c>
      <c r="CL97" s="120">
        <v>0</v>
      </c>
      <c r="CM97" s="120">
        <v>0</v>
      </c>
      <c r="CN97" s="120">
        <v>0</v>
      </c>
      <c r="CO97" s="120">
        <v>0</v>
      </c>
      <c r="CP97" s="120">
        <v>0</v>
      </c>
      <c r="CQ97" s="120">
        <v>0</v>
      </c>
      <c r="CR97" s="120">
        <v>0</v>
      </c>
      <c r="CS97" s="120">
        <v>0</v>
      </c>
      <c r="CT97" s="120">
        <v>0</v>
      </c>
      <c r="CU97" s="120">
        <v>0</v>
      </c>
      <c r="CV97" s="120">
        <v>0</v>
      </c>
      <c r="CW97" s="120">
        <v>0</v>
      </c>
      <c r="CX97" s="120">
        <v>0</v>
      </c>
      <c r="CY97" s="120">
        <v>0</v>
      </c>
      <c r="CZ97" s="120">
        <v>0</v>
      </c>
      <c r="DA97" s="120">
        <v>0</v>
      </c>
      <c r="DB97" s="120">
        <v>0</v>
      </c>
      <c r="DC97" s="120">
        <v>0</v>
      </c>
      <c r="DD97" s="120">
        <v>0</v>
      </c>
      <c r="DE97" s="120">
        <v>0</v>
      </c>
      <c r="DF97" s="120">
        <v>0</v>
      </c>
      <c r="DG97" s="120">
        <v>0</v>
      </c>
      <c r="DH97" s="120">
        <v>0</v>
      </c>
      <c r="DI97" s="120">
        <v>0</v>
      </c>
      <c r="DJ97" s="120">
        <v>0</v>
      </c>
      <c r="DK97" s="120">
        <v>0</v>
      </c>
      <c r="DL97" s="120">
        <v>0</v>
      </c>
      <c r="DM97" s="120">
        <v>0</v>
      </c>
      <c r="DN97" s="120">
        <v>0</v>
      </c>
      <c r="DO97" s="120">
        <v>0</v>
      </c>
      <c r="DP97" s="120">
        <v>0</v>
      </c>
      <c r="DQ97" s="120">
        <v>0</v>
      </c>
      <c r="DR97" s="120">
        <v>0</v>
      </c>
      <c r="DS97" s="120">
        <v>0</v>
      </c>
      <c r="DT97" s="120">
        <v>0</v>
      </c>
      <c r="DU97" s="120">
        <v>0</v>
      </c>
      <c r="DV97" s="120">
        <v>0</v>
      </c>
      <c r="DW97" s="120">
        <v>0</v>
      </c>
      <c r="DX97" s="120">
        <v>0</v>
      </c>
      <c r="DY97" s="120">
        <v>0</v>
      </c>
      <c r="DZ97" s="120">
        <v>0</v>
      </c>
      <c r="EA97" s="120">
        <v>0</v>
      </c>
      <c r="EB97" s="120">
        <v>0</v>
      </c>
      <c r="EC97" s="120">
        <v>0</v>
      </c>
      <c r="ED97" s="120">
        <f t="shared" si="1"/>
        <v>175086.4150523943</v>
      </c>
    </row>
    <row r="98" spans="1:134">
      <c r="A98" s="120">
        <v>97</v>
      </c>
      <c r="B98" s="120">
        <v>0</v>
      </c>
      <c r="C98" s="120">
        <v>0</v>
      </c>
      <c r="D98" s="120">
        <v>0</v>
      </c>
      <c r="E98" s="120">
        <v>0</v>
      </c>
      <c r="F98" s="120">
        <v>0</v>
      </c>
      <c r="G98" s="120">
        <v>0</v>
      </c>
      <c r="H98" s="120">
        <v>0</v>
      </c>
      <c r="I98" s="120">
        <v>0</v>
      </c>
      <c r="J98" s="120">
        <v>0</v>
      </c>
      <c r="K98" s="120">
        <v>0</v>
      </c>
      <c r="L98" s="120">
        <v>0</v>
      </c>
      <c r="M98" s="120">
        <v>0</v>
      </c>
      <c r="N98" s="120">
        <v>0</v>
      </c>
      <c r="O98" s="120">
        <v>0</v>
      </c>
      <c r="P98" s="120">
        <v>0</v>
      </c>
      <c r="Q98" s="120">
        <v>0</v>
      </c>
      <c r="R98" s="120">
        <v>0</v>
      </c>
      <c r="S98" s="120">
        <v>0</v>
      </c>
      <c r="T98" s="120">
        <v>0</v>
      </c>
      <c r="U98" s="120">
        <v>0</v>
      </c>
      <c r="V98" s="120">
        <v>0</v>
      </c>
      <c r="W98" s="120">
        <v>0</v>
      </c>
      <c r="X98" s="120">
        <v>0</v>
      </c>
      <c r="Y98" s="120">
        <v>0</v>
      </c>
      <c r="Z98" s="120">
        <v>0</v>
      </c>
      <c r="AA98" s="120">
        <v>0</v>
      </c>
      <c r="AB98" s="120">
        <v>0</v>
      </c>
      <c r="AC98" s="120">
        <v>0</v>
      </c>
      <c r="AD98" s="120">
        <v>0</v>
      </c>
      <c r="AE98" s="120">
        <v>0</v>
      </c>
      <c r="AF98" s="120">
        <v>0</v>
      </c>
      <c r="AG98" s="120">
        <v>0</v>
      </c>
      <c r="AH98" s="120">
        <v>0</v>
      </c>
      <c r="AI98" s="120">
        <v>0</v>
      </c>
      <c r="AJ98" s="120">
        <v>0</v>
      </c>
      <c r="AK98" s="120">
        <v>0</v>
      </c>
      <c r="AL98" s="120">
        <v>0</v>
      </c>
      <c r="AM98" s="120">
        <v>0</v>
      </c>
      <c r="AN98" s="120">
        <v>0</v>
      </c>
      <c r="AO98" s="120">
        <v>0</v>
      </c>
      <c r="AP98" s="120">
        <v>0</v>
      </c>
      <c r="AQ98" s="120">
        <v>0</v>
      </c>
      <c r="AR98" s="120">
        <v>0</v>
      </c>
      <c r="AS98" s="120">
        <v>0</v>
      </c>
      <c r="AT98" s="120">
        <v>0</v>
      </c>
      <c r="AU98" s="120">
        <v>0</v>
      </c>
      <c r="AV98" s="120">
        <v>0</v>
      </c>
      <c r="AW98" s="120">
        <v>0</v>
      </c>
      <c r="AX98" s="120">
        <v>0</v>
      </c>
      <c r="AY98" s="120">
        <v>0</v>
      </c>
      <c r="AZ98" s="120">
        <v>0</v>
      </c>
      <c r="BA98" s="120">
        <v>0</v>
      </c>
      <c r="BB98" s="120">
        <v>0</v>
      </c>
      <c r="BC98" s="120">
        <v>0</v>
      </c>
      <c r="BD98" s="120">
        <v>0</v>
      </c>
      <c r="BE98" s="120">
        <v>0</v>
      </c>
      <c r="BF98" s="120">
        <v>0</v>
      </c>
      <c r="BG98" s="120">
        <v>0</v>
      </c>
      <c r="BH98" s="120">
        <v>0</v>
      </c>
      <c r="BI98" s="120">
        <v>107582</v>
      </c>
      <c r="BJ98" s="120">
        <v>15396</v>
      </c>
      <c r="BK98" s="120">
        <v>240841</v>
      </c>
      <c r="BL98" s="120">
        <v>105256</v>
      </c>
      <c r="BM98" s="120">
        <v>0</v>
      </c>
      <c r="BN98" s="120">
        <v>0</v>
      </c>
      <c r="BO98" s="120">
        <v>0</v>
      </c>
      <c r="BP98" s="120">
        <v>0</v>
      </c>
      <c r="BQ98" s="120">
        <v>0</v>
      </c>
      <c r="BR98" s="120">
        <v>0</v>
      </c>
      <c r="BS98" s="120">
        <v>0</v>
      </c>
      <c r="BT98" s="120">
        <v>0</v>
      </c>
      <c r="BU98" s="120">
        <v>0</v>
      </c>
      <c r="BV98" s="120">
        <v>0</v>
      </c>
      <c r="BW98" s="120">
        <v>0</v>
      </c>
      <c r="BX98" s="120">
        <v>0</v>
      </c>
      <c r="BY98" s="120">
        <v>0</v>
      </c>
      <c r="BZ98" s="120">
        <v>0</v>
      </c>
      <c r="CA98" s="120">
        <v>0</v>
      </c>
      <c r="CB98" s="120">
        <v>0</v>
      </c>
      <c r="CC98" s="120">
        <v>0</v>
      </c>
      <c r="CD98" s="120">
        <v>0</v>
      </c>
      <c r="CE98" s="120">
        <v>0</v>
      </c>
      <c r="CF98" s="120">
        <v>0</v>
      </c>
      <c r="CG98" s="120">
        <v>0</v>
      </c>
      <c r="CH98" s="120">
        <v>0</v>
      </c>
      <c r="CI98" s="120">
        <v>0</v>
      </c>
      <c r="CJ98" s="120">
        <v>0</v>
      </c>
      <c r="CK98" s="120">
        <v>0</v>
      </c>
      <c r="CL98" s="120">
        <v>0</v>
      </c>
      <c r="CM98" s="120">
        <v>0</v>
      </c>
      <c r="CN98" s="120">
        <v>0</v>
      </c>
      <c r="CO98" s="120">
        <v>0</v>
      </c>
      <c r="CP98" s="120">
        <v>0</v>
      </c>
      <c r="CQ98" s="120">
        <v>0</v>
      </c>
      <c r="CR98" s="120">
        <v>0</v>
      </c>
      <c r="CS98" s="120">
        <v>0</v>
      </c>
      <c r="CT98" s="120">
        <v>0</v>
      </c>
      <c r="CU98" s="120">
        <v>0</v>
      </c>
      <c r="CV98" s="120">
        <v>0</v>
      </c>
      <c r="CW98" s="120">
        <v>0</v>
      </c>
      <c r="CX98" s="120">
        <v>0</v>
      </c>
      <c r="CY98" s="120">
        <v>0</v>
      </c>
      <c r="CZ98" s="120">
        <v>0</v>
      </c>
      <c r="DA98" s="120">
        <v>0</v>
      </c>
      <c r="DB98" s="120">
        <v>0</v>
      </c>
      <c r="DC98" s="120">
        <v>0</v>
      </c>
      <c r="DD98" s="120">
        <v>0</v>
      </c>
      <c r="DE98" s="120">
        <v>0</v>
      </c>
      <c r="DF98" s="120">
        <v>0</v>
      </c>
      <c r="DG98" s="120">
        <v>0</v>
      </c>
      <c r="DH98" s="120">
        <v>0</v>
      </c>
      <c r="DI98" s="120">
        <v>0</v>
      </c>
      <c r="DJ98" s="120">
        <v>0</v>
      </c>
      <c r="DK98" s="120">
        <v>0</v>
      </c>
      <c r="DL98" s="120">
        <v>5043.7161953954483</v>
      </c>
      <c r="DM98" s="120">
        <v>0</v>
      </c>
      <c r="DN98" s="120">
        <v>0</v>
      </c>
      <c r="DO98" s="120">
        <v>0</v>
      </c>
      <c r="DP98" s="120">
        <v>23604.585986351231</v>
      </c>
      <c r="DQ98" s="120">
        <v>0</v>
      </c>
      <c r="DR98" s="120">
        <v>-57386.093085995351</v>
      </c>
      <c r="DS98" s="120">
        <v>1318.0262456673811</v>
      </c>
      <c r="DT98" s="120">
        <v>0</v>
      </c>
      <c r="DU98" s="120">
        <v>0</v>
      </c>
      <c r="DV98" s="120">
        <v>0</v>
      </c>
      <c r="DW98" s="120">
        <v>0</v>
      </c>
      <c r="DX98" s="120">
        <v>0</v>
      </c>
      <c r="DY98" s="120">
        <v>0</v>
      </c>
      <c r="DZ98" s="120">
        <v>0</v>
      </c>
      <c r="EA98" s="120">
        <v>0</v>
      </c>
      <c r="EB98" s="120">
        <v>0</v>
      </c>
      <c r="EC98" s="120">
        <v>0</v>
      </c>
      <c r="ED98" s="120">
        <f t="shared" si="1"/>
        <v>441655.23534141871</v>
      </c>
    </row>
    <row r="99" spans="1:134">
      <c r="A99" s="120">
        <v>98</v>
      </c>
      <c r="B99" s="120">
        <v>0</v>
      </c>
      <c r="C99" s="120">
        <v>0</v>
      </c>
      <c r="D99" s="120">
        <v>0</v>
      </c>
      <c r="E99" s="120">
        <v>0</v>
      </c>
      <c r="F99" s="120">
        <v>0</v>
      </c>
      <c r="G99" s="120">
        <v>0</v>
      </c>
      <c r="H99" s="120">
        <v>0</v>
      </c>
      <c r="I99" s="120">
        <v>0</v>
      </c>
      <c r="J99" s="120">
        <v>0</v>
      </c>
      <c r="K99" s="120">
        <v>0</v>
      </c>
      <c r="L99" s="120">
        <v>0</v>
      </c>
      <c r="M99" s="120">
        <v>0</v>
      </c>
      <c r="N99" s="120">
        <v>0</v>
      </c>
      <c r="O99" s="120">
        <v>0</v>
      </c>
      <c r="P99" s="120">
        <v>0</v>
      </c>
      <c r="Q99" s="120">
        <v>0</v>
      </c>
      <c r="R99" s="120">
        <v>0</v>
      </c>
      <c r="S99" s="120">
        <v>0</v>
      </c>
      <c r="T99" s="120">
        <v>0</v>
      </c>
      <c r="U99" s="120">
        <v>0</v>
      </c>
      <c r="V99" s="120">
        <v>0</v>
      </c>
      <c r="W99" s="120">
        <v>0</v>
      </c>
      <c r="X99" s="120">
        <v>0</v>
      </c>
      <c r="Y99" s="120">
        <v>0</v>
      </c>
      <c r="Z99" s="120">
        <v>0</v>
      </c>
      <c r="AA99" s="120">
        <v>0</v>
      </c>
      <c r="AB99" s="120">
        <v>0</v>
      </c>
      <c r="AC99" s="120">
        <v>0</v>
      </c>
      <c r="AD99" s="120">
        <v>0</v>
      </c>
      <c r="AE99" s="120">
        <v>0</v>
      </c>
      <c r="AF99" s="120">
        <v>0</v>
      </c>
      <c r="AG99" s="120">
        <v>0</v>
      </c>
      <c r="AH99" s="120">
        <v>0</v>
      </c>
      <c r="AI99" s="120">
        <v>0</v>
      </c>
      <c r="AJ99" s="120">
        <v>0</v>
      </c>
      <c r="AK99" s="120">
        <v>0</v>
      </c>
      <c r="AL99" s="120">
        <v>0</v>
      </c>
      <c r="AM99" s="120">
        <v>0</v>
      </c>
      <c r="AN99" s="120">
        <v>0</v>
      </c>
      <c r="AO99" s="120">
        <v>0</v>
      </c>
      <c r="AP99" s="120">
        <v>0</v>
      </c>
      <c r="AQ99" s="120">
        <v>0</v>
      </c>
      <c r="AR99" s="120">
        <v>0</v>
      </c>
      <c r="AS99" s="120">
        <v>0</v>
      </c>
      <c r="AT99" s="120">
        <v>0</v>
      </c>
      <c r="AU99" s="120">
        <v>0</v>
      </c>
      <c r="AV99" s="120">
        <v>0</v>
      </c>
      <c r="AW99" s="120">
        <v>0</v>
      </c>
      <c r="AX99" s="120">
        <v>0</v>
      </c>
      <c r="AY99" s="120">
        <v>0</v>
      </c>
      <c r="AZ99" s="120">
        <v>0</v>
      </c>
      <c r="BA99" s="120">
        <v>0</v>
      </c>
      <c r="BB99" s="120">
        <v>0</v>
      </c>
      <c r="BC99" s="120">
        <v>0</v>
      </c>
      <c r="BD99" s="120">
        <v>0</v>
      </c>
      <c r="BE99" s="120">
        <v>0</v>
      </c>
      <c r="BF99" s="120">
        <v>0</v>
      </c>
      <c r="BG99" s="120">
        <v>0</v>
      </c>
      <c r="BH99" s="120">
        <v>0</v>
      </c>
      <c r="BI99" s="120">
        <v>0</v>
      </c>
      <c r="BJ99" s="120">
        <v>0</v>
      </c>
      <c r="BK99" s="120">
        <v>0</v>
      </c>
      <c r="BL99" s="120">
        <v>0</v>
      </c>
      <c r="BM99" s="120">
        <v>0</v>
      </c>
      <c r="BN99" s="120">
        <v>0</v>
      </c>
      <c r="BO99" s="120">
        <v>0</v>
      </c>
      <c r="BP99" s="120">
        <v>0</v>
      </c>
      <c r="BQ99" s="120">
        <v>0</v>
      </c>
      <c r="BR99" s="120">
        <v>0</v>
      </c>
      <c r="BS99" s="120">
        <v>0</v>
      </c>
      <c r="BT99" s="120">
        <v>0</v>
      </c>
      <c r="BU99" s="120">
        <v>0</v>
      </c>
      <c r="BV99" s="120">
        <v>0</v>
      </c>
      <c r="BW99" s="120">
        <v>0</v>
      </c>
      <c r="BX99" s="120">
        <v>0</v>
      </c>
      <c r="BY99" s="120">
        <v>0</v>
      </c>
      <c r="BZ99" s="120">
        <v>0</v>
      </c>
      <c r="CA99" s="120">
        <v>0</v>
      </c>
      <c r="CB99" s="120">
        <v>0</v>
      </c>
      <c r="CC99" s="120">
        <v>0</v>
      </c>
      <c r="CD99" s="120">
        <v>0</v>
      </c>
      <c r="CE99" s="120">
        <v>0</v>
      </c>
      <c r="CF99" s="120">
        <v>0</v>
      </c>
      <c r="CG99" s="120">
        <v>0</v>
      </c>
      <c r="CH99" s="120">
        <v>0</v>
      </c>
      <c r="CI99" s="120">
        <v>0</v>
      </c>
      <c r="CJ99" s="120">
        <v>0</v>
      </c>
      <c r="CK99" s="120">
        <v>0</v>
      </c>
      <c r="CL99" s="120">
        <v>0</v>
      </c>
      <c r="CM99" s="120">
        <v>0</v>
      </c>
      <c r="CN99" s="120">
        <v>0</v>
      </c>
      <c r="CO99" s="120">
        <v>0</v>
      </c>
      <c r="CP99" s="120">
        <v>0</v>
      </c>
      <c r="CQ99" s="120">
        <v>0</v>
      </c>
      <c r="CR99" s="120">
        <v>0</v>
      </c>
      <c r="CS99" s="120">
        <v>0</v>
      </c>
      <c r="CT99" s="120">
        <v>0</v>
      </c>
      <c r="CU99" s="120">
        <v>0</v>
      </c>
      <c r="CV99" s="120">
        <v>0</v>
      </c>
      <c r="CW99" s="120">
        <v>0</v>
      </c>
      <c r="CX99" s="120">
        <v>0</v>
      </c>
      <c r="CY99" s="120">
        <v>0</v>
      </c>
      <c r="CZ99" s="120">
        <v>0</v>
      </c>
      <c r="DA99" s="120">
        <v>0</v>
      </c>
      <c r="DB99" s="120">
        <v>0</v>
      </c>
      <c r="DC99" s="120">
        <v>0</v>
      </c>
      <c r="DD99" s="120">
        <v>0</v>
      </c>
      <c r="DE99" s="120">
        <v>0</v>
      </c>
      <c r="DF99" s="120">
        <v>0</v>
      </c>
      <c r="DG99" s="120">
        <v>0</v>
      </c>
      <c r="DH99" s="120">
        <v>0</v>
      </c>
      <c r="DI99" s="120">
        <v>0</v>
      </c>
      <c r="DJ99" s="120">
        <v>0</v>
      </c>
      <c r="DK99" s="120">
        <v>0</v>
      </c>
      <c r="DL99" s="120">
        <v>0</v>
      </c>
      <c r="DM99" s="120">
        <v>0</v>
      </c>
      <c r="DN99" s="120">
        <v>0</v>
      </c>
      <c r="DO99" s="120">
        <v>0</v>
      </c>
      <c r="DP99" s="120">
        <v>0</v>
      </c>
      <c r="DQ99" s="120">
        <v>0</v>
      </c>
      <c r="DR99" s="120">
        <v>0</v>
      </c>
      <c r="DS99" s="120">
        <v>0</v>
      </c>
      <c r="DT99" s="120">
        <v>0</v>
      </c>
      <c r="DU99" s="120">
        <v>0</v>
      </c>
      <c r="DV99" s="120">
        <v>0</v>
      </c>
      <c r="DW99" s="120">
        <v>0</v>
      </c>
      <c r="DX99" s="120">
        <v>0</v>
      </c>
      <c r="DY99" s="120">
        <v>0</v>
      </c>
      <c r="DZ99" s="120">
        <v>0</v>
      </c>
      <c r="EA99" s="120">
        <v>0</v>
      </c>
      <c r="EB99" s="120">
        <v>0</v>
      </c>
      <c r="EC99" s="120">
        <v>0</v>
      </c>
      <c r="ED99" s="120">
        <f t="shared" si="1"/>
        <v>0</v>
      </c>
    </row>
    <row r="100" spans="1:134">
      <c r="A100" s="120">
        <v>99</v>
      </c>
      <c r="B100" s="120">
        <v>0</v>
      </c>
      <c r="C100" s="120">
        <v>0</v>
      </c>
      <c r="D100" s="120">
        <v>0</v>
      </c>
      <c r="E100" s="120">
        <v>0</v>
      </c>
      <c r="F100" s="120">
        <v>0</v>
      </c>
      <c r="G100" s="120">
        <v>0</v>
      </c>
      <c r="H100" s="120">
        <v>0</v>
      </c>
      <c r="I100" s="120">
        <v>0</v>
      </c>
      <c r="J100" s="120">
        <v>0</v>
      </c>
      <c r="K100" s="120">
        <v>0</v>
      </c>
      <c r="L100" s="120">
        <v>0</v>
      </c>
      <c r="M100" s="120">
        <v>0</v>
      </c>
      <c r="N100" s="120">
        <v>0</v>
      </c>
      <c r="O100" s="120">
        <v>0</v>
      </c>
      <c r="P100" s="120">
        <v>0</v>
      </c>
      <c r="Q100" s="120">
        <v>0</v>
      </c>
      <c r="R100" s="120">
        <v>0</v>
      </c>
      <c r="S100" s="120">
        <v>0</v>
      </c>
      <c r="T100" s="120">
        <v>0</v>
      </c>
      <c r="U100" s="120">
        <v>0</v>
      </c>
      <c r="V100" s="120">
        <v>0</v>
      </c>
      <c r="W100" s="120">
        <v>0</v>
      </c>
      <c r="X100" s="120">
        <v>0</v>
      </c>
      <c r="Y100" s="120">
        <v>0</v>
      </c>
      <c r="Z100" s="120">
        <v>0</v>
      </c>
      <c r="AA100" s="120">
        <v>0</v>
      </c>
      <c r="AB100" s="120">
        <v>0</v>
      </c>
      <c r="AC100" s="120">
        <v>0</v>
      </c>
      <c r="AD100" s="120">
        <v>0</v>
      </c>
      <c r="AE100" s="120">
        <v>0</v>
      </c>
      <c r="AF100" s="120">
        <v>0</v>
      </c>
      <c r="AG100" s="120">
        <v>0</v>
      </c>
      <c r="AH100" s="120">
        <v>0</v>
      </c>
      <c r="AI100" s="120">
        <v>642547</v>
      </c>
      <c r="AJ100" s="120">
        <v>0</v>
      </c>
      <c r="AK100" s="120">
        <v>727.39878345498789</v>
      </c>
      <c r="AL100" s="120">
        <v>0</v>
      </c>
      <c r="AM100" s="120">
        <v>0</v>
      </c>
      <c r="AN100" s="120">
        <v>0</v>
      </c>
      <c r="AO100" s="120">
        <v>0</v>
      </c>
      <c r="AP100" s="120">
        <v>0</v>
      </c>
      <c r="AQ100" s="120">
        <v>0</v>
      </c>
      <c r="AR100" s="120">
        <v>0</v>
      </c>
      <c r="AS100" s="120">
        <v>0</v>
      </c>
      <c r="AT100" s="120">
        <v>0</v>
      </c>
      <c r="AU100" s="120">
        <v>0</v>
      </c>
      <c r="AV100" s="120">
        <v>0</v>
      </c>
      <c r="AW100" s="120">
        <v>0</v>
      </c>
      <c r="AX100" s="120">
        <v>0</v>
      </c>
      <c r="AY100" s="120">
        <v>0</v>
      </c>
      <c r="AZ100" s="120">
        <v>0</v>
      </c>
      <c r="BA100" s="120">
        <v>0</v>
      </c>
      <c r="BB100" s="120">
        <v>0</v>
      </c>
      <c r="BC100" s="120">
        <v>0</v>
      </c>
      <c r="BD100" s="120">
        <v>0</v>
      </c>
      <c r="BE100" s="120">
        <v>0</v>
      </c>
      <c r="BF100" s="120">
        <v>0</v>
      </c>
      <c r="BG100" s="120">
        <v>0</v>
      </c>
      <c r="BH100" s="120">
        <v>0</v>
      </c>
      <c r="BI100" s="120">
        <v>0</v>
      </c>
      <c r="BJ100" s="120">
        <v>0</v>
      </c>
      <c r="BK100" s="120">
        <v>0</v>
      </c>
      <c r="BL100" s="120">
        <v>0</v>
      </c>
      <c r="BM100" s="120">
        <v>0</v>
      </c>
      <c r="BN100" s="120">
        <v>0</v>
      </c>
      <c r="BO100" s="120">
        <v>0</v>
      </c>
      <c r="BP100" s="120">
        <v>0</v>
      </c>
      <c r="BQ100" s="120">
        <v>0</v>
      </c>
      <c r="BR100" s="120">
        <v>0</v>
      </c>
      <c r="BS100" s="120">
        <v>0</v>
      </c>
      <c r="BT100" s="120">
        <v>0</v>
      </c>
      <c r="BU100" s="120">
        <v>0</v>
      </c>
      <c r="BV100" s="120">
        <v>6750.0889271259011</v>
      </c>
      <c r="BW100" s="120">
        <v>0</v>
      </c>
      <c r="BX100" s="120">
        <v>0</v>
      </c>
      <c r="BY100" s="120">
        <v>0</v>
      </c>
      <c r="BZ100" s="120">
        <v>0</v>
      </c>
      <c r="CA100" s="120">
        <v>0</v>
      </c>
      <c r="CB100" s="120">
        <v>0</v>
      </c>
      <c r="CC100" s="120">
        <v>0</v>
      </c>
      <c r="CD100" s="120">
        <v>0</v>
      </c>
      <c r="CE100" s="120">
        <v>0</v>
      </c>
      <c r="CF100" s="120">
        <v>0</v>
      </c>
      <c r="CG100" s="120">
        <v>0</v>
      </c>
      <c r="CH100" s="120">
        <v>0</v>
      </c>
      <c r="CI100" s="120">
        <v>0</v>
      </c>
      <c r="CJ100" s="120">
        <v>0</v>
      </c>
      <c r="CK100" s="120">
        <v>0</v>
      </c>
      <c r="CL100" s="120">
        <v>0</v>
      </c>
      <c r="CM100" s="120">
        <v>0</v>
      </c>
      <c r="CN100" s="120">
        <v>0</v>
      </c>
      <c r="CO100" s="120">
        <v>0</v>
      </c>
      <c r="CP100" s="120">
        <v>0</v>
      </c>
      <c r="CQ100" s="120">
        <v>0</v>
      </c>
      <c r="CR100" s="120">
        <v>0</v>
      </c>
      <c r="CS100" s="120">
        <v>0</v>
      </c>
      <c r="CT100" s="120">
        <v>0</v>
      </c>
      <c r="CU100" s="120">
        <v>0</v>
      </c>
      <c r="CV100" s="120">
        <v>0</v>
      </c>
      <c r="CW100" s="120">
        <v>0</v>
      </c>
      <c r="CX100" s="120">
        <v>0</v>
      </c>
      <c r="CY100" s="120">
        <v>0</v>
      </c>
      <c r="CZ100" s="120">
        <v>0</v>
      </c>
      <c r="DA100" s="120">
        <v>0</v>
      </c>
      <c r="DB100" s="120">
        <v>0</v>
      </c>
      <c r="DC100" s="120">
        <v>0</v>
      </c>
      <c r="DD100" s="120">
        <v>0</v>
      </c>
      <c r="DE100" s="120">
        <v>0</v>
      </c>
      <c r="DF100" s="120">
        <v>0</v>
      </c>
      <c r="DG100" s="120">
        <v>0</v>
      </c>
      <c r="DH100" s="120">
        <v>0</v>
      </c>
      <c r="DI100" s="120">
        <v>0</v>
      </c>
      <c r="DJ100" s="120">
        <v>49660.398221612697</v>
      </c>
      <c r="DK100" s="120">
        <v>0</v>
      </c>
      <c r="DL100" s="120">
        <v>127526.2353855448</v>
      </c>
      <c r="DM100" s="120">
        <v>0</v>
      </c>
      <c r="DN100" s="120">
        <v>0</v>
      </c>
      <c r="DO100" s="120">
        <v>0</v>
      </c>
      <c r="DP100" s="120">
        <v>3352.808865604728</v>
      </c>
      <c r="DQ100" s="120">
        <v>0</v>
      </c>
      <c r="DR100" s="120">
        <v>0</v>
      </c>
      <c r="DS100" s="120">
        <v>0</v>
      </c>
      <c r="DT100" s="120">
        <v>0</v>
      </c>
      <c r="DU100" s="120">
        <v>0</v>
      </c>
      <c r="DV100" s="120">
        <v>0</v>
      </c>
      <c r="DW100" s="120">
        <v>0</v>
      </c>
      <c r="DX100" s="120">
        <v>0</v>
      </c>
      <c r="DY100" s="120">
        <v>0</v>
      </c>
      <c r="DZ100" s="120">
        <v>0</v>
      </c>
      <c r="EA100" s="120">
        <v>0</v>
      </c>
      <c r="EB100" s="120">
        <v>0</v>
      </c>
      <c r="EC100" s="120">
        <v>0</v>
      </c>
      <c r="ED100" s="120">
        <f t="shared" si="1"/>
        <v>830563.93018334312</v>
      </c>
    </row>
    <row r="101" spans="1:134">
      <c r="A101" s="120">
        <v>100</v>
      </c>
      <c r="B101" s="120">
        <v>0</v>
      </c>
      <c r="C101" s="120">
        <v>0</v>
      </c>
      <c r="D101" s="120">
        <v>0</v>
      </c>
      <c r="E101" s="120">
        <v>0</v>
      </c>
      <c r="F101" s="120">
        <v>0</v>
      </c>
      <c r="G101" s="120">
        <v>0</v>
      </c>
      <c r="H101" s="120">
        <v>0</v>
      </c>
      <c r="I101" s="120">
        <v>0</v>
      </c>
      <c r="J101" s="120">
        <v>0</v>
      </c>
      <c r="K101" s="120">
        <v>0</v>
      </c>
      <c r="L101" s="120">
        <v>0</v>
      </c>
      <c r="M101" s="120">
        <v>0</v>
      </c>
      <c r="N101" s="120">
        <v>0</v>
      </c>
      <c r="O101" s="120">
        <v>0</v>
      </c>
      <c r="P101" s="120">
        <v>0</v>
      </c>
      <c r="Q101" s="120">
        <v>0</v>
      </c>
      <c r="R101" s="120">
        <v>0</v>
      </c>
      <c r="S101" s="120">
        <v>0</v>
      </c>
      <c r="T101" s="120">
        <v>0</v>
      </c>
      <c r="U101" s="120">
        <v>0</v>
      </c>
      <c r="V101" s="120">
        <v>0</v>
      </c>
      <c r="W101" s="120">
        <v>0</v>
      </c>
      <c r="X101" s="120">
        <v>0</v>
      </c>
      <c r="Y101" s="120">
        <v>0</v>
      </c>
      <c r="Z101" s="120">
        <v>0</v>
      </c>
      <c r="AA101" s="120">
        <v>0</v>
      </c>
      <c r="AB101" s="120">
        <v>0</v>
      </c>
      <c r="AC101" s="120">
        <v>0</v>
      </c>
      <c r="AD101" s="120">
        <v>0</v>
      </c>
      <c r="AE101" s="120">
        <v>0</v>
      </c>
      <c r="AF101" s="120">
        <v>0</v>
      </c>
      <c r="AG101" s="120">
        <v>0</v>
      </c>
      <c r="AH101" s="120">
        <v>0</v>
      </c>
      <c r="AI101" s="120">
        <v>0</v>
      </c>
      <c r="AJ101" s="120">
        <v>0</v>
      </c>
      <c r="AK101" s="120">
        <v>0</v>
      </c>
      <c r="AL101" s="120">
        <v>0</v>
      </c>
      <c r="AM101" s="120">
        <v>0</v>
      </c>
      <c r="AN101" s="120">
        <v>0</v>
      </c>
      <c r="AO101" s="120">
        <v>0</v>
      </c>
      <c r="AP101" s="120">
        <v>0</v>
      </c>
      <c r="AQ101" s="120">
        <v>0</v>
      </c>
      <c r="AR101" s="120">
        <v>0</v>
      </c>
      <c r="AS101" s="120">
        <v>0</v>
      </c>
      <c r="AT101" s="120">
        <v>0</v>
      </c>
      <c r="AU101" s="120">
        <v>0</v>
      </c>
      <c r="AV101" s="120">
        <v>76051</v>
      </c>
      <c r="AW101" s="120">
        <v>0</v>
      </c>
      <c r="AX101" s="120">
        <v>0</v>
      </c>
      <c r="AY101" s="120">
        <v>0</v>
      </c>
      <c r="AZ101" s="120">
        <v>0</v>
      </c>
      <c r="BA101" s="120">
        <v>0</v>
      </c>
      <c r="BB101" s="120">
        <v>0</v>
      </c>
      <c r="BC101" s="120">
        <v>0</v>
      </c>
      <c r="BD101" s="120">
        <v>0</v>
      </c>
      <c r="BE101" s="120">
        <v>0</v>
      </c>
      <c r="BF101" s="120">
        <v>0</v>
      </c>
      <c r="BG101" s="120">
        <v>0</v>
      </c>
      <c r="BH101" s="120">
        <v>0</v>
      </c>
      <c r="BI101" s="120">
        <v>0</v>
      </c>
      <c r="BJ101" s="120">
        <v>0</v>
      </c>
      <c r="BK101" s="120">
        <v>0</v>
      </c>
      <c r="BL101" s="120">
        <v>0</v>
      </c>
      <c r="BM101" s="120">
        <v>0</v>
      </c>
      <c r="BN101" s="120">
        <v>0</v>
      </c>
      <c r="BO101" s="120">
        <v>0</v>
      </c>
      <c r="BP101" s="120">
        <v>0</v>
      </c>
      <c r="BQ101" s="120">
        <v>0</v>
      </c>
      <c r="BR101" s="120">
        <v>0</v>
      </c>
      <c r="BS101" s="120">
        <v>0</v>
      </c>
      <c r="BT101" s="120">
        <v>0</v>
      </c>
      <c r="BU101" s="120">
        <v>0</v>
      </c>
      <c r="BV101" s="120">
        <v>0</v>
      </c>
      <c r="BW101" s="120">
        <v>0</v>
      </c>
      <c r="BX101" s="120">
        <v>0</v>
      </c>
      <c r="BY101" s="120">
        <v>0</v>
      </c>
      <c r="BZ101" s="120">
        <v>0</v>
      </c>
      <c r="CA101" s="120">
        <v>0</v>
      </c>
      <c r="CB101" s="120">
        <v>0</v>
      </c>
      <c r="CC101" s="120">
        <v>0</v>
      </c>
      <c r="CD101" s="120">
        <v>0</v>
      </c>
      <c r="CE101" s="120">
        <v>0</v>
      </c>
      <c r="CF101" s="120">
        <v>0</v>
      </c>
      <c r="CG101" s="120">
        <v>0</v>
      </c>
      <c r="CH101" s="120">
        <v>0</v>
      </c>
      <c r="CI101" s="120">
        <v>0</v>
      </c>
      <c r="CJ101" s="120">
        <v>0</v>
      </c>
      <c r="CK101" s="120">
        <v>0</v>
      </c>
      <c r="CL101" s="120">
        <v>0</v>
      </c>
      <c r="CM101" s="120">
        <v>0</v>
      </c>
      <c r="CN101" s="120">
        <v>0</v>
      </c>
      <c r="CO101" s="120">
        <v>0</v>
      </c>
      <c r="CP101" s="120">
        <v>0</v>
      </c>
      <c r="CQ101" s="120">
        <v>0</v>
      </c>
      <c r="CR101" s="120">
        <v>0</v>
      </c>
      <c r="CS101" s="120">
        <v>0</v>
      </c>
      <c r="CT101" s="120">
        <v>0</v>
      </c>
      <c r="CU101" s="120">
        <v>0</v>
      </c>
      <c r="CV101" s="120">
        <v>0</v>
      </c>
      <c r="CW101" s="120">
        <v>0</v>
      </c>
      <c r="CX101" s="120">
        <v>0</v>
      </c>
      <c r="CY101" s="120">
        <v>0</v>
      </c>
      <c r="CZ101" s="120">
        <v>0</v>
      </c>
      <c r="DA101" s="120">
        <v>0</v>
      </c>
      <c r="DB101" s="120">
        <v>0</v>
      </c>
      <c r="DC101" s="120">
        <v>0</v>
      </c>
      <c r="DD101" s="120">
        <v>0</v>
      </c>
      <c r="DE101" s="120">
        <v>0</v>
      </c>
      <c r="DF101" s="120">
        <v>0</v>
      </c>
      <c r="DG101" s="120">
        <v>0</v>
      </c>
      <c r="DH101" s="120">
        <v>0</v>
      </c>
      <c r="DI101" s="120">
        <v>0</v>
      </c>
      <c r="DJ101" s="120">
        <v>0</v>
      </c>
      <c r="DK101" s="120">
        <v>0</v>
      </c>
      <c r="DL101" s="120">
        <v>0</v>
      </c>
      <c r="DM101" s="120">
        <v>0</v>
      </c>
      <c r="DN101" s="120">
        <v>0</v>
      </c>
      <c r="DO101" s="120">
        <v>0</v>
      </c>
      <c r="DP101" s="120">
        <v>2492.6850337433448</v>
      </c>
      <c r="DQ101" s="120">
        <v>0</v>
      </c>
      <c r="DR101" s="120">
        <v>0</v>
      </c>
      <c r="DS101" s="120">
        <v>0</v>
      </c>
      <c r="DT101" s="120">
        <v>0</v>
      </c>
      <c r="DU101" s="120">
        <v>0</v>
      </c>
      <c r="DV101" s="120">
        <v>0</v>
      </c>
      <c r="DW101" s="120">
        <v>0</v>
      </c>
      <c r="DX101" s="120">
        <v>0</v>
      </c>
      <c r="DY101" s="120">
        <v>0</v>
      </c>
      <c r="DZ101" s="120">
        <v>0</v>
      </c>
      <c r="EA101" s="120">
        <v>0</v>
      </c>
      <c r="EB101" s="120">
        <v>0</v>
      </c>
      <c r="EC101" s="120">
        <v>0</v>
      </c>
      <c r="ED101" s="120">
        <f t="shared" si="1"/>
        <v>78543.685033743343</v>
      </c>
    </row>
    <row r="102" spans="1:134">
      <c r="A102" s="120">
        <v>101</v>
      </c>
      <c r="B102" s="120">
        <v>0</v>
      </c>
      <c r="C102" s="120">
        <v>0</v>
      </c>
      <c r="D102" s="120">
        <v>0</v>
      </c>
      <c r="E102" s="120">
        <v>6624.0551104628285</v>
      </c>
      <c r="F102" s="120">
        <v>0</v>
      </c>
      <c r="G102" s="120">
        <v>0</v>
      </c>
      <c r="H102" s="120">
        <v>1384.2610993481269</v>
      </c>
      <c r="I102" s="120">
        <v>0</v>
      </c>
      <c r="J102" s="120">
        <v>0</v>
      </c>
      <c r="K102" s="120">
        <v>0</v>
      </c>
      <c r="L102" s="120">
        <v>0</v>
      </c>
      <c r="M102" s="120">
        <v>0</v>
      </c>
      <c r="N102" s="120">
        <v>0</v>
      </c>
      <c r="O102" s="120">
        <v>0</v>
      </c>
      <c r="P102" s="120">
        <v>0</v>
      </c>
      <c r="Q102" s="120">
        <v>0</v>
      </c>
      <c r="R102" s="120">
        <v>0</v>
      </c>
      <c r="S102" s="120">
        <v>0</v>
      </c>
      <c r="T102" s="120">
        <v>0</v>
      </c>
      <c r="U102" s="120">
        <v>0</v>
      </c>
      <c r="V102" s="120">
        <v>0</v>
      </c>
      <c r="W102" s="120">
        <v>0</v>
      </c>
      <c r="X102" s="120">
        <v>0</v>
      </c>
      <c r="Y102" s="120">
        <v>0</v>
      </c>
      <c r="Z102" s="120">
        <v>0</v>
      </c>
      <c r="AA102" s="120">
        <v>0</v>
      </c>
      <c r="AB102" s="120">
        <v>0</v>
      </c>
      <c r="AC102" s="120">
        <v>0</v>
      </c>
      <c r="AD102" s="120">
        <v>0</v>
      </c>
      <c r="AE102" s="120">
        <v>0</v>
      </c>
      <c r="AF102" s="120">
        <v>0</v>
      </c>
      <c r="AG102" s="120">
        <v>0</v>
      </c>
      <c r="AH102" s="120">
        <v>0</v>
      </c>
      <c r="AI102" s="120">
        <v>0</v>
      </c>
      <c r="AJ102" s="120">
        <v>0</v>
      </c>
      <c r="AK102" s="120">
        <v>0</v>
      </c>
      <c r="AL102" s="120">
        <v>0</v>
      </c>
      <c r="AM102" s="120">
        <v>0</v>
      </c>
      <c r="AN102" s="120">
        <v>0</v>
      </c>
      <c r="AO102" s="120">
        <v>0</v>
      </c>
      <c r="AP102" s="120">
        <v>0</v>
      </c>
      <c r="AQ102" s="120">
        <v>0</v>
      </c>
      <c r="AR102" s="120">
        <v>2446.9500181593662</v>
      </c>
      <c r="AS102" s="120">
        <v>0</v>
      </c>
      <c r="AT102" s="120">
        <v>0</v>
      </c>
      <c r="AU102" s="120">
        <v>0</v>
      </c>
      <c r="AV102" s="120">
        <v>0</v>
      </c>
      <c r="AW102" s="120">
        <v>0</v>
      </c>
      <c r="AX102" s="120">
        <v>0</v>
      </c>
      <c r="AY102" s="120">
        <v>0</v>
      </c>
      <c r="AZ102" s="120">
        <v>3633.39574327726</v>
      </c>
      <c r="BA102" s="120">
        <v>2280.7230940831628</v>
      </c>
      <c r="BB102" s="120">
        <v>0</v>
      </c>
      <c r="BC102" s="120">
        <v>0</v>
      </c>
      <c r="BD102" s="120">
        <v>0</v>
      </c>
      <c r="BE102" s="120">
        <v>0</v>
      </c>
      <c r="BF102" s="120">
        <v>0</v>
      </c>
      <c r="BG102" s="120">
        <v>0</v>
      </c>
      <c r="BH102" s="120">
        <v>0</v>
      </c>
      <c r="BI102" s="120">
        <v>0</v>
      </c>
      <c r="BJ102" s="120">
        <v>0</v>
      </c>
      <c r="BK102" s="120">
        <v>0</v>
      </c>
      <c r="BL102" s="120">
        <v>0</v>
      </c>
      <c r="BM102" s="120">
        <v>64.56249760979901</v>
      </c>
      <c r="BN102" s="120">
        <v>0</v>
      </c>
      <c r="BO102" s="120">
        <v>0</v>
      </c>
      <c r="BP102" s="120">
        <v>0</v>
      </c>
      <c r="BQ102" s="120">
        <v>0</v>
      </c>
      <c r="BR102" s="120">
        <v>0</v>
      </c>
      <c r="BS102" s="120">
        <v>0</v>
      </c>
      <c r="BT102" s="120">
        <v>1534.361481842385</v>
      </c>
      <c r="BU102" s="120">
        <v>0</v>
      </c>
      <c r="BV102" s="120">
        <v>4947.7692646109926</v>
      </c>
      <c r="BW102" s="120">
        <v>0</v>
      </c>
      <c r="BX102" s="120">
        <v>0</v>
      </c>
      <c r="BY102" s="120">
        <v>0</v>
      </c>
      <c r="BZ102" s="120">
        <v>0</v>
      </c>
      <c r="CA102" s="120">
        <v>0</v>
      </c>
      <c r="CB102" s="120">
        <v>0</v>
      </c>
      <c r="CC102" s="120">
        <v>0</v>
      </c>
      <c r="CD102" s="120">
        <v>0</v>
      </c>
      <c r="CE102" s="120">
        <v>0</v>
      </c>
      <c r="CF102" s="120">
        <v>0</v>
      </c>
      <c r="CG102" s="120">
        <v>0</v>
      </c>
      <c r="CH102" s="120">
        <v>0</v>
      </c>
      <c r="CI102" s="120">
        <v>0</v>
      </c>
      <c r="CJ102" s="120">
        <v>0</v>
      </c>
      <c r="CK102" s="120">
        <v>0</v>
      </c>
      <c r="CL102" s="120">
        <v>0</v>
      </c>
      <c r="CM102" s="120">
        <v>0</v>
      </c>
      <c r="CN102" s="120">
        <v>0</v>
      </c>
      <c r="CO102" s="120">
        <v>0</v>
      </c>
      <c r="CP102" s="120">
        <v>0</v>
      </c>
      <c r="CQ102" s="120">
        <v>0</v>
      </c>
      <c r="CR102" s="120">
        <v>0</v>
      </c>
      <c r="CS102" s="120">
        <v>0</v>
      </c>
      <c r="CT102" s="120">
        <v>0</v>
      </c>
      <c r="CU102" s="120">
        <v>0</v>
      </c>
      <c r="CV102" s="120">
        <v>0</v>
      </c>
      <c r="CW102" s="120">
        <v>0</v>
      </c>
      <c r="CX102" s="120">
        <v>0</v>
      </c>
      <c r="CY102" s="120">
        <v>0</v>
      </c>
      <c r="CZ102" s="120">
        <v>0</v>
      </c>
      <c r="DA102" s="120">
        <v>0</v>
      </c>
      <c r="DB102" s="120">
        <v>0</v>
      </c>
      <c r="DC102" s="120">
        <v>0</v>
      </c>
      <c r="DD102" s="120">
        <v>0</v>
      </c>
      <c r="DE102" s="120">
        <v>0</v>
      </c>
      <c r="DF102" s="120">
        <v>0</v>
      </c>
      <c r="DG102" s="120">
        <v>0</v>
      </c>
      <c r="DH102" s="120">
        <v>0</v>
      </c>
      <c r="DI102" s="120">
        <v>0</v>
      </c>
      <c r="DJ102" s="120">
        <v>0</v>
      </c>
      <c r="DK102" s="120">
        <v>0</v>
      </c>
      <c r="DL102" s="120">
        <v>0</v>
      </c>
      <c r="DM102" s="120">
        <v>0</v>
      </c>
      <c r="DN102" s="120">
        <v>0</v>
      </c>
      <c r="DO102" s="120">
        <v>0</v>
      </c>
      <c r="DP102" s="120">
        <v>5461.8459019476677</v>
      </c>
      <c r="DQ102" s="120">
        <v>0</v>
      </c>
      <c r="DR102" s="120">
        <v>0</v>
      </c>
      <c r="DS102" s="120">
        <v>0</v>
      </c>
      <c r="DT102" s="120">
        <v>0</v>
      </c>
      <c r="DU102" s="120">
        <v>0</v>
      </c>
      <c r="DV102" s="120">
        <v>0</v>
      </c>
      <c r="DW102" s="120">
        <v>0</v>
      </c>
      <c r="DX102" s="120">
        <v>0</v>
      </c>
      <c r="DY102" s="120">
        <v>0</v>
      </c>
      <c r="DZ102" s="120">
        <v>0</v>
      </c>
      <c r="EA102" s="120">
        <v>0</v>
      </c>
      <c r="EB102" s="120">
        <v>0</v>
      </c>
      <c r="EC102" s="120">
        <v>0</v>
      </c>
      <c r="ED102" s="120">
        <f t="shared" si="1"/>
        <v>28377.924211341593</v>
      </c>
    </row>
    <row r="103" spans="1:134">
      <c r="A103" s="120">
        <v>102</v>
      </c>
      <c r="B103" s="120">
        <v>0</v>
      </c>
      <c r="C103" s="120">
        <v>0</v>
      </c>
      <c r="D103" s="120">
        <v>0</v>
      </c>
      <c r="E103" s="120">
        <v>0</v>
      </c>
      <c r="F103" s="120">
        <v>0</v>
      </c>
      <c r="G103" s="120">
        <v>0</v>
      </c>
      <c r="H103" s="120">
        <v>0</v>
      </c>
      <c r="I103" s="120">
        <v>0</v>
      </c>
      <c r="J103" s="120">
        <v>0</v>
      </c>
      <c r="K103" s="120">
        <v>0</v>
      </c>
      <c r="L103" s="120">
        <v>0</v>
      </c>
      <c r="M103" s="120">
        <v>0</v>
      </c>
      <c r="N103" s="120">
        <v>0</v>
      </c>
      <c r="O103" s="120">
        <v>0</v>
      </c>
      <c r="P103" s="120">
        <v>0</v>
      </c>
      <c r="Q103" s="120">
        <v>0</v>
      </c>
      <c r="R103" s="120">
        <v>0</v>
      </c>
      <c r="S103" s="120">
        <v>0</v>
      </c>
      <c r="T103" s="120">
        <v>0</v>
      </c>
      <c r="U103" s="120">
        <v>0</v>
      </c>
      <c r="V103" s="120">
        <v>0</v>
      </c>
      <c r="W103" s="120">
        <v>0</v>
      </c>
      <c r="X103" s="120">
        <v>0</v>
      </c>
      <c r="Y103" s="120">
        <v>0</v>
      </c>
      <c r="Z103" s="120">
        <v>0</v>
      </c>
      <c r="AA103" s="120">
        <v>0</v>
      </c>
      <c r="AB103" s="120">
        <v>0</v>
      </c>
      <c r="AC103" s="120">
        <v>0</v>
      </c>
      <c r="AD103" s="120">
        <v>0</v>
      </c>
      <c r="AE103" s="120">
        <v>0</v>
      </c>
      <c r="AF103" s="120">
        <v>0</v>
      </c>
      <c r="AG103" s="120">
        <v>0</v>
      </c>
      <c r="AH103" s="120">
        <v>0</v>
      </c>
      <c r="AI103" s="120">
        <v>0</v>
      </c>
      <c r="AJ103" s="120">
        <v>0</v>
      </c>
      <c r="AK103" s="120">
        <v>0</v>
      </c>
      <c r="AL103" s="120">
        <v>0</v>
      </c>
      <c r="AM103" s="120">
        <v>0</v>
      </c>
      <c r="AN103" s="120">
        <v>0</v>
      </c>
      <c r="AO103" s="120">
        <v>0</v>
      </c>
      <c r="AP103" s="120">
        <v>0</v>
      </c>
      <c r="AQ103" s="120">
        <v>0</v>
      </c>
      <c r="AR103" s="120">
        <v>0</v>
      </c>
      <c r="AS103" s="120">
        <v>0</v>
      </c>
      <c r="AT103" s="120">
        <v>0</v>
      </c>
      <c r="AU103" s="120">
        <v>0</v>
      </c>
      <c r="AV103" s="120">
        <v>0</v>
      </c>
      <c r="AW103" s="120">
        <v>0</v>
      </c>
      <c r="AX103" s="120">
        <v>0</v>
      </c>
      <c r="AY103" s="120">
        <v>0</v>
      </c>
      <c r="AZ103" s="120">
        <v>0</v>
      </c>
      <c r="BA103" s="120">
        <v>0</v>
      </c>
      <c r="BB103" s="120">
        <v>0</v>
      </c>
      <c r="BC103" s="120">
        <v>0</v>
      </c>
      <c r="BD103" s="120">
        <v>0</v>
      </c>
      <c r="BE103" s="120">
        <v>0</v>
      </c>
      <c r="BF103" s="120">
        <v>0</v>
      </c>
      <c r="BG103" s="120">
        <v>0</v>
      </c>
      <c r="BH103" s="120">
        <v>0</v>
      </c>
      <c r="BI103" s="120">
        <v>0</v>
      </c>
      <c r="BJ103" s="120">
        <v>0</v>
      </c>
      <c r="BK103" s="120">
        <v>0</v>
      </c>
      <c r="BL103" s="120">
        <v>0</v>
      </c>
      <c r="BM103" s="120">
        <v>0</v>
      </c>
      <c r="BN103" s="120">
        <v>0</v>
      </c>
      <c r="BO103" s="120">
        <v>0</v>
      </c>
      <c r="BP103" s="120">
        <v>0</v>
      </c>
      <c r="BQ103" s="120">
        <v>0</v>
      </c>
      <c r="BR103" s="120">
        <v>0</v>
      </c>
      <c r="BS103" s="120">
        <v>0</v>
      </c>
      <c r="BT103" s="120">
        <v>0</v>
      </c>
      <c r="BU103" s="120">
        <v>0</v>
      </c>
      <c r="BV103" s="120">
        <v>0</v>
      </c>
      <c r="BW103" s="120">
        <v>0</v>
      </c>
      <c r="BX103" s="120">
        <v>0</v>
      </c>
      <c r="BY103" s="120">
        <v>0</v>
      </c>
      <c r="BZ103" s="120">
        <v>0</v>
      </c>
      <c r="CA103" s="120">
        <v>0</v>
      </c>
      <c r="CB103" s="120">
        <v>0</v>
      </c>
      <c r="CC103" s="120">
        <v>0</v>
      </c>
      <c r="CD103" s="120">
        <v>0</v>
      </c>
      <c r="CE103" s="120">
        <v>0</v>
      </c>
      <c r="CF103" s="120">
        <v>0</v>
      </c>
      <c r="CG103" s="120">
        <v>0</v>
      </c>
      <c r="CH103" s="120">
        <v>0</v>
      </c>
      <c r="CI103" s="120">
        <v>0</v>
      </c>
      <c r="CJ103" s="120">
        <v>0</v>
      </c>
      <c r="CK103" s="120">
        <v>0</v>
      </c>
      <c r="CL103" s="120">
        <v>0</v>
      </c>
      <c r="CM103" s="120">
        <v>0</v>
      </c>
      <c r="CN103" s="120">
        <v>0</v>
      </c>
      <c r="CO103" s="120">
        <v>0</v>
      </c>
      <c r="CP103" s="120">
        <v>0</v>
      </c>
      <c r="CQ103" s="120">
        <v>0</v>
      </c>
      <c r="CR103" s="120">
        <v>0</v>
      </c>
      <c r="CS103" s="120">
        <v>0</v>
      </c>
      <c r="CT103" s="120">
        <v>0</v>
      </c>
      <c r="CU103" s="120">
        <v>0</v>
      </c>
      <c r="CV103" s="120">
        <v>0</v>
      </c>
      <c r="CW103" s="120">
        <v>0</v>
      </c>
      <c r="CX103" s="120">
        <v>0</v>
      </c>
      <c r="CY103" s="120">
        <v>0</v>
      </c>
      <c r="CZ103" s="120">
        <v>0</v>
      </c>
      <c r="DA103" s="120">
        <v>0</v>
      </c>
      <c r="DB103" s="120">
        <v>0</v>
      </c>
      <c r="DC103" s="120">
        <v>0</v>
      </c>
      <c r="DD103" s="120">
        <v>0</v>
      </c>
      <c r="DE103" s="120">
        <v>0</v>
      </c>
      <c r="DF103" s="120">
        <v>0</v>
      </c>
      <c r="DG103" s="120">
        <v>0</v>
      </c>
      <c r="DH103" s="120">
        <v>0</v>
      </c>
      <c r="DI103" s="120">
        <v>0</v>
      </c>
      <c r="DJ103" s="120">
        <v>0</v>
      </c>
      <c r="DK103" s="120">
        <v>0</v>
      </c>
      <c r="DL103" s="120">
        <v>0</v>
      </c>
      <c r="DM103" s="120">
        <v>0</v>
      </c>
      <c r="DN103" s="120">
        <v>0</v>
      </c>
      <c r="DO103" s="120">
        <v>0</v>
      </c>
      <c r="DP103" s="120">
        <v>83069.411053794538</v>
      </c>
      <c r="DQ103" s="120">
        <v>0</v>
      </c>
      <c r="DR103" s="120">
        <v>0</v>
      </c>
      <c r="DS103" s="120">
        <v>0</v>
      </c>
      <c r="DT103" s="120">
        <v>0</v>
      </c>
      <c r="DU103" s="120">
        <v>0</v>
      </c>
      <c r="DV103" s="120">
        <v>0</v>
      </c>
      <c r="DW103" s="120">
        <v>0</v>
      </c>
      <c r="DX103" s="120">
        <v>0</v>
      </c>
      <c r="DY103" s="120">
        <v>0</v>
      </c>
      <c r="DZ103" s="120">
        <v>0</v>
      </c>
      <c r="EA103" s="120">
        <v>0</v>
      </c>
      <c r="EB103" s="120">
        <v>0</v>
      </c>
      <c r="EC103" s="120">
        <v>0</v>
      </c>
      <c r="ED103" s="120">
        <f t="shared" si="1"/>
        <v>83069.411053794538</v>
      </c>
    </row>
    <row r="104" spans="1:134">
      <c r="A104" s="120">
        <v>103</v>
      </c>
      <c r="B104" s="120">
        <v>0</v>
      </c>
      <c r="C104" s="120">
        <v>0</v>
      </c>
      <c r="D104" s="120">
        <v>0</v>
      </c>
      <c r="E104" s="120">
        <v>0</v>
      </c>
      <c r="F104" s="120">
        <v>0</v>
      </c>
      <c r="G104" s="120">
        <v>0</v>
      </c>
      <c r="H104" s="120">
        <v>0</v>
      </c>
      <c r="I104" s="120">
        <v>0</v>
      </c>
      <c r="J104" s="120">
        <v>0</v>
      </c>
      <c r="K104" s="120">
        <v>0</v>
      </c>
      <c r="L104" s="120">
        <v>0</v>
      </c>
      <c r="M104" s="120">
        <v>0</v>
      </c>
      <c r="N104" s="120">
        <v>0</v>
      </c>
      <c r="O104" s="120">
        <v>0</v>
      </c>
      <c r="P104" s="120">
        <v>0</v>
      </c>
      <c r="Q104" s="120">
        <v>0</v>
      </c>
      <c r="R104" s="120">
        <v>0</v>
      </c>
      <c r="S104" s="120">
        <v>0</v>
      </c>
      <c r="T104" s="120">
        <v>0</v>
      </c>
      <c r="U104" s="120">
        <v>0</v>
      </c>
      <c r="V104" s="120">
        <v>0</v>
      </c>
      <c r="W104" s="120">
        <v>0</v>
      </c>
      <c r="X104" s="120">
        <v>0</v>
      </c>
      <c r="Y104" s="120">
        <v>0</v>
      </c>
      <c r="Z104" s="120">
        <v>0</v>
      </c>
      <c r="AA104" s="120">
        <v>0</v>
      </c>
      <c r="AB104" s="120">
        <v>0</v>
      </c>
      <c r="AC104" s="120">
        <v>0</v>
      </c>
      <c r="AD104" s="120">
        <v>0</v>
      </c>
      <c r="AE104" s="120">
        <v>0</v>
      </c>
      <c r="AF104" s="120">
        <v>0</v>
      </c>
      <c r="AG104" s="120">
        <v>0</v>
      </c>
      <c r="AH104" s="120">
        <v>0</v>
      </c>
      <c r="AI104" s="120">
        <v>0</v>
      </c>
      <c r="AJ104" s="120">
        <v>0</v>
      </c>
      <c r="AK104" s="120">
        <v>0</v>
      </c>
      <c r="AL104" s="120">
        <v>0</v>
      </c>
      <c r="AM104" s="120">
        <v>0</v>
      </c>
      <c r="AN104" s="120">
        <v>0</v>
      </c>
      <c r="AO104" s="120">
        <v>0</v>
      </c>
      <c r="AP104" s="120">
        <v>0</v>
      </c>
      <c r="AQ104" s="120">
        <v>0</v>
      </c>
      <c r="AR104" s="120">
        <v>0</v>
      </c>
      <c r="AS104" s="120">
        <v>0</v>
      </c>
      <c r="AT104" s="120">
        <v>0</v>
      </c>
      <c r="AU104" s="120">
        <v>0</v>
      </c>
      <c r="AV104" s="120">
        <v>0</v>
      </c>
      <c r="AW104" s="120">
        <v>0</v>
      </c>
      <c r="AX104" s="120">
        <v>0</v>
      </c>
      <c r="AY104" s="120">
        <v>0</v>
      </c>
      <c r="AZ104" s="120">
        <v>0</v>
      </c>
      <c r="BA104" s="120">
        <v>0</v>
      </c>
      <c r="BB104" s="120">
        <v>0</v>
      </c>
      <c r="BC104" s="120">
        <v>0</v>
      </c>
      <c r="BD104" s="120">
        <v>0</v>
      </c>
      <c r="BE104" s="120">
        <v>0</v>
      </c>
      <c r="BF104" s="120">
        <v>0</v>
      </c>
      <c r="BG104" s="120">
        <v>0</v>
      </c>
      <c r="BH104" s="120">
        <v>0</v>
      </c>
      <c r="BI104" s="120">
        <v>0</v>
      </c>
      <c r="BJ104" s="120">
        <v>0</v>
      </c>
      <c r="BK104" s="120">
        <v>0</v>
      </c>
      <c r="BL104" s="120">
        <v>0</v>
      </c>
      <c r="BM104" s="120">
        <v>0</v>
      </c>
      <c r="BN104" s="120">
        <v>0</v>
      </c>
      <c r="BO104" s="120">
        <v>0</v>
      </c>
      <c r="BP104" s="120">
        <v>0</v>
      </c>
      <c r="BQ104" s="120">
        <v>0</v>
      </c>
      <c r="BR104" s="120">
        <v>0</v>
      </c>
      <c r="BS104" s="120">
        <v>125688</v>
      </c>
      <c r="BT104" s="120">
        <v>0</v>
      </c>
      <c r="BU104" s="120">
        <v>0</v>
      </c>
      <c r="BV104" s="120">
        <v>0</v>
      </c>
      <c r="BW104" s="120">
        <v>0</v>
      </c>
      <c r="BX104" s="120">
        <v>0</v>
      </c>
      <c r="BY104" s="120">
        <v>453.09253528117108</v>
      </c>
      <c r="BZ104" s="120">
        <v>0</v>
      </c>
      <c r="CA104" s="120">
        <v>0</v>
      </c>
      <c r="CB104" s="120">
        <v>0</v>
      </c>
      <c r="CC104" s="120">
        <v>0</v>
      </c>
      <c r="CD104" s="120">
        <v>0</v>
      </c>
      <c r="CE104" s="120">
        <v>0</v>
      </c>
      <c r="CF104" s="120">
        <v>0</v>
      </c>
      <c r="CG104" s="120">
        <v>0</v>
      </c>
      <c r="CH104" s="120">
        <v>0</v>
      </c>
      <c r="CI104" s="120">
        <v>0</v>
      </c>
      <c r="CJ104" s="120">
        <v>0</v>
      </c>
      <c r="CK104" s="120">
        <v>0</v>
      </c>
      <c r="CL104" s="120">
        <v>0</v>
      </c>
      <c r="CM104" s="120">
        <v>0</v>
      </c>
      <c r="CN104" s="120">
        <v>0</v>
      </c>
      <c r="CO104" s="120">
        <v>0</v>
      </c>
      <c r="CP104" s="120">
        <v>0</v>
      </c>
      <c r="CQ104" s="120">
        <v>0</v>
      </c>
      <c r="CR104" s="120">
        <v>0</v>
      </c>
      <c r="CS104" s="120">
        <v>0</v>
      </c>
      <c r="CT104" s="120">
        <v>0</v>
      </c>
      <c r="CU104" s="120">
        <v>0</v>
      </c>
      <c r="CV104" s="120">
        <v>0</v>
      </c>
      <c r="CW104" s="120">
        <v>0</v>
      </c>
      <c r="CX104" s="120">
        <v>0</v>
      </c>
      <c r="CY104" s="120">
        <v>0</v>
      </c>
      <c r="CZ104" s="120">
        <v>0</v>
      </c>
      <c r="DA104" s="120">
        <v>0</v>
      </c>
      <c r="DB104" s="120">
        <v>0</v>
      </c>
      <c r="DC104" s="120">
        <v>0</v>
      </c>
      <c r="DD104" s="120">
        <v>0</v>
      </c>
      <c r="DE104" s="120">
        <v>0</v>
      </c>
      <c r="DF104" s="120">
        <v>0</v>
      </c>
      <c r="DG104" s="120">
        <v>0</v>
      </c>
      <c r="DH104" s="120">
        <v>0</v>
      </c>
      <c r="DI104" s="120">
        <v>0</v>
      </c>
      <c r="DJ104" s="120">
        <v>0</v>
      </c>
      <c r="DK104" s="120">
        <v>0</v>
      </c>
      <c r="DL104" s="120">
        <v>32943.64198767802</v>
      </c>
      <c r="DM104" s="120">
        <v>0</v>
      </c>
      <c r="DN104" s="120">
        <v>0</v>
      </c>
      <c r="DO104" s="120">
        <v>0</v>
      </c>
      <c r="DP104" s="120">
        <v>19707.009084186819</v>
      </c>
      <c r="DQ104" s="120">
        <v>0</v>
      </c>
      <c r="DR104" s="120">
        <v>-5494.3415248222009</v>
      </c>
      <c r="DS104" s="120">
        <v>0</v>
      </c>
      <c r="DT104" s="120">
        <v>0</v>
      </c>
      <c r="DU104" s="120">
        <v>0</v>
      </c>
      <c r="DV104" s="120">
        <v>0</v>
      </c>
      <c r="DW104" s="120">
        <v>0</v>
      </c>
      <c r="DX104" s="120">
        <v>0</v>
      </c>
      <c r="DY104" s="120">
        <v>0</v>
      </c>
      <c r="DZ104" s="120">
        <v>0</v>
      </c>
      <c r="EA104" s="120">
        <v>0</v>
      </c>
      <c r="EB104" s="120">
        <v>0</v>
      </c>
      <c r="EC104" s="120">
        <v>0</v>
      </c>
      <c r="ED104" s="120">
        <f t="shared" si="1"/>
        <v>173297.4020823238</v>
      </c>
    </row>
    <row r="105" spans="1:134">
      <c r="A105" s="120">
        <v>104</v>
      </c>
      <c r="B105" s="120">
        <v>0</v>
      </c>
      <c r="C105" s="120">
        <v>0</v>
      </c>
      <c r="D105" s="120">
        <v>0</v>
      </c>
      <c r="E105" s="120">
        <v>0</v>
      </c>
      <c r="F105" s="120">
        <v>0</v>
      </c>
      <c r="G105" s="120">
        <v>0</v>
      </c>
      <c r="H105" s="120">
        <v>0</v>
      </c>
      <c r="I105" s="120">
        <v>0</v>
      </c>
      <c r="J105" s="120">
        <v>0</v>
      </c>
      <c r="K105" s="120">
        <v>0</v>
      </c>
      <c r="L105" s="120">
        <v>0</v>
      </c>
      <c r="M105" s="120">
        <v>0</v>
      </c>
      <c r="N105" s="120">
        <v>0</v>
      </c>
      <c r="O105" s="120">
        <v>0</v>
      </c>
      <c r="P105" s="120">
        <v>0</v>
      </c>
      <c r="Q105" s="120">
        <v>0</v>
      </c>
      <c r="R105" s="120">
        <v>0</v>
      </c>
      <c r="S105" s="120">
        <v>0</v>
      </c>
      <c r="T105" s="120">
        <v>0</v>
      </c>
      <c r="U105" s="120">
        <v>0</v>
      </c>
      <c r="V105" s="120">
        <v>0</v>
      </c>
      <c r="W105" s="120">
        <v>0</v>
      </c>
      <c r="X105" s="120">
        <v>0</v>
      </c>
      <c r="Y105" s="120">
        <v>0</v>
      </c>
      <c r="Z105" s="120">
        <v>0</v>
      </c>
      <c r="AA105" s="120">
        <v>0</v>
      </c>
      <c r="AB105" s="120">
        <v>0</v>
      </c>
      <c r="AC105" s="120">
        <v>0</v>
      </c>
      <c r="AD105" s="120">
        <v>0</v>
      </c>
      <c r="AE105" s="120">
        <v>0</v>
      </c>
      <c r="AF105" s="120">
        <v>0</v>
      </c>
      <c r="AG105" s="120">
        <v>0</v>
      </c>
      <c r="AH105" s="120">
        <v>0</v>
      </c>
      <c r="AI105" s="120">
        <v>0</v>
      </c>
      <c r="AJ105" s="120">
        <v>0</v>
      </c>
      <c r="AK105" s="120">
        <v>0</v>
      </c>
      <c r="AL105" s="120">
        <v>0</v>
      </c>
      <c r="AM105" s="120">
        <v>0</v>
      </c>
      <c r="AN105" s="120">
        <v>0</v>
      </c>
      <c r="AO105" s="120">
        <v>0</v>
      </c>
      <c r="AP105" s="120">
        <v>0</v>
      </c>
      <c r="AQ105" s="120">
        <v>0</v>
      </c>
      <c r="AR105" s="120">
        <v>0</v>
      </c>
      <c r="AS105" s="120">
        <v>0</v>
      </c>
      <c r="AT105" s="120">
        <v>0</v>
      </c>
      <c r="AU105" s="120">
        <v>0</v>
      </c>
      <c r="AV105" s="120">
        <v>0</v>
      </c>
      <c r="AW105" s="120">
        <v>0</v>
      </c>
      <c r="AX105" s="120">
        <v>0</v>
      </c>
      <c r="AY105" s="120">
        <v>0</v>
      </c>
      <c r="AZ105" s="120">
        <v>0</v>
      </c>
      <c r="BA105" s="120">
        <v>0</v>
      </c>
      <c r="BB105" s="120">
        <v>0</v>
      </c>
      <c r="BC105" s="120">
        <v>0</v>
      </c>
      <c r="BD105" s="120">
        <v>0</v>
      </c>
      <c r="BE105" s="120">
        <v>0</v>
      </c>
      <c r="BF105" s="120">
        <v>0</v>
      </c>
      <c r="BG105" s="120">
        <v>0</v>
      </c>
      <c r="BH105" s="120">
        <v>0</v>
      </c>
      <c r="BI105" s="120">
        <v>0</v>
      </c>
      <c r="BJ105" s="120">
        <v>0</v>
      </c>
      <c r="BK105" s="120">
        <v>0</v>
      </c>
      <c r="BL105" s="120">
        <v>0</v>
      </c>
      <c r="BM105" s="120">
        <v>0</v>
      </c>
      <c r="BN105" s="120">
        <v>0</v>
      </c>
      <c r="BO105" s="120">
        <v>0</v>
      </c>
      <c r="BP105" s="120">
        <v>0</v>
      </c>
      <c r="BQ105" s="120">
        <v>0</v>
      </c>
      <c r="BR105" s="120">
        <v>0</v>
      </c>
      <c r="BS105" s="120">
        <v>29748.595136080949</v>
      </c>
      <c r="BT105" s="120">
        <v>0</v>
      </c>
      <c r="BU105" s="120">
        <v>0</v>
      </c>
      <c r="BV105" s="120">
        <v>0</v>
      </c>
      <c r="BW105" s="120">
        <v>0</v>
      </c>
      <c r="BX105" s="120">
        <v>0</v>
      </c>
      <c r="BY105" s="120">
        <v>0</v>
      </c>
      <c r="BZ105" s="120">
        <v>0</v>
      </c>
      <c r="CA105" s="120">
        <v>0</v>
      </c>
      <c r="CB105" s="120">
        <v>0</v>
      </c>
      <c r="CC105" s="120">
        <v>0</v>
      </c>
      <c r="CD105" s="120">
        <v>0</v>
      </c>
      <c r="CE105" s="120">
        <v>0</v>
      </c>
      <c r="CF105" s="120">
        <v>0</v>
      </c>
      <c r="CG105" s="120">
        <v>0</v>
      </c>
      <c r="CH105" s="120">
        <v>0</v>
      </c>
      <c r="CI105" s="120">
        <v>0</v>
      </c>
      <c r="CJ105" s="120">
        <v>0</v>
      </c>
      <c r="CK105" s="120">
        <v>0</v>
      </c>
      <c r="CL105" s="120">
        <v>0</v>
      </c>
      <c r="CM105" s="120">
        <v>0</v>
      </c>
      <c r="CN105" s="120">
        <v>0</v>
      </c>
      <c r="CO105" s="120">
        <v>0</v>
      </c>
      <c r="CP105" s="120">
        <v>0</v>
      </c>
      <c r="CQ105" s="120">
        <v>0</v>
      </c>
      <c r="CR105" s="120">
        <v>0</v>
      </c>
      <c r="CS105" s="120">
        <v>0</v>
      </c>
      <c r="CT105" s="120">
        <v>0</v>
      </c>
      <c r="CU105" s="120">
        <v>0</v>
      </c>
      <c r="CV105" s="120">
        <v>0</v>
      </c>
      <c r="CW105" s="120">
        <v>0</v>
      </c>
      <c r="CX105" s="120">
        <v>0</v>
      </c>
      <c r="CY105" s="120">
        <v>0</v>
      </c>
      <c r="CZ105" s="120">
        <v>0</v>
      </c>
      <c r="DA105" s="120">
        <v>0</v>
      </c>
      <c r="DB105" s="120">
        <v>0</v>
      </c>
      <c r="DC105" s="120">
        <v>0</v>
      </c>
      <c r="DD105" s="120">
        <v>0</v>
      </c>
      <c r="DE105" s="120">
        <v>0</v>
      </c>
      <c r="DF105" s="120">
        <v>0</v>
      </c>
      <c r="DG105" s="120">
        <v>0</v>
      </c>
      <c r="DH105" s="120">
        <v>0</v>
      </c>
      <c r="DI105" s="120">
        <v>0</v>
      </c>
      <c r="DJ105" s="120">
        <v>0</v>
      </c>
      <c r="DK105" s="120">
        <v>0</v>
      </c>
      <c r="DL105" s="120">
        <v>0</v>
      </c>
      <c r="DM105" s="120">
        <v>0</v>
      </c>
      <c r="DN105" s="120">
        <v>0</v>
      </c>
      <c r="DO105" s="120">
        <v>0</v>
      </c>
      <c r="DP105" s="120">
        <v>3906.5444257118952</v>
      </c>
      <c r="DQ105" s="120">
        <v>0</v>
      </c>
      <c r="DR105" s="120">
        <v>-4066.3684773267159</v>
      </c>
      <c r="DS105" s="120">
        <v>0</v>
      </c>
      <c r="DT105" s="120">
        <v>0</v>
      </c>
      <c r="DU105" s="120">
        <v>0</v>
      </c>
      <c r="DV105" s="120">
        <v>0</v>
      </c>
      <c r="DW105" s="120">
        <v>0</v>
      </c>
      <c r="DX105" s="120">
        <v>0</v>
      </c>
      <c r="DY105" s="120">
        <v>0</v>
      </c>
      <c r="DZ105" s="120">
        <v>0</v>
      </c>
      <c r="EA105" s="120">
        <v>0</v>
      </c>
      <c r="EB105" s="120">
        <v>0</v>
      </c>
      <c r="EC105" s="120">
        <v>0</v>
      </c>
      <c r="ED105" s="120">
        <f t="shared" si="1"/>
        <v>29588.771084466127</v>
      </c>
    </row>
    <row r="106" spans="1:134">
      <c r="A106" s="120">
        <v>105</v>
      </c>
      <c r="B106" s="120">
        <v>0</v>
      </c>
      <c r="C106" s="120">
        <v>0</v>
      </c>
      <c r="D106" s="120">
        <v>0</v>
      </c>
      <c r="E106" s="120">
        <v>0</v>
      </c>
      <c r="F106" s="120">
        <v>0</v>
      </c>
      <c r="G106" s="120">
        <v>0</v>
      </c>
      <c r="H106" s="120">
        <v>0</v>
      </c>
      <c r="I106" s="120">
        <v>0</v>
      </c>
      <c r="J106" s="120">
        <v>0</v>
      </c>
      <c r="K106" s="120">
        <v>0</v>
      </c>
      <c r="L106" s="120">
        <v>0</v>
      </c>
      <c r="M106" s="120">
        <v>0</v>
      </c>
      <c r="N106" s="120">
        <v>0</v>
      </c>
      <c r="O106" s="120">
        <v>0</v>
      </c>
      <c r="P106" s="120">
        <v>0</v>
      </c>
      <c r="Q106" s="120">
        <v>0</v>
      </c>
      <c r="R106" s="120">
        <v>0</v>
      </c>
      <c r="S106" s="120">
        <v>0</v>
      </c>
      <c r="T106" s="120">
        <v>0</v>
      </c>
      <c r="U106" s="120">
        <v>0</v>
      </c>
      <c r="V106" s="120">
        <v>0</v>
      </c>
      <c r="W106" s="120">
        <v>0</v>
      </c>
      <c r="X106" s="120">
        <v>0</v>
      </c>
      <c r="Y106" s="120">
        <v>0</v>
      </c>
      <c r="Z106" s="120">
        <v>0</v>
      </c>
      <c r="AA106" s="120">
        <v>0</v>
      </c>
      <c r="AB106" s="120">
        <v>0</v>
      </c>
      <c r="AC106" s="120">
        <v>0</v>
      </c>
      <c r="AD106" s="120">
        <v>0</v>
      </c>
      <c r="AE106" s="120">
        <v>0</v>
      </c>
      <c r="AF106" s="120">
        <v>0</v>
      </c>
      <c r="AG106" s="120">
        <v>0</v>
      </c>
      <c r="AH106" s="120">
        <v>0</v>
      </c>
      <c r="AI106" s="120">
        <v>0</v>
      </c>
      <c r="AJ106" s="120">
        <v>0</v>
      </c>
      <c r="AK106" s="120">
        <v>0</v>
      </c>
      <c r="AL106" s="120">
        <v>0</v>
      </c>
      <c r="AM106" s="120">
        <v>0</v>
      </c>
      <c r="AN106" s="120">
        <v>0</v>
      </c>
      <c r="AO106" s="120">
        <v>0</v>
      </c>
      <c r="AP106" s="120">
        <v>0</v>
      </c>
      <c r="AQ106" s="120">
        <v>0</v>
      </c>
      <c r="AR106" s="120">
        <v>0</v>
      </c>
      <c r="AS106" s="120">
        <v>0</v>
      </c>
      <c r="AT106" s="120">
        <v>0</v>
      </c>
      <c r="AU106" s="120">
        <v>0</v>
      </c>
      <c r="AV106" s="120">
        <v>0</v>
      </c>
      <c r="AW106" s="120">
        <v>0</v>
      </c>
      <c r="AX106" s="120">
        <v>0</v>
      </c>
      <c r="AY106" s="120">
        <v>0</v>
      </c>
      <c r="AZ106" s="120">
        <v>0</v>
      </c>
      <c r="BA106" s="120">
        <v>0</v>
      </c>
      <c r="BB106" s="120">
        <v>0</v>
      </c>
      <c r="BC106" s="120">
        <v>0</v>
      </c>
      <c r="BD106" s="120">
        <v>0</v>
      </c>
      <c r="BE106" s="120">
        <v>0</v>
      </c>
      <c r="BF106" s="120">
        <v>0</v>
      </c>
      <c r="BG106" s="120">
        <v>0</v>
      </c>
      <c r="BH106" s="120">
        <v>0</v>
      </c>
      <c r="BI106" s="120">
        <v>0</v>
      </c>
      <c r="BJ106" s="120">
        <v>0</v>
      </c>
      <c r="BK106" s="120">
        <v>0</v>
      </c>
      <c r="BL106" s="120">
        <v>0</v>
      </c>
      <c r="BM106" s="120">
        <v>0</v>
      </c>
      <c r="BN106" s="120">
        <v>0</v>
      </c>
      <c r="BO106" s="120">
        <v>0</v>
      </c>
      <c r="BP106" s="120">
        <v>0</v>
      </c>
      <c r="BQ106" s="120">
        <v>0</v>
      </c>
      <c r="BR106" s="120">
        <v>0</v>
      </c>
      <c r="BS106" s="120">
        <v>0</v>
      </c>
      <c r="BT106" s="120">
        <v>0</v>
      </c>
      <c r="BU106" s="120">
        <v>0</v>
      </c>
      <c r="BV106" s="120">
        <v>0</v>
      </c>
      <c r="BW106" s="120">
        <v>0</v>
      </c>
      <c r="BX106" s="120">
        <v>0</v>
      </c>
      <c r="BY106" s="120">
        <v>0</v>
      </c>
      <c r="BZ106" s="120">
        <v>0</v>
      </c>
      <c r="CA106" s="120">
        <v>0</v>
      </c>
      <c r="CB106" s="120">
        <v>0</v>
      </c>
      <c r="CC106" s="120">
        <v>0</v>
      </c>
      <c r="CD106" s="120">
        <v>5322.8546588443087</v>
      </c>
      <c r="CE106" s="120">
        <v>8807.2995861931431</v>
      </c>
      <c r="CF106" s="120">
        <v>2393.464784803064</v>
      </c>
      <c r="CG106" s="120">
        <v>249.0253665846088</v>
      </c>
      <c r="CH106" s="120">
        <v>224.16603364080299</v>
      </c>
      <c r="CI106" s="120">
        <v>1215.758072590738</v>
      </c>
      <c r="CJ106" s="120">
        <v>568.22980958634275</v>
      </c>
      <c r="CK106" s="120">
        <v>1826.7420040259451</v>
      </c>
      <c r="CL106" s="120">
        <v>9166.5013131976357</v>
      </c>
      <c r="CM106" s="120">
        <v>12895.493748629089</v>
      </c>
      <c r="CN106" s="120">
        <v>2427.8502296387019</v>
      </c>
      <c r="CO106" s="120">
        <v>0</v>
      </c>
      <c r="CP106" s="120">
        <v>0</v>
      </c>
      <c r="CQ106" s="120">
        <v>0</v>
      </c>
      <c r="CR106" s="120">
        <v>0</v>
      </c>
      <c r="CS106" s="120">
        <v>0</v>
      </c>
      <c r="CT106" s="120">
        <v>0</v>
      </c>
      <c r="CU106" s="120">
        <v>111.6550099655735</v>
      </c>
      <c r="CV106" s="120">
        <v>3960.83556638246</v>
      </c>
      <c r="CW106" s="120">
        <v>713.66084788029923</v>
      </c>
      <c r="CX106" s="120">
        <v>59.309745740313289</v>
      </c>
      <c r="CY106" s="120">
        <v>3005.3960623794869</v>
      </c>
      <c r="CZ106" s="120">
        <v>766.65574291235407</v>
      </c>
      <c r="DA106" s="120">
        <v>0</v>
      </c>
      <c r="DB106" s="120">
        <v>3792.319249643268</v>
      </c>
      <c r="DC106" s="120">
        <v>0</v>
      </c>
      <c r="DD106" s="120">
        <v>0</v>
      </c>
      <c r="DE106" s="120">
        <v>0</v>
      </c>
      <c r="DF106" s="120">
        <v>0</v>
      </c>
      <c r="DG106" s="120">
        <v>0</v>
      </c>
      <c r="DH106" s="120">
        <v>0</v>
      </c>
      <c r="DI106" s="120">
        <v>0</v>
      </c>
      <c r="DJ106" s="120">
        <v>0</v>
      </c>
      <c r="DK106" s="120">
        <v>0</v>
      </c>
      <c r="DL106" s="120">
        <v>5011.7368535615306</v>
      </c>
      <c r="DM106" s="120">
        <v>0</v>
      </c>
      <c r="DN106" s="120">
        <v>0</v>
      </c>
      <c r="DO106" s="120">
        <v>0</v>
      </c>
      <c r="DP106" s="120">
        <v>46989.855090779252</v>
      </c>
      <c r="DQ106" s="120">
        <v>0</v>
      </c>
      <c r="DR106" s="120">
        <v>-18643.474037798031</v>
      </c>
      <c r="DS106" s="120">
        <v>0</v>
      </c>
      <c r="DT106" s="120">
        <v>0</v>
      </c>
      <c r="DU106" s="120">
        <v>0</v>
      </c>
      <c r="DV106" s="120">
        <v>0</v>
      </c>
      <c r="DW106" s="120">
        <v>0</v>
      </c>
      <c r="DX106" s="120">
        <v>0</v>
      </c>
      <c r="DY106" s="120">
        <v>0</v>
      </c>
      <c r="DZ106" s="120">
        <v>0</v>
      </c>
      <c r="EA106" s="120">
        <v>0</v>
      </c>
      <c r="EB106" s="120">
        <v>0</v>
      </c>
      <c r="EC106" s="120">
        <v>0</v>
      </c>
      <c r="ED106" s="120">
        <f t="shared" si="1"/>
        <v>90865.335739180882</v>
      </c>
    </row>
    <row r="107" spans="1:134">
      <c r="A107" s="120">
        <v>106</v>
      </c>
      <c r="B107" s="120">
        <v>0</v>
      </c>
      <c r="C107" s="120">
        <v>0</v>
      </c>
      <c r="D107" s="120">
        <v>0</v>
      </c>
      <c r="E107" s="120">
        <v>0</v>
      </c>
      <c r="F107" s="120">
        <v>0</v>
      </c>
      <c r="G107" s="120">
        <v>0</v>
      </c>
      <c r="H107" s="120">
        <v>0</v>
      </c>
      <c r="I107" s="120">
        <v>0</v>
      </c>
      <c r="J107" s="120">
        <v>0</v>
      </c>
      <c r="K107" s="120">
        <v>0</v>
      </c>
      <c r="L107" s="120">
        <v>0</v>
      </c>
      <c r="M107" s="120">
        <v>0</v>
      </c>
      <c r="N107" s="120">
        <v>0</v>
      </c>
      <c r="O107" s="120">
        <v>0</v>
      </c>
      <c r="P107" s="120">
        <v>0</v>
      </c>
      <c r="Q107" s="120">
        <v>0</v>
      </c>
      <c r="R107" s="120">
        <v>0</v>
      </c>
      <c r="S107" s="120">
        <v>0</v>
      </c>
      <c r="T107" s="120">
        <v>0</v>
      </c>
      <c r="U107" s="120">
        <v>0</v>
      </c>
      <c r="V107" s="120">
        <v>0</v>
      </c>
      <c r="W107" s="120">
        <v>0</v>
      </c>
      <c r="X107" s="120">
        <v>0</v>
      </c>
      <c r="Y107" s="120">
        <v>0</v>
      </c>
      <c r="Z107" s="120">
        <v>0</v>
      </c>
      <c r="AA107" s="120">
        <v>0</v>
      </c>
      <c r="AB107" s="120">
        <v>0</v>
      </c>
      <c r="AC107" s="120">
        <v>0</v>
      </c>
      <c r="AD107" s="120">
        <v>0</v>
      </c>
      <c r="AE107" s="120">
        <v>0</v>
      </c>
      <c r="AF107" s="120">
        <v>0</v>
      </c>
      <c r="AG107" s="120">
        <v>0</v>
      </c>
      <c r="AH107" s="120">
        <v>0</v>
      </c>
      <c r="AI107" s="120">
        <v>0</v>
      </c>
      <c r="AJ107" s="120">
        <v>0</v>
      </c>
      <c r="AK107" s="120">
        <v>0</v>
      </c>
      <c r="AL107" s="120">
        <v>0</v>
      </c>
      <c r="AM107" s="120">
        <v>0</v>
      </c>
      <c r="AN107" s="120">
        <v>0</v>
      </c>
      <c r="AO107" s="120">
        <v>0</v>
      </c>
      <c r="AP107" s="120">
        <v>0</v>
      </c>
      <c r="AQ107" s="120">
        <v>0</v>
      </c>
      <c r="AR107" s="120">
        <v>0</v>
      </c>
      <c r="AS107" s="120">
        <v>0</v>
      </c>
      <c r="AT107" s="120">
        <v>0</v>
      </c>
      <c r="AU107" s="120">
        <v>0</v>
      </c>
      <c r="AV107" s="120">
        <v>0</v>
      </c>
      <c r="AW107" s="120">
        <v>0</v>
      </c>
      <c r="AX107" s="120">
        <v>0</v>
      </c>
      <c r="AY107" s="120">
        <v>0</v>
      </c>
      <c r="AZ107" s="120">
        <v>0</v>
      </c>
      <c r="BA107" s="120">
        <v>0</v>
      </c>
      <c r="BB107" s="120">
        <v>0</v>
      </c>
      <c r="BC107" s="120">
        <v>0</v>
      </c>
      <c r="BD107" s="120">
        <v>0</v>
      </c>
      <c r="BE107" s="120">
        <v>0</v>
      </c>
      <c r="BF107" s="120">
        <v>0</v>
      </c>
      <c r="BG107" s="120">
        <v>0</v>
      </c>
      <c r="BH107" s="120">
        <v>0</v>
      </c>
      <c r="BI107" s="120">
        <v>0</v>
      </c>
      <c r="BJ107" s="120">
        <v>0</v>
      </c>
      <c r="BK107" s="120">
        <v>0</v>
      </c>
      <c r="BL107" s="120">
        <v>0</v>
      </c>
      <c r="BM107" s="120">
        <v>0</v>
      </c>
      <c r="BN107" s="120">
        <v>0</v>
      </c>
      <c r="BO107" s="120">
        <v>0</v>
      </c>
      <c r="BP107" s="120">
        <v>0</v>
      </c>
      <c r="BQ107" s="120">
        <v>0</v>
      </c>
      <c r="BR107" s="120">
        <v>0</v>
      </c>
      <c r="BS107" s="120">
        <v>12560.88726472067</v>
      </c>
      <c r="BT107" s="120">
        <v>0</v>
      </c>
      <c r="BU107" s="120">
        <v>0</v>
      </c>
      <c r="BV107" s="120">
        <v>0</v>
      </c>
      <c r="BW107" s="120">
        <v>0</v>
      </c>
      <c r="BX107" s="120">
        <v>0</v>
      </c>
      <c r="BY107" s="120">
        <v>0</v>
      </c>
      <c r="BZ107" s="120">
        <v>0</v>
      </c>
      <c r="CA107" s="120">
        <v>0</v>
      </c>
      <c r="CB107" s="120">
        <v>0</v>
      </c>
      <c r="CC107" s="120">
        <v>0</v>
      </c>
      <c r="CD107" s="120">
        <v>0</v>
      </c>
      <c r="CE107" s="120">
        <v>0</v>
      </c>
      <c r="CF107" s="120">
        <v>0</v>
      </c>
      <c r="CG107" s="120">
        <v>0</v>
      </c>
      <c r="CH107" s="120">
        <v>0</v>
      </c>
      <c r="CI107" s="120">
        <v>0</v>
      </c>
      <c r="CJ107" s="120">
        <v>0</v>
      </c>
      <c r="CK107" s="120">
        <v>0</v>
      </c>
      <c r="CL107" s="120">
        <v>0</v>
      </c>
      <c r="CM107" s="120">
        <v>0</v>
      </c>
      <c r="CN107" s="120">
        <v>0</v>
      </c>
      <c r="CO107" s="120">
        <v>0</v>
      </c>
      <c r="CP107" s="120">
        <v>0</v>
      </c>
      <c r="CQ107" s="120">
        <v>0</v>
      </c>
      <c r="CR107" s="120">
        <v>0</v>
      </c>
      <c r="CS107" s="120">
        <v>0</v>
      </c>
      <c r="CT107" s="120">
        <v>0</v>
      </c>
      <c r="CU107" s="120">
        <v>0</v>
      </c>
      <c r="CV107" s="120">
        <v>0</v>
      </c>
      <c r="CW107" s="120">
        <v>0</v>
      </c>
      <c r="CX107" s="120">
        <v>0</v>
      </c>
      <c r="CY107" s="120">
        <v>0</v>
      </c>
      <c r="CZ107" s="120">
        <v>0</v>
      </c>
      <c r="DA107" s="120">
        <v>0</v>
      </c>
      <c r="DB107" s="120">
        <v>0</v>
      </c>
      <c r="DC107" s="120">
        <v>0</v>
      </c>
      <c r="DD107" s="120">
        <v>0</v>
      </c>
      <c r="DE107" s="120">
        <v>0</v>
      </c>
      <c r="DF107" s="120">
        <v>0</v>
      </c>
      <c r="DG107" s="120">
        <v>0</v>
      </c>
      <c r="DH107" s="120">
        <v>0</v>
      </c>
      <c r="DI107" s="120">
        <v>0</v>
      </c>
      <c r="DJ107" s="120">
        <v>0</v>
      </c>
      <c r="DK107" s="120">
        <v>0</v>
      </c>
      <c r="DL107" s="120">
        <v>0</v>
      </c>
      <c r="DM107" s="120">
        <v>0</v>
      </c>
      <c r="DN107" s="120">
        <v>0</v>
      </c>
      <c r="DO107" s="120">
        <v>0</v>
      </c>
      <c r="DP107" s="120">
        <v>256.64494920690288</v>
      </c>
      <c r="DQ107" s="120">
        <v>0</v>
      </c>
      <c r="DR107" s="120">
        <v>-414.24543739918732</v>
      </c>
      <c r="DS107" s="120">
        <v>0</v>
      </c>
      <c r="DT107" s="120">
        <v>0</v>
      </c>
      <c r="DU107" s="120">
        <v>0</v>
      </c>
      <c r="DV107" s="120">
        <v>0</v>
      </c>
      <c r="DW107" s="120">
        <v>0</v>
      </c>
      <c r="DX107" s="120">
        <v>0</v>
      </c>
      <c r="DY107" s="120">
        <v>0</v>
      </c>
      <c r="DZ107" s="120">
        <v>0</v>
      </c>
      <c r="EA107" s="120">
        <v>0</v>
      </c>
      <c r="EB107" s="120">
        <v>0</v>
      </c>
      <c r="EC107" s="120">
        <v>0</v>
      </c>
      <c r="ED107" s="120">
        <f t="shared" si="1"/>
        <v>12403.286776528385</v>
      </c>
    </row>
    <row r="108" spans="1:134">
      <c r="A108" s="120">
        <v>107</v>
      </c>
      <c r="B108" s="120">
        <v>0</v>
      </c>
      <c r="C108" s="120">
        <v>0</v>
      </c>
      <c r="D108" s="120">
        <v>0</v>
      </c>
      <c r="E108" s="120">
        <v>0</v>
      </c>
      <c r="F108" s="120">
        <v>0</v>
      </c>
      <c r="G108" s="120">
        <v>0</v>
      </c>
      <c r="H108" s="120">
        <v>0</v>
      </c>
      <c r="I108" s="120">
        <v>0</v>
      </c>
      <c r="J108" s="120">
        <v>0</v>
      </c>
      <c r="K108" s="120">
        <v>0</v>
      </c>
      <c r="L108" s="120">
        <v>0</v>
      </c>
      <c r="M108" s="120">
        <v>0</v>
      </c>
      <c r="N108" s="120">
        <v>0</v>
      </c>
      <c r="O108" s="120">
        <v>0</v>
      </c>
      <c r="P108" s="120">
        <v>0</v>
      </c>
      <c r="Q108" s="120">
        <v>0</v>
      </c>
      <c r="R108" s="120">
        <v>0</v>
      </c>
      <c r="S108" s="120">
        <v>0</v>
      </c>
      <c r="T108" s="120">
        <v>0</v>
      </c>
      <c r="U108" s="120">
        <v>0</v>
      </c>
      <c r="V108" s="120">
        <v>0</v>
      </c>
      <c r="W108" s="120">
        <v>0</v>
      </c>
      <c r="X108" s="120">
        <v>0</v>
      </c>
      <c r="Y108" s="120">
        <v>0</v>
      </c>
      <c r="Z108" s="120">
        <v>0</v>
      </c>
      <c r="AA108" s="120">
        <v>0</v>
      </c>
      <c r="AB108" s="120">
        <v>0</v>
      </c>
      <c r="AC108" s="120">
        <v>0</v>
      </c>
      <c r="AD108" s="120">
        <v>0</v>
      </c>
      <c r="AE108" s="120">
        <v>0</v>
      </c>
      <c r="AF108" s="120">
        <v>0</v>
      </c>
      <c r="AG108" s="120">
        <v>0</v>
      </c>
      <c r="AH108" s="120">
        <v>0</v>
      </c>
      <c r="AI108" s="120">
        <v>0</v>
      </c>
      <c r="AJ108" s="120">
        <v>0</v>
      </c>
      <c r="AK108" s="120">
        <v>0</v>
      </c>
      <c r="AL108" s="120">
        <v>0</v>
      </c>
      <c r="AM108" s="120">
        <v>0</v>
      </c>
      <c r="AN108" s="120">
        <v>0</v>
      </c>
      <c r="AO108" s="120">
        <v>0</v>
      </c>
      <c r="AP108" s="120">
        <v>0</v>
      </c>
      <c r="AQ108" s="120">
        <v>0</v>
      </c>
      <c r="AR108" s="120">
        <v>0</v>
      </c>
      <c r="AS108" s="120">
        <v>0</v>
      </c>
      <c r="AT108" s="120">
        <v>0</v>
      </c>
      <c r="AU108" s="120">
        <v>0</v>
      </c>
      <c r="AV108" s="120">
        <v>0</v>
      </c>
      <c r="AW108" s="120">
        <v>0</v>
      </c>
      <c r="AX108" s="120">
        <v>0</v>
      </c>
      <c r="AY108" s="120">
        <v>0</v>
      </c>
      <c r="AZ108" s="120">
        <v>0</v>
      </c>
      <c r="BA108" s="120">
        <v>0</v>
      </c>
      <c r="BB108" s="120">
        <v>0</v>
      </c>
      <c r="BC108" s="120">
        <v>0</v>
      </c>
      <c r="BD108" s="120">
        <v>0</v>
      </c>
      <c r="BE108" s="120">
        <v>0</v>
      </c>
      <c r="BF108" s="120">
        <v>0</v>
      </c>
      <c r="BG108" s="120">
        <v>0</v>
      </c>
      <c r="BH108" s="120">
        <v>0</v>
      </c>
      <c r="BI108" s="120">
        <v>0</v>
      </c>
      <c r="BJ108" s="120">
        <v>0</v>
      </c>
      <c r="BK108" s="120">
        <v>0</v>
      </c>
      <c r="BL108" s="120">
        <v>0</v>
      </c>
      <c r="BM108" s="120">
        <v>0</v>
      </c>
      <c r="BN108" s="120">
        <v>0</v>
      </c>
      <c r="BO108" s="120">
        <v>0</v>
      </c>
      <c r="BP108" s="120">
        <v>0</v>
      </c>
      <c r="BQ108" s="120">
        <v>0</v>
      </c>
      <c r="BR108" s="120">
        <v>0</v>
      </c>
      <c r="BS108" s="120">
        <v>0</v>
      </c>
      <c r="BT108" s="120">
        <v>0</v>
      </c>
      <c r="BU108" s="120">
        <v>0</v>
      </c>
      <c r="BV108" s="120">
        <v>0</v>
      </c>
      <c r="BW108" s="120">
        <v>0</v>
      </c>
      <c r="BX108" s="120">
        <v>0</v>
      </c>
      <c r="BY108" s="120">
        <v>0</v>
      </c>
      <c r="BZ108" s="120">
        <v>0</v>
      </c>
      <c r="CA108" s="120">
        <v>0</v>
      </c>
      <c r="CB108" s="120">
        <v>0</v>
      </c>
      <c r="CC108" s="120">
        <v>59764.334718744678</v>
      </c>
      <c r="CD108" s="120">
        <v>0</v>
      </c>
      <c r="CE108" s="120">
        <v>0</v>
      </c>
      <c r="CF108" s="120">
        <v>0</v>
      </c>
      <c r="CG108" s="120">
        <v>0</v>
      </c>
      <c r="CH108" s="120">
        <v>0</v>
      </c>
      <c r="CI108" s="120">
        <v>0</v>
      </c>
      <c r="CJ108" s="120">
        <v>0</v>
      </c>
      <c r="CK108" s="120">
        <v>0</v>
      </c>
      <c r="CL108" s="120">
        <v>0</v>
      </c>
      <c r="CM108" s="120">
        <v>0</v>
      </c>
      <c r="CN108" s="120">
        <v>0</v>
      </c>
      <c r="CO108" s="120">
        <v>0</v>
      </c>
      <c r="CP108" s="120">
        <v>0</v>
      </c>
      <c r="CQ108" s="120">
        <v>0</v>
      </c>
      <c r="CR108" s="120">
        <v>0</v>
      </c>
      <c r="CS108" s="120">
        <v>0</v>
      </c>
      <c r="CT108" s="120">
        <v>0</v>
      </c>
      <c r="CU108" s="120">
        <v>0</v>
      </c>
      <c r="CV108" s="120">
        <v>0</v>
      </c>
      <c r="CW108" s="120">
        <v>0</v>
      </c>
      <c r="CX108" s="120">
        <v>0</v>
      </c>
      <c r="CY108" s="120">
        <v>0</v>
      </c>
      <c r="CZ108" s="120">
        <v>0</v>
      </c>
      <c r="DA108" s="120">
        <v>0</v>
      </c>
      <c r="DB108" s="120">
        <v>0</v>
      </c>
      <c r="DC108" s="120">
        <v>0</v>
      </c>
      <c r="DD108" s="120">
        <v>0</v>
      </c>
      <c r="DE108" s="120">
        <v>0</v>
      </c>
      <c r="DF108" s="120">
        <v>0</v>
      </c>
      <c r="DG108" s="120">
        <v>0</v>
      </c>
      <c r="DH108" s="120">
        <v>333102.73379390629</v>
      </c>
      <c r="DI108" s="120">
        <v>0</v>
      </c>
      <c r="DJ108" s="120">
        <v>0</v>
      </c>
      <c r="DK108" s="120">
        <v>0</v>
      </c>
      <c r="DL108" s="120">
        <v>0</v>
      </c>
      <c r="DM108" s="120">
        <v>0</v>
      </c>
      <c r="DN108" s="120">
        <v>0</v>
      </c>
      <c r="DO108" s="120">
        <v>0</v>
      </c>
      <c r="DP108" s="120">
        <v>49727.075635162641</v>
      </c>
      <c r="DQ108" s="120">
        <v>0</v>
      </c>
      <c r="DR108" s="120">
        <v>-41151.280753413557</v>
      </c>
      <c r="DS108" s="120">
        <v>0</v>
      </c>
      <c r="DT108" s="120">
        <v>0</v>
      </c>
      <c r="DU108" s="120">
        <v>0</v>
      </c>
      <c r="DV108" s="120">
        <v>14882.427267338469</v>
      </c>
      <c r="DW108" s="120">
        <v>0</v>
      </c>
      <c r="DX108" s="120">
        <v>0</v>
      </c>
      <c r="DY108" s="120">
        <v>37058.618210150293</v>
      </c>
      <c r="DZ108" s="120">
        <v>0</v>
      </c>
      <c r="EA108" s="120">
        <v>0</v>
      </c>
      <c r="EB108" s="120">
        <v>14404.40490721877</v>
      </c>
      <c r="EC108" s="120">
        <v>0</v>
      </c>
      <c r="ED108" s="120">
        <f t="shared" si="1"/>
        <v>467788.31377910753</v>
      </c>
    </row>
    <row r="109" spans="1:134">
      <c r="A109" s="120">
        <v>108</v>
      </c>
      <c r="B109" s="120">
        <v>0</v>
      </c>
      <c r="C109" s="120">
        <v>0</v>
      </c>
      <c r="D109" s="120">
        <v>0</v>
      </c>
      <c r="E109" s="120">
        <v>0</v>
      </c>
      <c r="F109" s="120">
        <v>0</v>
      </c>
      <c r="G109" s="120">
        <v>0</v>
      </c>
      <c r="H109" s="120">
        <v>0</v>
      </c>
      <c r="I109" s="120">
        <v>0</v>
      </c>
      <c r="J109" s="120">
        <v>0</v>
      </c>
      <c r="K109" s="120">
        <v>0</v>
      </c>
      <c r="L109" s="120">
        <v>0</v>
      </c>
      <c r="M109" s="120">
        <v>0</v>
      </c>
      <c r="N109" s="120">
        <v>0</v>
      </c>
      <c r="O109" s="120">
        <v>0</v>
      </c>
      <c r="P109" s="120">
        <v>0</v>
      </c>
      <c r="Q109" s="120">
        <v>0</v>
      </c>
      <c r="R109" s="120">
        <v>0</v>
      </c>
      <c r="S109" s="120">
        <v>0</v>
      </c>
      <c r="T109" s="120">
        <v>0</v>
      </c>
      <c r="U109" s="120">
        <v>0</v>
      </c>
      <c r="V109" s="120">
        <v>0</v>
      </c>
      <c r="W109" s="120">
        <v>0</v>
      </c>
      <c r="X109" s="120">
        <v>0</v>
      </c>
      <c r="Y109" s="120">
        <v>0</v>
      </c>
      <c r="Z109" s="120">
        <v>0</v>
      </c>
      <c r="AA109" s="120">
        <v>0</v>
      </c>
      <c r="AB109" s="120">
        <v>0</v>
      </c>
      <c r="AC109" s="120">
        <v>0</v>
      </c>
      <c r="AD109" s="120">
        <v>0</v>
      </c>
      <c r="AE109" s="120">
        <v>0</v>
      </c>
      <c r="AF109" s="120">
        <v>0</v>
      </c>
      <c r="AG109" s="120">
        <v>0</v>
      </c>
      <c r="AH109" s="120">
        <v>0</v>
      </c>
      <c r="AI109" s="120">
        <v>0</v>
      </c>
      <c r="AJ109" s="120">
        <v>0</v>
      </c>
      <c r="AK109" s="120">
        <v>0</v>
      </c>
      <c r="AL109" s="120">
        <v>0</v>
      </c>
      <c r="AM109" s="120">
        <v>0</v>
      </c>
      <c r="AN109" s="120">
        <v>0</v>
      </c>
      <c r="AO109" s="120">
        <v>0</v>
      </c>
      <c r="AP109" s="120">
        <v>0</v>
      </c>
      <c r="AQ109" s="120">
        <v>0</v>
      </c>
      <c r="AR109" s="120">
        <v>0</v>
      </c>
      <c r="AS109" s="120">
        <v>0</v>
      </c>
      <c r="AT109" s="120">
        <v>0</v>
      </c>
      <c r="AU109" s="120">
        <v>0</v>
      </c>
      <c r="AV109" s="120">
        <v>0</v>
      </c>
      <c r="AW109" s="120">
        <v>0</v>
      </c>
      <c r="AX109" s="120">
        <v>0</v>
      </c>
      <c r="AY109" s="120">
        <v>0</v>
      </c>
      <c r="AZ109" s="120">
        <v>0</v>
      </c>
      <c r="BA109" s="120">
        <v>0</v>
      </c>
      <c r="BB109" s="120">
        <v>0</v>
      </c>
      <c r="BC109" s="120">
        <v>0</v>
      </c>
      <c r="BD109" s="120">
        <v>0</v>
      </c>
      <c r="BE109" s="120">
        <v>0</v>
      </c>
      <c r="BF109" s="120">
        <v>0</v>
      </c>
      <c r="BG109" s="120">
        <v>0</v>
      </c>
      <c r="BH109" s="120">
        <v>0</v>
      </c>
      <c r="BI109" s="120">
        <v>0</v>
      </c>
      <c r="BJ109" s="120">
        <v>0</v>
      </c>
      <c r="BK109" s="120">
        <v>0</v>
      </c>
      <c r="BL109" s="120">
        <v>0</v>
      </c>
      <c r="BM109" s="120">
        <v>0</v>
      </c>
      <c r="BN109" s="120">
        <v>0</v>
      </c>
      <c r="BO109" s="120">
        <v>0</v>
      </c>
      <c r="BP109" s="120">
        <v>0</v>
      </c>
      <c r="BQ109" s="120">
        <v>0</v>
      </c>
      <c r="BR109" s="120">
        <v>0</v>
      </c>
      <c r="BS109" s="120">
        <v>0</v>
      </c>
      <c r="BT109" s="120">
        <v>0</v>
      </c>
      <c r="BU109" s="120">
        <v>0</v>
      </c>
      <c r="BV109" s="120">
        <v>0</v>
      </c>
      <c r="BW109" s="120">
        <v>0</v>
      </c>
      <c r="BX109" s="120">
        <v>0</v>
      </c>
      <c r="BY109" s="120">
        <v>0</v>
      </c>
      <c r="BZ109" s="120">
        <v>0</v>
      </c>
      <c r="CA109" s="120">
        <v>0</v>
      </c>
      <c r="CB109" s="120">
        <v>0</v>
      </c>
      <c r="CC109" s="120">
        <v>0</v>
      </c>
      <c r="CD109" s="120">
        <v>0</v>
      </c>
      <c r="CE109" s="120">
        <v>0</v>
      </c>
      <c r="CF109" s="120">
        <v>0</v>
      </c>
      <c r="CG109" s="120">
        <v>0</v>
      </c>
      <c r="CH109" s="120">
        <v>0</v>
      </c>
      <c r="CI109" s="120">
        <v>0</v>
      </c>
      <c r="CJ109" s="120">
        <v>0</v>
      </c>
      <c r="CK109" s="120">
        <v>0</v>
      </c>
      <c r="CL109" s="120">
        <v>0</v>
      </c>
      <c r="CM109" s="120">
        <v>0</v>
      </c>
      <c r="CN109" s="120">
        <v>0</v>
      </c>
      <c r="CO109" s="120">
        <v>0</v>
      </c>
      <c r="CP109" s="120">
        <v>0</v>
      </c>
      <c r="CQ109" s="120">
        <v>0</v>
      </c>
      <c r="CR109" s="120">
        <v>0</v>
      </c>
      <c r="CS109" s="120">
        <v>0</v>
      </c>
      <c r="CT109" s="120">
        <v>0</v>
      </c>
      <c r="CU109" s="120">
        <v>0</v>
      </c>
      <c r="CV109" s="120">
        <v>0</v>
      </c>
      <c r="CW109" s="120">
        <v>0</v>
      </c>
      <c r="CX109" s="120">
        <v>0</v>
      </c>
      <c r="CY109" s="120">
        <v>0</v>
      </c>
      <c r="CZ109" s="120">
        <v>0</v>
      </c>
      <c r="DA109" s="120">
        <v>0</v>
      </c>
      <c r="DB109" s="120">
        <v>0</v>
      </c>
      <c r="DC109" s="120">
        <v>0</v>
      </c>
      <c r="DD109" s="120">
        <v>0</v>
      </c>
      <c r="DE109" s="120">
        <v>0</v>
      </c>
      <c r="DF109" s="120">
        <v>0</v>
      </c>
      <c r="DG109" s="120">
        <v>0</v>
      </c>
      <c r="DH109" s="120">
        <v>0</v>
      </c>
      <c r="DI109" s="120">
        <v>0</v>
      </c>
      <c r="DJ109" s="120">
        <v>0</v>
      </c>
      <c r="DK109" s="120">
        <v>0</v>
      </c>
      <c r="DL109" s="120">
        <v>0</v>
      </c>
      <c r="DM109" s="120">
        <v>0</v>
      </c>
      <c r="DN109" s="120">
        <v>0</v>
      </c>
      <c r="DO109" s="120">
        <v>0</v>
      </c>
      <c r="DP109" s="120">
        <v>75075.938692712516</v>
      </c>
      <c r="DQ109" s="120">
        <v>0</v>
      </c>
      <c r="DR109" s="120">
        <v>-37850.922021947314</v>
      </c>
      <c r="DS109" s="120">
        <v>0</v>
      </c>
      <c r="DT109" s="120">
        <v>0</v>
      </c>
      <c r="DU109" s="120">
        <v>0</v>
      </c>
      <c r="DV109" s="120">
        <v>0</v>
      </c>
      <c r="DW109" s="120">
        <v>0</v>
      </c>
      <c r="DX109" s="120">
        <v>0</v>
      </c>
      <c r="DY109" s="120">
        <v>0</v>
      </c>
      <c r="DZ109" s="120">
        <v>0</v>
      </c>
      <c r="EA109" s="120">
        <v>0</v>
      </c>
      <c r="EB109" s="120">
        <v>0</v>
      </c>
      <c r="EC109" s="120">
        <v>0</v>
      </c>
      <c r="ED109" s="120">
        <f t="shared" si="1"/>
        <v>37225.016670765202</v>
      </c>
    </row>
    <row r="110" spans="1:134">
      <c r="A110" s="120">
        <v>109</v>
      </c>
      <c r="B110" s="120">
        <v>0</v>
      </c>
      <c r="C110" s="120">
        <v>0</v>
      </c>
      <c r="D110" s="120">
        <v>0</v>
      </c>
      <c r="E110" s="120">
        <v>0</v>
      </c>
      <c r="F110" s="120">
        <v>0</v>
      </c>
      <c r="G110" s="120">
        <v>0</v>
      </c>
      <c r="H110" s="120">
        <v>0</v>
      </c>
      <c r="I110" s="120">
        <v>0</v>
      </c>
      <c r="J110" s="120">
        <v>0</v>
      </c>
      <c r="K110" s="120">
        <v>0</v>
      </c>
      <c r="L110" s="120">
        <v>0</v>
      </c>
      <c r="M110" s="120">
        <v>0</v>
      </c>
      <c r="N110" s="120">
        <v>0</v>
      </c>
      <c r="O110" s="120">
        <v>0</v>
      </c>
      <c r="P110" s="120">
        <v>0</v>
      </c>
      <c r="Q110" s="120">
        <v>0</v>
      </c>
      <c r="R110" s="120">
        <v>0</v>
      </c>
      <c r="S110" s="120">
        <v>0</v>
      </c>
      <c r="T110" s="120">
        <v>0</v>
      </c>
      <c r="U110" s="120">
        <v>0</v>
      </c>
      <c r="V110" s="120">
        <v>0</v>
      </c>
      <c r="W110" s="120">
        <v>0</v>
      </c>
      <c r="X110" s="120">
        <v>0</v>
      </c>
      <c r="Y110" s="120">
        <v>0</v>
      </c>
      <c r="Z110" s="120">
        <v>0</v>
      </c>
      <c r="AA110" s="120">
        <v>0</v>
      </c>
      <c r="AB110" s="120">
        <v>0</v>
      </c>
      <c r="AC110" s="120">
        <v>0</v>
      </c>
      <c r="AD110" s="120">
        <v>0</v>
      </c>
      <c r="AE110" s="120">
        <v>0</v>
      </c>
      <c r="AF110" s="120">
        <v>0</v>
      </c>
      <c r="AG110" s="120">
        <v>0</v>
      </c>
      <c r="AH110" s="120">
        <v>0</v>
      </c>
      <c r="AI110" s="120">
        <v>0</v>
      </c>
      <c r="AJ110" s="120">
        <v>0</v>
      </c>
      <c r="AK110" s="120">
        <v>0</v>
      </c>
      <c r="AL110" s="120">
        <v>0</v>
      </c>
      <c r="AM110" s="120">
        <v>0</v>
      </c>
      <c r="AN110" s="120">
        <v>0</v>
      </c>
      <c r="AO110" s="120">
        <v>0</v>
      </c>
      <c r="AP110" s="120">
        <v>0</v>
      </c>
      <c r="AQ110" s="120">
        <v>0</v>
      </c>
      <c r="AR110" s="120">
        <v>0</v>
      </c>
      <c r="AS110" s="120">
        <v>0</v>
      </c>
      <c r="AT110" s="120">
        <v>0</v>
      </c>
      <c r="AU110" s="120">
        <v>0</v>
      </c>
      <c r="AV110" s="120">
        <v>0</v>
      </c>
      <c r="AW110" s="120">
        <v>0</v>
      </c>
      <c r="AX110" s="120">
        <v>0</v>
      </c>
      <c r="AY110" s="120">
        <v>0</v>
      </c>
      <c r="AZ110" s="120">
        <v>0</v>
      </c>
      <c r="BA110" s="120">
        <v>0</v>
      </c>
      <c r="BB110" s="120">
        <v>0</v>
      </c>
      <c r="BC110" s="120">
        <v>0</v>
      </c>
      <c r="BD110" s="120">
        <v>0</v>
      </c>
      <c r="BE110" s="120">
        <v>0</v>
      </c>
      <c r="BF110" s="120">
        <v>0</v>
      </c>
      <c r="BG110" s="120">
        <v>0</v>
      </c>
      <c r="BH110" s="120">
        <v>0</v>
      </c>
      <c r="BI110" s="120">
        <v>0</v>
      </c>
      <c r="BJ110" s="120">
        <v>0</v>
      </c>
      <c r="BK110" s="120">
        <v>0</v>
      </c>
      <c r="BL110" s="120">
        <v>0</v>
      </c>
      <c r="BM110" s="120">
        <v>0</v>
      </c>
      <c r="BN110" s="120">
        <v>0</v>
      </c>
      <c r="BO110" s="120">
        <v>0</v>
      </c>
      <c r="BP110" s="120">
        <v>0</v>
      </c>
      <c r="BQ110" s="120">
        <v>0</v>
      </c>
      <c r="BR110" s="120">
        <v>0</v>
      </c>
      <c r="BS110" s="120">
        <v>0</v>
      </c>
      <c r="BT110" s="120">
        <v>0</v>
      </c>
      <c r="BU110" s="120">
        <v>0</v>
      </c>
      <c r="BV110" s="120">
        <v>0</v>
      </c>
      <c r="BW110" s="120">
        <v>0</v>
      </c>
      <c r="BX110" s="120">
        <v>0</v>
      </c>
      <c r="BY110" s="120">
        <v>8136.6103415212174</v>
      </c>
      <c r="BZ110" s="120">
        <v>0</v>
      </c>
      <c r="CA110" s="120">
        <v>0</v>
      </c>
      <c r="CB110" s="120">
        <v>0</v>
      </c>
      <c r="CC110" s="120">
        <v>0</v>
      </c>
      <c r="CD110" s="120">
        <v>0</v>
      </c>
      <c r="CE110" s="120">
        <v>0</v>
      </c>
      <c r="CF110" s="120">
        <v>0</v>
      </c>
      <c r="CG110" s="120">
        <v>0</v>
      </c>
      <c r="CH110" s="120">
        <v>0</v>
      </c>
      <c r="CI110" s="120">
        <v>0</v>
      </c>
      <c r="CJ110" s="120">
        <v>0</v>
      </c>
      <c r="CK110" s="120">
        <v>0</v>
      </c>
      <c r="CL110" s="120">
        <v>0</v>
      </c>
      <c r="CM110" s="120">
        <v>0</v>
      </c>
      <c r="CN110" s="120">
        <v>0</v>
      </c>
      <c r="CO110" s="120">
        <v>0</v>
      </c>
      <c r="CP110" s="120">
        <v>0</v>
      </c>
      <c r="CQ110" s="120">
        <v>0</v>
      </c>
      <c r="CR110" s="120">
        <v>0</v>
      </c>
      <c r="CS110" s="120">
        <v>0</v>
      </c>
      <c r="CT110" s="120">
        <v>0</v>
      </c>
      <c r="CU110" s="120">
        <v>0</v>
      </c>
      <c r="CV110" s="120">
        <v>0</v>
      </c>
      <c r="CW110" s="120">
        <v>0</v>
      </c>
      <c r="CX110" s="120">
        <v>0</v>
      </c>
      <c r="CY110" s="120">
        <v>0</v>
      </c>
      <c r="CZ110" s="120">
        <v>0</v>
      </c>
      <c r="DA110" s="120">
        <v>0</v>
      </c>
      <c r="DB110" s="120">
        <v>0</v>
      </c>
      <c r="DC110" s="120">
        <v>0</v>
      </c>
      <c r="DD110" s="120">
        <v>0</v>
      </c>
      <c r="DE110" s="120">
        <v>0</v>
      </c>
      <c r="DF110" s="120">
        <v>0</v>
      </c>
      <c r="DG110" s="120">
        <v>0</v>
      </c>
      <c r="DH110" s="120">
        <v>746371.33036963292</v>
      </c>
      <c r="DI110" s="120">
        <v>0</v>
      </c>
      <c r="DJ110" s="120">
        <v>0</v>
      </c>
      <c r="DK110" s="120">
        <v>0</v>
      </c>
      <c r="DL110" s="120">
        <v>0</v>
      </c>
      <c r="DM110" s="120">
        <v>0</v>
      </c>
      <c r="DN110" s="120">
        <v>0</v>
      </c>
      <c r="DO110" s="120">
        <v>0</v>
      </c>
      <c r="DP110" s="120">
        <v>57473.886522959518</v>
      </c>
      <c r="DQ110" s="120">
        <v>0</v>
      </c>
      <c r="DR110" s="120">
        <v>-37237.403998044138</v>
      </c>
      <c r="DS110" s="120">
        <v>0</v>
      </c>
      <c r="DT110" s="120">
        <v>0</v>
      </c>
      <c r="DU110" s="120">
        <v>0</v>
      </c>
      <c r="DV110" s="120">
        <v>80976.395850622415</v>
      </c>
      <c r="DW110" s="120">
        <v>0</v>
      </c>
      <c r="DX110" s="120">
        <v>0</v>
      </c>
      <c r="DY110" s="120">
        <v>130047.7796964812</v>
      </c>
      <c r="DZ110" s="120">
        <v>0</v>
      </c>
      <c r="EA110" s="120">
        <v>0</v>
      </c>
      <c r="EB110" s="120">
        <v>26849.532176775559</v>
      </c>
      <c r="EC110" s="120">
        <v>0</v>
      </c>
      <c r="ED110" s="120">
        <f t="shared" si="1"/>
        <v>1012618.1309599488</v>
      </c>
    </row>
    <row r="111" spans="1:134">
      <c r="A111" s="120">
        <v>110</v>
      </c>
      <c r="B111" s="120">
        <v>0</v>
      </c>
      <c r="C111" s="120">
        <v>0</v>
      </c>
      <c r="D111" s="120">
        <v>0</v>
      </c>
      <c r="E111" s="120">
        <v>0</v>
      </c>
      <c r="F111" s="120">
        <v>0</v>
      </c>
      <c r="G111" s="120">
        <v>0</v>
      </c>
      <c r="H111" s="120">
        <v>0</v>
      </c>
      <c r="I111" s="120">
        <v>0</v>
      </c>
      <c r="J111" s="120">
        <v>0</v>
      </c>
      <c r="K111" s="120">
        <v>0</v>
      </c>
      <c r="L111" s="120">
        <v>0</v>
      </c>
      <c r="M111" s="120">
        <v>0</v>
      </c>
      <c r="N111" s="120">
        <v>0</v>
      </c>
      <c r="O111" s="120">
        <v>0</v>
      </c>
      <c r="P111" s="120">
        <v>0</v>
      </c>
      <c r="Q111" s="120">
        <v>0</v>
      </c>
      <c r="R111" s="120">
        <v>0</v>
      </c>
      <c r="S111" s="120">
        <v>0</v>
      </c>
      <c r="T111" s="120">
        <v>0</v>
      </c>
      <c r="U111" s="120">
        <v>0</v>
      </c>
      <c r="V111" s="120">
        <v>0</v>
      </c>
      <c r="W111" s="120">
        <v>0</v>
      </c>
      <c r="X111" s="120">
        <v>0</v>
      </c>
      <c r="Y111" s="120">
        <v>0</v>
      </c>
      <c r="Z111" s="120">
        <v>0</v>
      </c>
      <c r="AA111" s="120">
        <v>0</v>
      </c>
      <c r="AB111" s="120">
        <v>0</v>
      </c>
      <c r="AC111" s="120">
        <v>0</v>
      </c>
      <c r="AD111" s="120">
        <v>0</v>
      </c>
      <c r="AE111" s="120">
        <v>0</v>
      </c>
      <c r="AF111" s="120">
        <v>0</v>
      </c>
      <c r="AG111" s="120">
        <v>0</v>
      </c>
      <c r="AH111" s="120">
        <v>0</v>
      </c>
      <c r="AI111" s="120">
        <v>0</v>
      </c>
      <c r="AJ111" s="120">
        <v>0</v>
      </c>
      <c r="AK111" s="120">
        <v>0</v>
      </c>
      <c r="AL111" s="120">
        <v>0</v>
      </c>
      <c r="AM111" s="120">
        <v>0</v>
      </c>
      <c r="AN111" s="120">
        <v>0</v>
      </c>
      <c r="AO111" s="120">
        <v>0</v>
      </c>
      <c r="AP111" s="120">
        <v>0</v>
      </c>
      <c r="AQ111" s="120">
        <v>0</v>
      </c>
      <c r="AR111" s="120">
        <v>0</v>
      </c>
      <c r="AS111" s="120">
        <v>0</v>
      </c>
      <c r="AT111" s="120">
        <v>0</v>
      </c>
      <c r="AU111" s="120">
        <v>0</v>
      </c>
      <c r="AV111" s="120">
        <v>0</v>
      </c>
      <c r="AW111" s="120">
        <v>0</v>
      </c>
      <c r="AX111" s="120">
        <v>0</v>
      </c>
      <c r="AY111" s="120">
        <v>0</v>
      </c>
      <c r="AZ111" s="120">
        <v>0</v>
      </c>
      <c r="BA111" s="120">
        <v>0</v>
      </c>
      <c r="BB111" s="120">
        <v>0</v>
      </c>
      <c r="BC111" s="120">
        <v>0</v>
      </c>
      <c r="BD111" s="120">
        <v>0</v>
      </c>
      <c r="BE111" s="120">
        <v>0</v>
      </c>
      <c r="BF111" s="120">
        <v>0</v>
      </c>
      <c r="BG111" s="120">
        <v>0</v>
      </c>
      <c r="BH111" s="120">
        <v>0</v>
      </c>
      <c r="BI111" s="120">
        <v>0</v>
      </c>
      <c r="BJ111" s="120">
        <v>0</v>
      </c>
      <c r="BK111" s="120">
        <v>0</v>
      </c>
      <c r="BL111" s="120">
        <v>0</v>
      </c>
      <c r="BM111" s="120">
        <v>0</v>
      </c>
      <c r="BN111" s="120">
        <v>0</v>
      </c>
      <c r="BO111" s="120">
        <v>0</v>
      </c>
      <c r="BP111" s="120">
        <v>0</v>
      </c>
      <c r="BQ111" s="120">
        <v>0</v>
      </c>
      <c r="BR111" s="120">
        <v>0</v>
      </c>
      <c r="BS111" s="120">
        <v>1273.0404399015649</v>
      </c>
      <c r="BT111" s="120">
        <v>0</v>
      </c>
      <c r="BU111" s="120">
        <v>0</v>
      </c>
      <c r="BV111" s="120">
        <v>0</v>
      </c>
      <c r="BW111" s="120">
        <v>0</v>
      </c>
      <c r="BX111" s="120">
        <v>0</v>
      </c>
      <c r="BY111" s="120">
        <v>0</v>
      </c>
      <c r="BZ111" s="120">
        <v>0</v>
      </c>
      <c r="CA111" s="120">
        <v>0</v>
      </c>
      <c r="CB111" s="120">
        <v>0</v>
      </c>
      <c r="CC111" s="120">
        <v>0</v>
      </c>
      <c r="CD111" s="120">
        <v>0</v>
      </c>
      <c r="CE111" s="120">
        <v>0</v>
      </c>
      <c r="CF111" s="120">
        <v>0</v>
      </c>
      <c r="CG111" s="120">
        <v>0</v>
      </c>
      <c r="CH111" s="120">
        <v>0</v>
      </c>
      <c r="CI111" s="120">
        <v>0</v>
      </c>
      <c r="CJ111" s="120">
        <v>0</v>
      </c>
      <c r="CK111" s="120">
        <v>0</v>
      </c>
      <c r="CL111" s="120">
        <v>0</v>
      </c>
      <c r="CM111" s="120">
        <v>0</v>
      </c>
      <c r="CN111" s="120">
        <v>0</v>
      </c>
      <c r="CO111" s="120">
        <v>0</v>
      </c>
      <c r="CP111" s="120">
        <v>0</v>
      </c>
      <c r="CQ111" s="120">
        <v>0</v>
      </c>
      <c r="CR111" s="120">
        <v>0</v>
      </c>
      <c r="CS111" s="120">
        <v>0</v>
      </c>
      <c r="CT111" s="120">
        <v>0</v>
      </c>
      <c r="CU111" s="120">
        <v>0</v>
      </c>
      <c r="CV111" s="120">
        <v>0</v>
      </c>
      <c r="CW111" s="120">
        <v>0</v>
      </c>
      <c r="CX111" s="120">
        <v>0</v>
      </c>
      <c r="CY111" s="120">
        <v>0</v>
      </c>
      <c r="CZ111" s="120">
        <v>0</v>
      </c>
      <c r="DA111" s="120">
        <v>0</v>
      </c>
      <c r="DB111" s="120">
        <v>0</v>
      </c>
      <c r="DC111" s="120">
        <v>0</v>
      </c>
      <c r="DD111" s="120">
        <v>0</v>
      </c>
      <c r="DE111" s="120">
        <v>0</v>
      </c>
      <c r="DF111" s="120">
        <v>0</v>
      </c>
      <c r="DG111" s="120">
        <v>0</v>
      </c>
      <c r="DH111" s="120">
        <v>0</v>
      </c>
      <c r="DI111" s="120">
        <v>0</v>
      </c>
      <c r="DJ111" s="120">
        <v>0</v>
      </c>
      <c r="DK111" s="120">
        <v>0</v>
      </c>
      <c r="DL111" s="120">
        <v>0</v>
      </c>
      <c r="DM111" s="120">
        <v>0</v>
      </c>
      <c r="DN111" s="120">
        <v>0</v>
      </c>
      <c r="DO111" s="120">
        <v>0</v>
      </c>
      <c r="DP111" s="120">
        <v>29807.269356467659</v>
      </c>
      <c r="DQ111" s="120">
        <v>0</v>
      </c>
      <c r="DR111" s="120">
        <v>-9170.1621171196184</v>
      </c>
      <c r="DS111" s="120">
        <v>0</v>
      </c>
      <c r="DT111" s="120">
        <v>0</v>
      </c>
      <c r="DU111" s="120">
        <v>0</v>
      </c>
      <c r="DV111" s="120">
        <v>0</v>
      </c>
      <c r="DW111" s="120">
        <v>0</v>
      </c>
      <c r="DX111" s="120">
        <v>0</v>
      </c>
      <c r="DY111" s="120">
        <v>0</v>
      </c>
      <c r="DZ111" s="120">
        <v>0</v>
      </c>
      <c r="EA111" s="120">
        <v>0</v>
      </c>
      <c r="EB111" s="120">
        <v>0</v>
      </c>
      <c r="EC111" s="120">
        <v>0</v>
      </c>
      <c r="ED111" s="120">
        <f t="shared" si="1"/>
        <v>21910.147679249603</v>
      </c>
    </row>
    <row r="112" spans="1:134">
      <c r="A112" s="120">
        <v>111</v>
      </c>
      <c r="B112" s="120">
        <v>0</v>
      </c>
      <c r="C112" s="120">
        <v>0</v>
      </c>
      <c r="D112" s="120">
        <v>0</v>
      </c>
      <c r="E112" s="120">
        <v>0</v>
      </c>
      <c r="F112" s="120">
        <v>0</v>
      </c>
      <c r="G112" s="120">
        <v>0</v>
      </c>
      <c r="H112" s="120">
        <v>0</v>
      </c>
      <c r="I112" s="120">
        <v>0</v>
      </c>
      <c r="J112" s="120">
        <v>0</v>
      </c>
      <c r="K112" s="120">
        <v>0</v>
      </c>
      <c r="L112" s="120">
        <v>0</v>
      </c>
      <c r="M112" s="120">
        <v>0</v>
      </c>
      <c r="N112" s="120">
        <v>0</v>
      </c>
      <c r="O112" s="120">
        <v>0</v>
      </c>
      <c r="P112" s="120">
        <v>0</v>
      </c>
      <c r="Q112" s="120">
        <v>0</v>
      </c>
      <c r="R112" s="120">
        <v>0</v>
      </c>
      <c r="S112" s="120">
        <v>0</v>
      </c>
      <c r="T112" s="120">
        <v>0</v>
      </c>
      <c r="U112" s="120">
        <v>0</v>
      </c>
      <c r="V112" s="120">
        <v>0</v>
      </c>
      <c r="W112" s="120">
        <v>0</v>
      </c>
      <c r="X112" s="120">
        <v>0</v>
      </c>
      <c r="Y112" s="120">
        <v>0</v>
      </c>
      <c r="Z112" s="120">
        <v>0</v>
      </c>
      <c r="AA112" s="120">
        <v>0</v>
      </c>
      <c r="AB112" s="120">
        <v>0</v>
      </c>
      <c r="AC112" s="120">
        <v>0</v>
      </c>
      <c r="AD112" s="120">
        <v>0</v>
      </c>
      <c r="AE112" s="120">
        <v>0</v>
      </c>
      <c r="AF112" s="120">
        <v>0</v>
      </c>
      <c r="AG112" s="120">
        <v>0</v>
      </c>
      <c r="AH112" s="120">
        <v>0</v>
      </c>
      <c r="AI112" s="120">
        <v>0</v>
      </c>
      <c r="AJ112" s="120">
        <v>0</v>
      </c>
      <c r="AK112" s="120">
        <v>0</v>
      </c>
      <c r="AL112" s="120">
        <v>0</v>
      </c>
      <c r="AM112" s="120">
        <v>0</v>
      </c>
      <c r="AN112" s="120">
        <v>0</v>
      </c>
      <c r="AO112" s="120">
        <v>0</v>
      </c>
      <c r="AP112" s="120">
        <v>0</v>
      </c>
      <c r="AQ112" s="120">
        <v>0</v>
      </c>
      <c r="AR112" s="120">
        <v>0</v>
      </c>
      <c r="AS112" s="120">
        <v>0</v>
      </c>
      <c r="AT112" s="120">
        <v>0</v>
      </c>
      <c r="AU112" s="120">
        <v>0</v>
      </c>
      <c r="AV112" s="120">
        <v>0</v>
      </c>
      <c r="AW112" s="120">
        <v>0</v>
      </c>
      <c r="AX112" s="120">
        <v>0</v>
      </c>
      <c r="AY112" s="120">
        <v>0</v>
      </c>
      <c r="AZ112" s="120">
        <v>0</v>
      </c>
      <c r="BA112" s="120">
        <v>8694</v>
      </c>
      <c r="BB112" s="120">
        <v>0</v>
      </c>
      <c r="BC112" s="120">
        <v>59169.945983341939</v>
      </c>
      <c r="BD112" s="120">
        <v>0</v>
      </c>
      <c r="BE112" s="120">
        <v>0</v>
      </c>
      <c r="BF112" s="120">
        <v>0</v>
      </c>
      <c r="BG112" s="120">
        <v>0</v>
      </c>
      <c r="BH112" s="120">
        <v>0</v>
      </c>
      <c r="BI112" s="120">
        <v>0</v>
      </c>
      <c r="BJ112" s="120">
        <v>0</v>
      </c>
      <c r="BK112" s="120">
        <v>0</v>
      </c>
      <c r="BL112" s="120">
        <v>0</v>
      </c>
      <c r="BM112" s="120">
        <v>0</v>
      </c>
      <c r="BN112" s="120">
        <v>0</v>
      </c>
      <c r="BO112" s="120">
        <v>0</v>
      </c>
      <c r="BP112" s="120">
        <v>0</v>
      </c>
      <c r="BQ112" s="120">
        <v>0</v>
      </c>
      <c r="BR112" s="120">
        <v>0</v>
      </c>
      <c r="BS112" s="120">
        <v>0</v>
      </c>
      <c r="BT112" s="120">
        <v>0</v>
      </c>
      <c r="BU112" s="120">
        <v>0</v>
      </c>
      <c r="BV112" s="120">
        <v>0</v>
      </c>
      <c r="BW112" s="120">
        <v>0</v>
      </c>
      <c r="BX112" s="120">
        <v>0</v>
      </c>
      <c r="BY112" s="120">
        <v>0</v>
      </c>
      <c r="BZ112" s="120">
        <v>0</v>
      </c>
      <c r="CA112" s="120">
        <v>0</v>
      </c>
      <c r="CB112" s="120">
        <v>0</v>
      </c>
      <c r="CC112" s="120">
        <v>0</v>
      </c>
      <c r="CD112" s="120">
        <v>0</v>
      </c>
      <c r="CE112" s="120">
        <v>0</v>
      </c>
      <c r="CF112" s="120">
        <v>0</v>
      </c>
      <c r="CG112" s="120">
        <v>0</v>
      </c>
      <c r="CH112" s="120">
        <v>0</v>
      </c>
      <c r="CI112" s="120">
        <v>0</v>
      </c>
      <c r="CJ112" s="120">
        <v>0</v>
      </c>
      <c r="CK112" s="120">
        <v>0</v>
      </c>
      <c r="CL112" s="120">
        <v>0</v>
      </c>
      <c r="CM112" s="120">
        <v>0</v>
      </c>
      <c r="CN112" s="120">
        <v>0</v>
      </c>
      <c r="CO112" s="120">
        <v>0</v>
      </c>
      <c r="CP112" s="120">
        <v>0</v>
      </c>
      <c r="CQ112" s="120">
        <v>0</v>
      </c>
      <c r="CR112" s="120">
        <v>0</v>
      </c>
      <c r="CS112" s="120">
        <v>0</v>
      </c>
      <c r="CT112" s="120">
        <v>0</v>
      </c>
      <c r="CU112" s="120">
        <v>0</v>
      </c>
      <c r="CV112" s="120">
        <v>0</v>
      </c>
      <c r="CW112" s="120">
        <v>0</v>
      </c>
      <c r="CX112" s="120">
        <v>0</v>
      </c>
      <c r="CY112" s="120">
        <v>0</v>
      </c>
      <c r="CZ112" s="120">
        <v>0</v>
      </c>
      <c r="DA112" s="120">
        <v>0</v>
      </c>
      <c r="DB112" s="120">
        <v>0</v>
      </c>
      <c r="DC112" s="120">
        <v>0</v>
      </c>
      <c r="DD112" s="120">
        <v>0</v>
      </c>
      <c r="DE112" s="120">
        <v>0</v>
      </c>
      <c r="DF112" s="120">
        <v>0</v>
      </c>
      <c r="DG112" s="120">
        <v>0</v>
      </c>
      <c r="DH112" s="120">
        <v>1991.001432173106</v>
      </c>
      <c r="DI112" s="120">
        <v>0</v>
      </c>
      <c r="DJ112" s="120">
        <v>0</v>
      </c>
      <c r="DK112" s="120">
        <v>0</v>
      </c>
      <c r="DL112" s="120">
        <v>0</v>
      </c>
      <c r="DM112" s="120">
        <v>0</v>
      </c>
      <c r="DN112" s="120">
        <v>0</v>
      </c>
      <c r="DO112" s="120">
        <v>0</v>
      </c>
      <c r="DP112" s="120">
        <v>7403.3318586559462</v>
      </c>
      <c r="DQ112" s="120">
        <v>0</v>
      </c>
      <c r="DR112" s="120">
        <v>-3833.2799367493308</v>
      </c>
      <c r="DS112" s="120">
        <v>0</v>
      </c>
      <c r="DT112" s="120">
        <v>0</v>
      </c>
      <c r="DU112" s="120">
        <v>0</v>
      </c>
      <c r="DV112" s="120">
        <v>0</v>
      </c>
      <c r="DW112" s="120">
        <v>0</v>
      </c>
      <c r="DX112" s="120">
        <v>0</v>
      </c>
      <c r="DY112" s="120">
        <v>0</v>
      </c>
      <c r="DZ112" s="120">
        <v>0</v>
      </c>
      <c r="EA112" s="120">
        <v>0</v>
      </c>
      <c r="EB112" s="120">
        <v>0</v>
      </c>
      <c r="EC112" s="120">
        <v>0</v>
      </c>
      <c r="ED112" s="120">
        <f t="shared" si="1"/>
        <v>73424.999337421657</v>
      </c>
    </row>
    <row r="113" spans="1:134">
      <c r="A113" s="120">
        <v>112</v>
      </c>
      <c r="B113" s="120">
        <v>0</v>
      </c>
      <c r="C113" s="120">
        <v>0</v>
      </c>
      <c r="D113" s="120">
        <v>0</v>
      </c>
      <c r="E113" s="120">
        <v>0</v>
      </c>
      <c r="F113" s="120">
        <v>0</v>
      </c>
      <c r="G113" s="120">
        <v>0</v>
      </c>
      <c r="H113" s="120">
        <v>0</v>
      </c>
      <c r="I113" s="120">
        <v>0</v>
      </c>
      <c r="J113" s="120">
        <v>0</v>
      </c>
      <c r="K113" s="120">
        <v>0</v>
      </c>
      <c r="L113" s="120">
        <v>0</v>
      </c>
      <c r="M113" s="120">
        <v>0</v>
      </c>
      <c r="N113" s="120">
        <v>0</v>
      </c>
      <c r="O113" s="120">
        <v>0</v>
      </c>
      <c r="P113" s="120">
        <v>0</v>
      </c>
      <c r="Q113" s="120">
        <v>0</v>
      </c>
      <c r="R113" s="120">
        <v>0</v>
      </c>
      <c r="S113" s="120">
        <v>0</v>
      </c>
      <c r="T113" s="120">
        <v>0</v>
      </c>
      <c r="U113" s="120">
        <v>0</v>
      </c>
      <c r="V113" s="120">
        <v>0</v>
      </c>
      <c r="W113" s="120">
        <v>0</v>
      </c>
      <c r="X113" s="120">
        <v>0</v>
      </c>
      <c r="Y113" s="120">
        <v>0</v>
      </c>
      <c r="Z113" s="120">
        <v>0</v>
      </c>
      <c r="AA113" s="120">
        <v>0</v>
      </c>
      <c r="AB113" s="120">
        <v>0</v>
      </c>
      <c r="AC113" s="120">
        <v>0</v>
      </c>
      <c r="AD113" s="120">
        <v>0</v>
      </c>
      <c r="AE113" s="120">
        <v>0</v>
      </c>
      <c r="AF113" s="120">
        <v>0</v>
      </c>
      <c r="AG113" s="120">
        <v>0</v>
      </c>
      <c r="AH113" s="120">
        <v>0</v>
      </c>
      <c r="AI113" s="120">
        <v>0</v>
      </c>
      <c r="AJ113" s="120">
        <v>0</v>
      </c>
      <c r="AK113" s="120">
        <v>0</v>
      </c>
      <c r="AL113" s="120">
        <v>0</v>
      </c>
      <c r="AM113" s="120">
        <v>0</v>
      </c>
      <c r="AN113" s="120">
        <v>0</v>
      </c>
      <c r="AO113" s="120">
        <v>0</v>
      </c>
      <c r="AP113" s="120">
        <v>0</v>
      </c>
      <c r="AQ113" s="120">
        <v>0</v>
      </c>
      <c r="AR113" s="120">
        <v>0</v>
      </c>
      <c r="AS113" s="120">
        <v>0</v>
      </c>
      <c r="AT113" s="120">
        <v>0</v>
      </c>
      <c r="AU113" s="120">
        <v>0</v>
      </c>
      <c r="AV113" s="120">
        <v>0</v>
      </c>
      <c r="AW113" s="120">
        <v>0</v>
      </c>
      <c r="AX113" s="120">
        <v>0</v>
      </c>
      <c r="AY113" s="120">
        <v>0</v>
      </c>
      <c r="AZ113" s="120">
        <v>0</v>
      </c>
      <c r="BA113" s="120">
        <v>0</v>
      </c>
      <c r="BB113" s="120">
        <v>0</v>
      </c>
      <c r="BC113" s="120">
        <v>0</v>
      </c>
      <c r="BD113" s="120">
        <v>0</v>
      </c>
      <c r="BE113" s="120">
        <v>0</v>
      </c>
      <c r="BF113" s="120">
        <v>0</v>
      </c>
      <c r="BG113" s="120">
        <v>0</v>
      </c>
      <c r="BH113" s="120">
        <v>0</v>
      </c>
      <c r="BI113" s="120">
        <v>0</v>
      </c>
      <c r="BJ113" s="120">
        <v>0</v>
      </c>
      <c r="BK113" s="120">
        <v>0</v>
      </c>
      <c r="BL113" s="120">
        <v>0</v>
      </c>
      <c r="BM113" s="120">
        <v>0</v>
      </c>
      <c r="BN113" s="120">
        <v>0</v>
      </c>
      <c r="BO113" s="120">
        <v>0</v>
      </c>
      <c r="BP113" s="120">
        <v>0</v>
      </c>
      <c r="BQ113" s="120">
        <v>0</v>
      </c>
      <c r="BR113" s="120">
        <v>0</v>
      </c>
      <c r="BS113" s="120">
        <v>0</v>
      </c>
      <c r="BT113" s="120">
        <v>0</v>
      </c>
      <c r="BU113" s="120">
        <v>0</v>
      </c>
      <c r="BV113" s="120">
        <v>0</v>
      </c>
      <c r="BW113" s="120">
        <v>0</v>
      </c>
      <c r="BX113" s="120">
        <v>0</v>
      </c>
      <c r="BY113" s="120">
        <v>0</v>
      </c>
      <c r="BZ113" s="120">
        <v>0</v>
      </c>
      <c r="CA113" s="120">
        <v>0</v>
      </c>
      <c r="CB113" s="120">
        <v>0</v>
      </c>
      <c r="CC113" s="120">
        <v>0</v>
      </c>
      <c r="CD113" s="120">
        <v>0</v>
      </c>
      <c r="CE113" s="120">
        <v>0</v>
      </c>
      <c r="CF113" s="120">
        <v>0</v>
      </c>
      <c r="CG113" s="120">
        <v>0</v>
      </c>
      <c r="CH113" s="120">
        <v>0</v>
      </c>
      <c r="CI113" s="120">
        <v>0</v>
      </c>
      <c r="CJ113" s="120">
        <v>0</v>
      </c>
      <c r="CK113" s="120">
        <v>0</v>
      </c>
      <c r="CL113" s="120">
        <v>0</v>
      </c>
      <c r="CM113" s="120">
        <v>0</v>
      </c>
      <c r="CN113" s="120">
        <v>0</v>
      </c>
      <c r="CO113" s="120">
        <v>0</v>
      </c>
      <c r="CP113" s="120">
        <v>0</v>
      </c>
      <c r="CQ113" s="120">
        <v>0</v>
      </c>
      <c r="CR113" s="120">
        <v>0</v>
      </c>
      <c r="CS113" s="120">
        <v>0</v>
      </c>
      <c r="CT113" s="120">
        <v>0</v>
      </c>
      <c r="CU113" s="120">
        <v>0</v>
      </c>
      <c r="CV113" s="120">
        <v>0</v>
      </c>
      <c r="CW113" s="120">
        <v>0</v>
      </c>
      <c r="CX113" s="120">
        <v>0</v>
      </c>
      <c r="CY113" s="120">
        <v>0</v>
      </c>
      <c r="CZ113" s="120">
        <v>0</v>
      </c>
      <c r="DA113" s="120">
        <v>0</v>
      </c>
      <c r="DB113" s="120">
        <v>0</v>
      </c>
      <c r="DC113" s="120">
        <v>0</v>
      </c>
      <c r="DD113" s="120">
        <v>0</v>
      </c>
      <c r="DE113" s="120">
        <v>0</v>
      </c>
      <c r="DF113" s="120">
        <v>0</v>
      </c>
      <c r="DG113" s="120">
        <v>0</v>
      </c>
      <c r="DH113" s="120">
        <v>0</v>
      </c>
      <c r="DI113" s="120">
        <v>0</v>
      </c>
      <c r="DJ113" s="120">
        <v>0</v>
      </c>
      <c r="DK113" s="120">
        <v>0</v>
      </c>
      <c r="DL113" s="120">
        <v>0</v>
      </c>
      <c r="DM113" s="120">
        <v>0</v>
      </c>
      <c r="DN113" s="120">
        <v>0</v>
      </c>
      <c r="DO113" s="120">
        <v>0</v>
      </c>
      <c r="DP113" s="120">
        <v>4255.6832651170444</v>
      </c>
      <c r="DQ113" s="120">
        <v>0</v>
      </c>
      <c r="DR113" s="120">
        <v>0</v>
      </c>
      <c r="DS113" s="120">
        <v>0</v>
      </c>
      <c r="DT113" s="120">
        <v>0</v>
      </c>
      <c r="DU113" s="120">
        <v>0</v>
      </c>
      <c r="DV113" s="120">
        <v>0</v>
      </c>
      <c r="DW113" s="120">
        <v>0</v>
      </c>
      <c r="DX113" s="120">
        <v>0</v>
      </c>
      <c r="DY113" s="120">
        <v>0</v>
      </c>
      <c r="DZ113" s="120">
        <v>0</v>
      </c>
      <c r="EA113" s="120">
        <v>0</v>
      </c>
      <c r="EB113" s="120">
        <v>0</v>
      </c>
      <c r="EC113" s="120">
        <v>0</v>
      </c>
      <c r="ED113" s="120">
        <f t="shared" si="1"/>
        <v>4255.6832651170444</v>
      </c>
    </row>
    <row r="114" spans="1:134">
      <c r="A114" s="120">
        <v>113</v>
      </c>
      <c r="B114" s="120">
        <v>0</v>
      </c>
      <c r="C114" s="120">
        <v>0</v>
      </c>
      <c r="D114" s="120">
        <v>0</v>
      </c>
      <c r="E114" s="120">
        <v>0</v>
      </c>
      <c r="F114" s="120">
        <v>0</v>
      </c>
      <c r="G114" s="120">
        <v>0</v>
      </c>
      <c r="H114" s="120">
        <v>0</v>
      </c>
      <c r="I114" s="120">
        <v>0</v>
      </c>
      <c r="J114" s="120">
        <v>0</v>
      </c>
      <c r="K114" s="120">
        <v>0</v>
      </c>
      <c r="L114" s="120">
        <v>0</v>
      </c>
      <c r="M114" s="120">
        <v>0</v>
      </c>
      <c r="N114" s="120">
        <v>0</v>
      </c>
      <c r="O114" s="120">
        <v>0</v>
      </c>
      <c r="P114" s="120">
        <v>0</v>
      </c>
      <c r="Q114" s="120">
        <v>0</v>
      </c>
      <c r="R114" s="120">
        <v>0</v>
      </c>
      <c r="S114" s="120">
        <v>0</v>
      </c>
      <c r="T114" s="120">
        <v>0</v>
      </c>
      <c r="U114" s="120">
        <v>0</v>
      </c>
      <c r="V114" s="120">
        <v>0</v>
      </c>
      <c r="W114" s="120">
        <v>0</v>
      </c>
      <c r="X114" s="120">
        <v>0</v>
      </c>
      <c r="Y114" s="120">
        <v>0</v>
      </c>
      <c r="Z114" s="120">
        <v>0</v>
      </c>
      <c r="AA114" s="120">
        <v>0</v>
      </c>
      <c r="AB114" s="120">
        <v>0</v>
      </c>
      <c r="AC114" s="120">
        <v>0</v>
      </c>
      <c r="AD114" s="120">
        <v>0</v>
      </c>
      <c r="AE114" s="120">
        <v>0</v>
      </c>
      <c r="AF114" s="120">
        <v>0</v>
      </c>
      <c r="AG114" s="120">
        <v>0</v>
      </c>
      <c r="AH114" s="120">
        <v>0</v>
      </c>
      <c r="AI114" s="120">
        <v>0</v>
      </c>
      <c r="AJ114" s="120">
        <v>0</v>
      </c>
      <c r="AK114" s="120">
        <v>0</v>
      </c>
      <c r="AL114" s="120">
        <v>0</v>
      </c>
      <c r="AM114" s="120">
        <v>0</v>
      </c>
      <c r="AN114" s="120">
        <v>0</v>
      </c>
      <c r="AO114" s="120">
        <v>0</v>
      </c>
      <c r="AP114" s="120">
        <v>0</v>
      </c>
      <c r="AQ114" s="120">
        <v>0</v>
      </c>
      <c r="AR114" s="120">
        <v>0</v>
      </c>
      <c r="AS114" s="120">
        <v>0</v>
      </c>
      <c r="AT114" s="120">
        <v>0</v>
      </c>
      <c r="AU114" s="120">
        <v>0</v>
      </c>
      <c r="AV114" s="120">
        <v>0</v>
      </c>
      <c r="AW114" s="120">
        <v>0</v>
      </c>
      <c r="AX114" s="120">
        <v>0</v>
      </c>
      <c r="AY114" s="120">
        <v>0</v>
      </c>
      <c r="AZ114" s="120">
        <v>0</v>
      </c>
      <c r="BA114" s="120">
        <v>0</v>
      </c>
      <c r="BB114" s="120">
        <v>0</v>
      </c>
      <c r="BC114" s="120">
        <v>0</v>
      </c>
      <c r="BD114" s="120">
        <v>0</v>
      </c>
      <c r="BE114" s="120">
        <v>0</v>
      </c>
      <c r="BF114" s="120">
        <v>0</v>
      </c>
      <c r="BG114" s="120">
        <v>0</v>
      </c>
      <c r="BH114" s="120">
        <v>0</v>
      </c>
      <c r="BI114" s="120">
        <v>0</v>
      </c>
      <c r="BJ114" s="120">
        <v>0</v>
      </c>
      <c r="BK114" s="120">
        <v>0</v>
      </c>
      <c r="BL114" s="120">
        <v>0</v>
      </c>
      <c r="BM114" s="120">
        <v>0</v>
      </c>
      <c r="BN114" s="120">
        <v>0</v>
      </c>
      <c r="BO114" s="120">
        <v>0</v>
      </c>
      <c r="BP114" s="120">
        <v>0</v>
      </c>
      <c r="BQ114" s="120">
        <v>0</v>
      </c>
      <c r="BR114" s="120">
        <v>0</v>
      </c>
      <c r="BS114" s="120">
        <v>0</v>
      </c>
      <c r="BT114" s="120">
        <v>0</v>
      </c>
      <c r="BU114" s="120">
        <v>0</v>
      </c>
      <c r="BV114" s="120">
        <v>0</v>
      </c>
      <c r="BW114" s="120">
        <v>0</v>
      </c>
      <c r="BX114" s="120">
        <v>0</v>
      </c>
      <c r="BY114" s="120">
        <v>0</v>
      </c>
      <c r="BZ114" s="120">
        <v>0</v>
      </c>
      <c r="CA114" s="120">
        <v>0</v>
      </c>
      <c r="CB114" s="120">
        <v>0</v>
      </c>
      <c r="CC114" s="120">
        <v>0</v>
      </c>
      <c r="CD114" s="120">
        <v>0</v>
      </c>
      <c r="CE114" s="120">
        <v>0</v>
      </c>
      <c r="CF114" s="120">
        <v>0</v>
      </c>
      <c r="CG114" s="120">
        <v>0</v>
      </c>
      <c r="CH114" s="120">
        <v>0</v>
      </c>
      <c r="CI114" s="120">
        <v>0</v>
      </c>
      <c r="CJ114" s="120">
        <v>0</v>
      </c>
      <c r="CK114" s="120">
        <v>0</v>
      </c>
      <c r="CL114" s="120">
        <v>0</v>
      </c>
      <c r="CM114" s="120">
        <v>0</v>
      </c>
      <c r="CN114" s="120">
        <v>0</v>
      </c>
      <c r="CO114" s="120">
        <v>0</v>
      </c>
      <c r="CP114" s="120">
        <v>0</v>
      </c>
      <c r="CQ114" s="120">
        <v>0</v>
      </c>
      <c r="CR114" s="120">
        <v>0</v>
      </c>
      <c r="CS114" s="120">
        <v>0</v>
      </c>
      <c r="CT114" s="120">
        <v>0</v>
      </c>
      <c r="CU114" s="120">
        <v>0</v>
      </c>
      <c r="CV114" s="120">
        <v>0</v>
      </c>
      <c r="CW114" s="120">
        <v>0</v>
      </c>
      <c r="CX114" s="120">
        <v>0</v>
      </c>
      <c r="CY114" s="120">
        <v>0</v>
      </c>
      <c r="CZ114" s="120">
        <v>0</v>
      </c>
      <c r="DA114" s="120">
        <v>0</v>
      </c>
      <c r="DB114" s="120">
        <v>0</v>
      </c>
      <c r="DC114" s="120">
        <v>0</v>
      </c>
      <c r="DD114" s="120">
        <v>0</v>
      </c>
      <c r="DE114" s="120">
        <v>0</v>
      </c>
      <c r="DF114" s="120">
        <v>0</v>
      </c>
      <c r="DG114" s="120">
        <v>0</v>
      </c>
      <c r="DH114" s="120">
        <v>0</v>
      </c>
      <c r="DI114" s="120">
        <v>0</v>
      </c>
      <c r="DJ114" s="120">
        <v>0</v>
      </c>
      <c r="DK114" s="120">
        <v>0</v>
      </c>
      <c r="DL114" s="120">
        <v>0</v>
      </c>
      <c r="DM114" s="120">
        <v>0</v>
      </c>
      <c r="DN114" s="120">
        <v>0</v>
      </c>
      <c r="DO114" s="120">
        <v>0</v>
      </c>
      <c r="DP114" s="120">
        <v>0</v>
      </c>
      <c r="DQ114" s="120">
        <v>0</v>
      </c>
      <c r="DR114" s="120">
        <v>0</v>
      </c>
      <c r="DS114" s="120">
        <v>0</v>
      </c>
      <c r="DT114" s="120">
        <v>0</v>
      </c>
      <c r="DU114" s="120">
        <v>0</v>
      </c>
      <c r="DV114" s="120">
        <v>0</v>
      </c>
      <c r="DW114" s="120">
        <v>0</v>
      </c>
      <c r="DX114" s="120">
        <v>0</v>
      </c>
      <c r="DY114" s="120">
        <v>0</v>
      </c>
      <c r="DZ114" s="120">
        <v>0</v>
      </c>
      <c r="EA114" s="120">
        <v>0</v>
      </c>
      <c r="EB114" s="120">
        <v>0</v>
      </c>
      <c r="EC114" s="120">
        <v>0</v>
      </c>
      <c r="ED114" s="120">
        <f t="shared" si="1"/>
        <v>0</v>
      </c>
    </row>
    <row r="115" spans="1:134">
      <c r="A115" s="120">
        <v>114</v>
      </c>
      <c r="B115" s="120">
        <v>0</v>
      </c>
      <c r="C115" s="120">
        <v>0</v>
      </c>
      <c r="D115" s="120">
        <v>0</v>
      </c>
      <c r="E115" s="120">
        <v>0</v>
      </c>
      <c r="F115" s="120">
        <v>0</v>
      </c>
      <c r="G115" s="120">
        <v>0</v>
      </c>
      <c r="H115" s="120">
        <v>0</v>
      </c>
      <c r="I115" s="120">
        <v>0</v>
      </c>
      <c r="J115" s="120">
        <v>0</v>
      </c>
      <c r="K115" s="120">
        <v>0</v>
      </c>
      <c r="L115" s="120">
        <v>0</v>
      </c>
      <c r="M115" s="120">
        <v>0</v>
      </c>
      <c r="N115" s="120">
        <v>0</v>
      </c>
      <c r="O115" s="120">
        <v>0</v>
      </c>
      <c r="P115" s="120">
        <v>0</v>
      </c>
      <c r="Q115" s="120">
        <v>0</v>
      </c>
      <c r="R115" s="120">
        <v>0</v>
      </c>
      <c r="S115" s="120">
        <v>0</v>
      </c>
      <c r="T115" s="120">
        <v>0</v>
      </c>
      <c r="U115" s="120">
        <v>0</v>
      </c>
      <c r="V115" s="120">
        <v>0</v>
      </c>
      <c r="W115" s="120">
        <v>0</v>
      </c>
      <c r="X115" s="120">
        <v>0</v>
      </c>
      <c r="Y115" s="120">
        <v>0</v>
      </c>
      <c r="Z115" s="120">
        <v>0</v>
      </c>
      <c r="AA115" s="120">
        <v>0</v>
      </c>
      <c r="AB115" s="120">
        <v>0</v>
      </c>
      <c r="AC115" s="120">
        <v>0</v>
      </c>
      <c r="AD115" s="120">
        <v>0</v>
      </c>
      <c r="AE115" s="120">
        <v>0</v>
      </c>
      <c r="AF115" s="120">
        <v>0</v>
      </c>
      <c r="AG115" s="120">
        <v>0</v>
      </c>
      <c r="AH115" s="120">
        <v>0</v>
      </c>
      <c r="AI115" s="120">
        <v>0</v>
      </c>
      <c r="AJ115" s="120">
        <v>0</v>
      </c>
      <c r="AK115" s="120">
        <v>0</v>
      </c>
      <c r="AL115" s="120">
        <v>0</v>
      </c>
      <c r="AM115" s="120">
        <v>0</v>
      </c>
      <c r="AN115" s="120">
        <v>0</v>
      </c>
      <c r="AO115" s="120">
        <v>0</v>
      </c>
      <c r="AP115" s="120">
        <v>0</v>
      </c>
      <c r="AQ115" s="120">
        <v>0</v>
      </c>
      <c r="AR115" s="120">
        <v>0</v>
      </c>
      <c r="AS115" s="120">
        <v>0</v>
      </c>
      <c r="AT115" s="120">
        <v>0</v>
      </c>
      <c r="AU115" s="120">
        <v>0</v>
      </c>
      <c r="AV115" s="120">
        <v>0</v>
      </c>
      <c r="AW115" s="120">
        <v>0</v>
      </c>
      <c r="AX115" s="120">
        <v>0</v>
      </c>
      <c r="AY115" s="120">
        <v>0</v>
      </c>
      <c r="AZ115" s="120">
        <v>0</v>
      </c>
      <c r="BA115" s="120">
        <v>0</v>
      </c>
      <c r="BB115" s="120">
        <v>0</v>
      </c>
      <c r="BC115" s="120">
        <v>0</v>
      </c>
      <c r="BD115" s="120">
        <v>0</v>
      </c>
      <c r="BE115" s="120">
        <v>0</v>
      </c>
      <c r="BF115" s="120">
        <v>0</v>
      </c>
      <c r="BG115" s="120">
        <v>0</v>
      </c>
      <c r="BH115" s="120">
        <v>0</v>
      </c>
      <c r="BI115" s="120">
        <v>0</v>
      </c>
      <c r="BJ115" s="120">
        <v>0</v>
      </c>
      <c r="BK115" s="120">
        <v>0</v>
      </c>
      <c r="BL115" s="120">
        <v>0</v>
      </c>
      <c r="BM115" s="120">
        <v>0</v>
      </c>
      <c r="BN115" s="120">
        <v>0</v>
      </c>
      <c r="BO115" s="120">
        <v>0</v>
      </c>
      <c r="BP115" s="120">
        <v>0</v>
      </c>
      <c r="BQ115" s="120">
        <v>0</v>
      </c>
      <c r="BR115" s="120">
        <v>0</v>
      </c>
      <c r="BS115" s="120">
        <v>0</v>
      </c>
      <c r="BT115" s="120">
        <v>0</v>
      </c>
      <c r="BU115" s="120">
        <v>0</v>
      </c>
      <c r="BV115" s="120">
        <v>0</v>
      </c>
      <c r="BW115" s="120">
        <v>0</v>
      </c>
      <c r="BX115" s="120">
        <v>0</v>
      </c>
      <c r="BY115" s="120">
        <v>0</v>
      </c>
      <c r="BZ115" s="120">
        <v>0</v>
      </c>
      <c r="CA115" s="120">
        <v>0</v>
      </c>
      <c r="CB115" s="120">
        <v>0</v>
      </c>
      <c r="CC115" s="120">
        <v>0</v>
      </c>
      <c r="CD115" s="120">
        <v>0</v>
      </c>
      <c r="CE115" s="120">
        <v>0</v>
      </c>
      <c r="CF115" s="120">
        <v>0</v>
      </c>
      <c r="CG115" s="120">
        <v>0</v>
      </c>
      <c r="CH115" s="120">
        <v>0</v>
      </c>
      <c r="CI115" s="120">
        <v>0</v>
      </c>
      <c r="CJ115" s="120">
        <v>0</v>
      </c>
      <c r="CK115" s="120">
        <v>0</v>
      </c>
      <c r="CL115" s="120">
        <v>0</v>
      </c>
      <c r="CM115" s="120">
        <v>0</v>
      </c>
      <c r="CN115" s="120">
        <v>0</v>
      </c>
      <c r="CO115" s="120">
        <v>0</v>
      </c>
      <c r="CP115" s="120">
        <v>0</v>
      </c>
      <c r="CQ115" s="120">
        <v>0</v>
      </c>
      <c r="CR115" s="120">
        <v>0</v>
      </c>
      <c r="CS115" s="120">
        <v>0</v>
      </c>
      <c r="CT115" s="120">
        <v>0</v>
      </c>
      <c r="CU115" s="120">
        <v>0</v>
      </c>
      <c r="CV115" s="120">
        <v>0</v>
      </c>
      <c r="CW115" s="120">
        <v>0</v>
      </c>
      <c r="CX115" s="120">
        <v>0</v>
      </c>
      <c r="CY115" s="120">
        <v>0</v>
      </c>
      <c r="CZ115" s="120">
        <v>0</v>
      </c>
      <c r="DA115" s="120">
        <v>0</v>
      </c>
      <c r="DB115" s="120">
        <v>0</v>
      </c>
      <c r="DC115" s="120">
        <v>0</v>
      </c>
      <c r="DD115" s="120">
        <v>0</v>
      </c>
      <c r="DE115" s="120">
        <v>0</v>
      </c>
      <c r="DF115" s="120">
        <v>0</v>
      </c>
      <c r="DG115" s="120">
        <v>0</v>
      </c>
      <c r="DH115" s="120">
        <v>0</v>
      </c>
      <c r="DI115" s="120">
        <v>0</v>
      </c>
      <c r="DJ115" s="120">
        <v>0</v>
      </c>
      <c r="DK115" s="120">
        <v>0</v>
      </c>
      <c r="DL115" s="120">
        <v>0</v>
      </c>
      <c r="DM115" s="120">
        <v>0</v>
      </c>
      <c r="DN115" s="120">
        <v>0</v>
      </c>
      <c r="DO115" s="120">
        <v>0</v>
      </c>
      <c r="DP115" s="120">
        <v>0</v>
      </c>
      <c r="DQ115" s="120">
        <v>0</v>
      </c>
      <c r="DR115" s="120">
        <v>0</v>
      </c>
      <c r="DS115" s="120">
        <v>0</v>
      </c>
      <c r="DT115" s="120">
        <v>0</v>
      </c>
      <c r="DU115" s="120">
        <v>0</v>
      </c>
      <c r="DV115" s="120">
        <v>0</v>
      </c>
      <c r="DW115" s="120">
        <v>0</v>
      </c>
      <c r="DX115" s="120">
        <v>0</v>
      </c>
      <c r="DY115" s="120">
        <v>0</v>
      </c>
      <c r="DZ115" s="120">
        <v>0</v>
      </c>
      <c r="EA115" s="120">
        <v>0</v>
      </c>
      <c r="EB115" s="120">
        <v>0</v>
      </c>
      <c r="EC115" s="120">
        <v>0</v>
      </c>
      <c r="ED115" s="120">
        <f t="shared" si="1"/>
        <v>0</v>
      </c>
    </row>
    <row r="116" spans="1:134">
      <c r="A116" s="120">
        <v>115</v>
      </c>
      <c r="B116" s="120">
        <v>0</v>
      </c>
      <c r="C116" s="120">
        <v>0</v>
      </c>
      <c r="D116" s="120">
        <v>0</v>
      </c>
      <c r="E116" s="120">
        <v>0</v>
      </c>
      <c r="F116" s="120">
        <v>0</v>
      </c>
      <c r="G116" s="120">
        <v>0</v>
      </c>
      <c r="H116" s="120">
        <v>0</v>
      </c>
      <c r="I116" s="120">
        <v>0</v>
      </c>
      <c r="J116" s="120">
        <v>0</v>
      </c>
      <c r="K116" s="120">
        <v>0</v>
      </c>
      <c r="L116" s="120">
        <v>0</v>
      </c>
      <c r="M116" s="120">
        <v>0</v>
      </c>
      <c r="N116" s="120">
        <v>0</v>
      </c>
      <c r="O116" s="120">
        <v>0</v>
      </c>
      <c r="P116" s="120">
        <v>0</v>
      </c>
      <c r="Q116" s="120">
        <v>0</v>
      </c>
      <c r="R116" s="120">
        <v>0</v>
      </c>
      <c r="S116" s="120">
        <v>0</v>
      </c>
      <c r="T116" s="120">
        <v>0</v>
      </c>
      <c r="U116" s="120">
        <v>0</v>
      </c>
      <c r="V116" s="120">
        <v>0</v>
      </c>
      <c r="W116" s="120">
        <v>0</v>
      </c>
      <c r="X116" s="120">
        <v>0</v>
      </c>
      <c r="Y116" s="120">
        <v>0</v>
      </c>
      <c r="Z116" s="120">
        <v>0</v>
      </c>
      <c r="AA116" s="120">
        <v>0</v>
      </c>
      <c r="AB116" s="120">
        <v>0</v>
      </c>
      <c r="AC116" s="120">
        <v>0</v>
      </c>
      <c r="AD116" s="120">
        <v>0</v>
      </c>
      <c r="AE116" s="120">
        <v>0</v>
      </c>
      <c r="AF116" s="120">
        <v>0</v>
      </c>
      <c r="AG116" s="120">
        <v>0</v>
      </c>
      <c r="AH116" s="120">
        <v>0</v>
      </c>
      <c r="AI116" s="120">
        <v>0</v>
      </c>
      <c r="AJ116" s="120">
        <v>0</v>
      </c>
      <c r="AK116" s="120">
        <v>0</v>
      </c>
      <c r="AL116" s="120">
        <v>0</v>
      </c>
      <c r="AM116" s="120">
        <v>0</v>
      </c>
      <c r="AN116" s="120">
        <v>0</v>
      </c>
      <c r="AO116" s="120">
        <v>0</v>
      </c>
      <c r="AP116" s="120">
        <v>0</v>
      </c>
      <c r="AQ116" s="120">
        <v>0</v>
      </c>
      <c r="AR116" s="120">
        <v>0</v>
      </c>
      <c r="AS116" s="120">
        <v>0</v>
      </c>
      <c r="AT116" s="120">
        <v>0</v>
      </c>
      <c r="AU116" s="120">
        <v>0</v>
      </c>
      <c r="AV116" s="120">
        <v>0</v>
      </c>
      <c r="AW116" s="120">
        <v>0</v>
      </c>
      <c r="AX116" s="120">
        <v>0</v>
      </c>
      <c r="AY116" s="120">
        <v>0</v>
      </c>
      <c r="AZ116" s="120">
        <v>0</v>
      </c>
      <c r="BA116" s="120">
        <v>0</v>
      </c>
      <c r="BB116" s="120">
        <v>0</v>
      </c>
      <c r="BC116" s="120">
        <v>0</v>
      </c>
      <c r="BD116" s="120">
        <v>0</v>
      </c>
      <c r="BE116" s="120">
        <v>0</v>
      </c>
      <c r="BF116" s="120">
        <v>0</v>
      </c>
      <c r="BG116" s="120">
        <v>0</v>
      </c>
      <c r="BH116" s="120">
        <v>0</v>
      </c>
      <c r="BI116" s="120">
        <v>0</v>
      </c>
      <c r="BJ116" s="120">
        <v>0</v>
      </c>
      <c r="BK116" s="120">
        <v>0</v>
      </c>
      <c r="BL116" s="120">
        <v>0</v>
      </c>
      <c r="BM116" s="120">
        <v>0</v>
      </c>
      <c r="BN116" s="120">
        <v>0</v>
      </c>
      <c r="BO116" s="120">
        <v>0</v>
      </c>
      <c r="BP116" s="120">
        <v>0</v>
      </c>
      <c r="BQ116" s="120">
        <v>0</v>
      </c>
      <c r="BR116" s="120">
        <v>0</v>
      </c>
      <c r="BS116" s="120">
        <v>2737.94434716352</v>
      </c>
      <c r="BT116" s="120">
        <v>0</v>
      </c>
      <c r="BU116" s="120">
        <v>0</v>
      </c>
      <c r="BV116" s="120">
        <v>0</v>
      </c>
      <c r="BW116" s="120">
        <v>0</v>
      </c>
      <c r="BX116" s="120">
        <v>0</v>
      </c>
      <c r="BY116" s="120">
        <v>0</v>
      </c>
      <c r="BZ116" s="120">
        <v>0</v>
      </c>
      <c r="CA116" s="120">
        <v>0</v>
      </c>
      <c r="CB116" s="120">
        <v>0</v>
      </c>
      <c r="CC116" s="120">
        <v>0</v>
      </c>
      <c r="CD116" s="120">
        <v>0</v>
      </c>
      <c r="CE116" s="120">
        <v>0</v>
      </c>
      <c r="CF116" s="120">
        <v>0</v>
      </c>
      <c r="CG116" s="120">
        <v>0</v>
      </c>
      <c r="CH116" s="120">
        <v>0</v>
      </c>
      <c r="CI116" s="120">
        <v>0</v>
      </c>
      <c r="CJ116" s="120">
        <v>0</v>
      </c>
      <c r="CK116" s="120">
        <v>0</v>
      </c>
      <c r="CL116" s="120">
        <v>0</v>
      </c>
      <c r="CM116" s="120">
        <v>0</v>
      </c>
      <c r="CN116" s="120">
        <v>0</v>
      </c>
      <c r="CO116" s="120">
        <v>0</v>
      </c>
      <c r="CP116" s="120">
        <v>0</v>
      </c>
      <c r="CQ116" s="120">
        <v>0</v>
      </c>
      <c r="CR116" s="120">
        <v>0</v>
      </c>
      <c r="CS116" s="120">
        <v>0</v>
      </c>
      <c r="CT116" s="120">
        <v>0</v>
      </c>
      <c r="CU116" s="120">
        <v>0</v>
      </c>
      <c r="CV116" s="120">
        <v>0</v>
      </c>
      <c r="CW116" s="120">
        <v>0</v>
      </c>
      <c r="CX116" s="120">
        <v>0</v>
      </c>
      <c r="CY116" s="120">
        <v>0</v>
      </c>
      <c r="CZ116" s="120">
        <v>0</v>
      </c>
      <c r="DA116" s="120">
        <v>0</v>
      </c>
      <c r="DB116" s="120">
        <v>0</v>
      </c>
      <c r="DC116" s="120">
        <v>0</v>
      </c>
      <c r="DD116" s="120">
        <v>0</v>
      </c>
      <c r="DE116" s="120">
        <v>0</v>
      </c>
      <c r="DF116" s="120">
        <v>0</v>
      </c>
      <c r="DG116" s="120">
        <v>0</v>
      </c>
      <c r="DH116" s="120">
        <v>0</v>
      </c>
      <c r="DI116" s="120">
        <v>0</v>
      </c>
      <c r="DJ116" s="120">
        <v>0</v>
      </c>
      <c r="DK116" s="120">
        <v>0</v>
      </c>
      <c r="DL116" s="120">
        <v>0</v>
      </c>
      <c r="DM116" s="120">
        <v>0</v>
      </c>
      <c r="DN116" s="120">
        <v>0</v>
      </c>
      <c r="DO116" s="120">
        <v>0</v>
      </c>
      <c r="DP116" s="120">
        <v>2219.591586828391</v>
      </c>
      <c r="DQ116" s="120">
        <v>0</v>
      </c>
      <c r="DR116" s="120">
        <v>-3024.7676236867269</v>
      </c>
      <c r="DS116" s="120">
        <v>0</v>
      </c>
      <c r="DT116" s="120">
        <v>0</v>
      </c>
      <c r="DU116" s="120">
        <v>0</v>
      </c>
      <c r="DV116" s="120">
        <v>0</v>
      </c>
      <c r="DW116" s="120">
        <v>0</v>
      </c>
      <c r="DX116" s="120">
        <v>0</v>
      </c>
      <c r="DY116" s="120">
        <v>0</v>
      </c>
      <c r="DZ116" s="120">
        <v>0</v>
      </c>
      <c r="EA116" s="120">
        <v>0</v>
      </c>
      <c r="EB116" s="120">
        <v>0</v>
      </c>
      <c r="EC116" s="120">
        <v>0</v>
      </c>
      <c r="ED116" s="120">
        <f t="shared" si="1"/>
        <v>1932.7683103051836</v>
      </c>
    </row>
    <row r="117" spans="1:134">
      <c r="A117" s="120">
        <v>116</v>
      </c>
      <c r="B117" s="120">
        <v>0</v>
      </c>
      <c r="C117" s="120">
        <v>0</v>
      </c>
      <c r="D117" s="120">
        <v>0</v>
      </c>
      <c r="E117" s="120">
        <v>0</v>
      </c>
      <c r="F117" s="120">
        <v>0</v>
      </c>
      <c r="G117" s="120">
        <v>0</v>
      </c>
      <c r="H117" s="120">
        <v>0</v>
      </c>
      <c r="I117" s="120">
        <v>0</v>
      </c>
      <c r="J117" s="120">
        <v>0</v>
      </c>
      <c r="K117" s="120">
        <v>0</v>
      </c>
      <c r="L117" s="120">
        <v>0</v>
      </c>
      <c r="M117" s="120">
        <v>0</v>
      </c>
      <c r="N117" s="120">
        <v>0</v>
      </c>
      <c r="O117" s="120">
        <v>0</v>
      </c>
      <c r="P117" s="120">
        <v>0</v>
      </c>
      <c r="Q117" s="120">
        <v>0</v>
      </c>
      <c r="R117" s="120">
        <v>0</v>
      </c>
      <c r="S117" s="120">
        <v>0</v>
      </c>
      <c r="T117" s="120">
        <v>0</v>
      </c>
      <c r="U117" s="120">
        <v>0</v>
      </c>
      <c r="V117" s="120">
        <v>0</v>
      </c>
      <c r="W117" s="120">
        <v>0</v>
      </c>
      <c r="X117" s="120">
        <v>0</v>
      </c>
      <c r="Y117" s="120">
        <v>0</v>
      </c>
      <c r="Z117" s="120">
        <v>0</v>
      </c>
      <c r="AA117" s="120">
        <v>0</v>
      </c>
      <c r="AB117" s="120">
        <v>0</v>
      </c>
      <c r="AC117" s="120">
        <v>0</v>
      </c>
      <c r="AD117" s="120">
        <v>0</v>
      </c>
      <c r="AE117" s="120">
        <v>0</v>
      </c>
      <c r="AF117" s="120">
        <v>0</v>
      </c>
      <c r="AG117" s="120">
        <v>0</v>
      </c>
      <c r="AH117" s="120">
        <v>0</v>
      </c>
      <c r="AI117" s="120">
        <v>0</v>
      </c>
      <c r="AJ117" s="120">
        <v>0</v>
      </c>
      <c r="AK117" s="120">
        <v>0</v>
      </c>
      <c r="AL117" s="120">
        <v>0</v>
      </c>
      <c r="AM117" s="120">
        <v>0</v>
      </c>
      <c r="AN117" s="120">
        <v>0</v>
      </c>
      <c r="AO117" s="120">
        <v>0</v>
      </c>
      <c r="AP117" s="120">
        <v>0</v>
      </c>
      <c r="AQ117" s="120">
        <v>0</v>
      </c>
      <c r="AR117" s="120">
        <v>0</v>
      </c>
      <c r="AS117" s="120">
        <v>0</v>
      </c>
      <c r="AT117" s="120">
        <v>0</v>
      </c>
      <c r="AU117" s="120">
        <v>0</v>
      </c>
      <c r="AV117" s="120">
        <v>0</v>
      </c>
      <c r="AW117" s="120">
        <v>0</v>
      </c>
      <c r="AX117" s="120">
        <v>0</v>
      </c>
      <c r="AY117" s="120">
        <v>0</v>
      </c>
      <c r="AZ117" s="120">
        <v>0</v>
      </c>
      <c r="BA117" s="120">
        <v>0</v>
      </c>
      <c r="BB117" s="120">
        <v>0</v>
      </c>
      <c r="BC117" s="120">
        <v>0</v>
      </c>
      <c r="BD117" s="120">
        <v>0</v>
      </c>
      <c r="BE117" s="120">
        <v>0</v>
      </c>
      <c r="BF117" s="120">
        <v>0</v>
      </c>
      <c r="BG117" s="120">
        <v>0</v>
      </c>
      <c r="BH117" s="120">
        <v>0</v>
      </c>
      <c r="BI117" s="120">
        <v>0</v>
      </c>
      <c r="BJ117" s="120">
        <v>0</v>
      </c>
      <c r="BK117" s="120">
        <v>0</v>
      </c>
      <c r="BL117" s="120">
        <v>0</v>
      </c>
      <c r="BM117" s="120">
        <v>45.690382923857761</v>
      </c>
      <c r="BN117" s="120">
        <v>1084.025220680958</v>
      </c>
      <c r="BO117" s="120">
        <v>0</v>
      </c>
      <c r="BP117" s="120">
        <v>0</v>
      </c>
      <c r="BQ117" s="120">
        <v>0</v>
      </c>
      <c r="BR117" s="120">
        <v>0</v>
      </c>
      <c r="BS117" s="120">
        <v>7982.1496188194578</v>
      </c>
      <c r="BT117" s="120">
        <v>0</v>
      </c>
      <c r="BU117" s="120">
        <v>0</v>
      </c>
      <c r="BV117" s="120">
        <v>0</v>
      </c>
      <c r="BW117" s="120">
        <v>0</v>
      </c>
      <c r="BX117" s="120">
        <v>0</v>
      </c>
      <c r="BY117" s="120">
        <v>0</v>
      </c>
      <c r="BZ117" s="120">
        <v>0</v>
      </c>
      <c r="CA117" s="120">
        <v>0</v>
      </c>
      <c r="CB117" s="120">
        <v>0</v>
      </c>
      <c r="CC117" s="120">
        <v>0</v>
      </c>
      <c r="CD117" s="120">
        <v>0</v>
      </c>
      <c r="CE117" s="120">
        <v>0</v>
      </c>
      <c r="CF117" s="120">
        <v>0</v>
      </c>
      <c r="CG117" s="120">
        <v>0</v>
      </c>
      <c r="CH117" s="120">
        <v>0</v>
      </c>
      <c r="CI117" s="120">
        <v>0</v>
      </c>
      <c r="CJ117" s="120">
        <v>0</v>
      </c>
      <c r="CK117" s="120">
        <v>0</v>
      </c>
      <c r="CL117" s="120">
        <v>0</v>
      </c>
      <c r="CM117" s="120">
        <v>0</v>
      </c>
      <c r="CN117" s="120">
        <v>0</v>
      </c>
      <c r="CO117" s="120">
        <v>0</v>
      </c>
      <c r="CP117" s="120">
        <v>0</v>
      </c>
      <c r="CQ117" s="120">
        <v>0</v>
      </c>
      <c r="CR117" s="120">
        <v>0</v>
      </c>
      <c r="CS117" s="120">
        <v>0</v>
      </c>
      <c r="CT117" s="120">
        <v>0</v>
      </c>
      <c r="CU117" s="120">
        <v>0</v>
      </c>
      <c r="CV117" s="120">
        <v>0</v>
      </c>
      <c r="CW117" s="120">
        <v>0</v>
      </c>
      <c r="CX117" s="120">
        <v>0</v>
      </c>
      <c r="CY117" s="120">
        <v>0</v>
      </c>
      <c r="CZ117" s="120">
        <v>0</v>
      </c>
      <c r="DA117" s="120">
        <v>0</v>
      </c>
      <c r="DB117" s="120">
        <v>0</v>
      </c>
      <c r="DC117" s="120">
        <v>0</v>
      </c>
      <c r="DD117" s="120">
        <v>0</v>
      </c>
      <c r="DE117" s="120">
        <v>0</v>
      </c>
      <c r="DF117" s="120">
        <v>0</v>
      </c>
      <c r="DG117" s="120">
        <v>0</v>
      </c>
      <c r="DH117" s="120">
        <v>0</v>
      </c>
      <c r="DI117" s="120">
        <v>0</v>
      </c>
      <c r="DJ117" s="120">
        <v>0</v>
      </c>
      <c r="DK117" s="120">
        <v>0</v>
      </c>
      <c r="DL117" s="120">
        <v>0</v>
      </c>
      <c r="DM117" s="120">
        <v>0</v>
      </c>
      <c r="DN117" s="120">
        <v>0</v>
      </c>
      <c r="DO117" s="120">
        <v>0</v>
      </c>
      <c r="DP117" s="120">
        <v>557.74352694662139</v>
      </c>
      <c r="DQ117" s="120">
        <v>0</v>
      </c>
      <c r="DR117" s="120">
        <v>-259.04810882959362</v>
      </c>
      <c r="DS117" s="120">
        <v>0</v>
      </c>
      <c r="DT117" s="120">
        <v>0</v>
      </c>
      <c r="DU117" s="120">
        <v>0</v>
      </c>
      <c r="DV117" s="120">
        <v>0</v>
      </c>
      <c r="DW117" s="120">
        <v>0</v>
      </c>
      <c r="DX117" s="120">
        <v>0</v>
      </c>
      <c r="DY117" s="120">
        <v>0</v>
      </c>
      <c r="DZ117" s="120">
        <v>0</v>
      </c>
      <c r="EA117" s="120">
        <v>0</v>
      </c>
      <c r="EB117" s="120">
        <v>0</v>
      </c>
      <c r="EC117" s="120">
        <v>0</v>
      </c>
      <c r="ED117" s="120">
        <f t="shared" si="1"/>
        <v>9410.5606405413018</v>
      </c>
    </row>
    <row r="118" spans="1:134">
      <c r="A118" s="120">
        <v>117</v>
      </c>
      <c r="B118" s="120">
        <v>0</v>
      </c>
      <c r="C118" s="120">
        <v>0</v>
      </c>
      <c r="D118" s="120">
        <v>0</v>
      </c>
      <c r="E118" s="120">
        <v>0</v>
      </c>
      <c r="F118" s="120">
        <v>0</v>
      </c>
      <c r="G118" s="120">
        <v>0</v>
      </c>
      <c r="H118" s="120">
        <v>0</v>
      </c>
      <c r="I118" s="120">
        <v>0</v>
      </c>
      <c r="J118" s="120">
        <v>0</v>
      </c>
      <c r="K118" s="120">
        <v>0</v>
      </c>
      <c r="L118" s="120">
        <v>0</v>
      </c>
      <c r="M118" s="120">
        <v>0</v>
      </c>
      <c r="N118" s="120">
        <v>0</v>
      </c>
      <c r="O118" s="120">
        <v>0</v>
      </c>
      <c r="P118" s="120">
        <v>0</v>
      </c>
      <c r="Q118" s="120">
        <v>0</v>
      </c>
      <c r="R118" s="120">
        <v>0</v>
      </c>
      <c r="S118" s="120">
        <v>0</v>
      </c>
      <c r="T118" s="120">
        <v>0</v>
      </c>
      <c r="U118" s="120">
        <v>0</v>
      </c>
      <c r="V118" s="120">
        <v>0</v>
      </c>
      <c r="W118" s="120">
        <v>0</v>
      </c>
      <c r="X118" s="120">
        <v>0</v>
      </c>
      <c r="Y118" s="120">
        <v>0</v>
      </c>
      <c r="Z118" s="120">
        <v>0</v>
      </c>
      <c r="AA118" s="120">
        <v>0</v>
      </c>
      <c r="AB118" s="120">
        <v>0</v>
      </c>
      <c r="AC118" s="120">
        <v>0</v>
      </c>
      <c r="AD118" s="120">
        <v>0</v>
      </c>
      <c r="AE118" s="120">
        <v>0</v>
      </c>
      <c r="AF118" s="120">
        <v>0</v>
      </c>
      <c r="AG118" s="120">
        <v>0</v>
      </c>
      <c r="AH118" s="120">
        <v>0</v>
      </c>
      <c r="AI118" s="120">
        <v>0</v>
      </c>
      <c r="AJ118" s="120">
        <v>0</v>
      </c>
      <c r="AK118" s="120">
        <v>0</v>
      </c>
      <c r="AL118" s="120">
        <v>0</v>
      </c>
      <c r="AM118" s="120">
        <v>0</v>
      </c>
      <c r="AN118" s="120">
        <v>0</v>
      </c>
      <c r="AO118" s="120">
        <v>0</v>
      </c>
      <c r="AP118" s="120">
        <v>0</v>
      </c>
      <c r="AQ118" s="120">
        <v>0</v>
      </c>
      <c r="AR118" s="120">
        <v>0</v>
      </c>
      <c r="AS118" s="120">
        <v>0</v>
      </c>
      <c r="AT118" s="120">
        <v>0</v>
      </c>
      <c r="AU118" s="120">
        <v>0</v>
      </c>
      <c r="AV118" s="120">
        <v>0</v>
      </c>
      <c r="AW118" s="120">
        <v>7864.7143830458645</v>
      </c>
      <c r="AX118" s="120">
        <v>0</v>
      </c>
      <c r="AY118" s="120">
        <v>0</v>
      </c>
      <c r="AZ118" s="120">
        <v>3501.584856691492</v>
      </c>
      <c r="BA118" s="120">
        <v>0</v>
      </c>
      <c r="BB118" s="120">
        <v>0</v>
      </c>
      <c r="BC118" s="120">
        <v>19347</v>
      </c>
      <c r="BD118" s="120">
        <v>0</v>
      </c>
      <c r="BE118" s="120">
        <v>0</v>
      </c>
      <c r="BF118" s="120">
        <v>0</v>
      </c>
      <c r="BG118" s="120">
        <v>0</v>
      </c>
      <c r="BH118" s="120">
        <v>0</v>
      </c>
      <c r="BI118" s="120">
        <v>0</v>
      </c>
      <c r="BJ118" s="120">
        <v>0</v>
      </c>
      <c r="BK118" s="120">
        <v>0</v>
      </c>
      <c r="BL118" s="120">
        <v>0</v>
      </c>
      <c r="BM118" s="120">
        <v>0</v>
      </c>
      <c r="BN118" s="120">
        <v>0</v>
      </c>
      <c r="BO118" s="120">
        <v>0</v>
      </c>
      <c r="BP118" s="120">
        <v>0</v>
      </c>
      <c r="BQ118" s="120">
        <v>0</v>
      </c>
      <c r="BR118" s="120">
        <v>0</v>
      </c>
      <c r="BS118" s="120">
        <v>0</v>
      </c>
      <c r="BT118" s="120">
        <v>0</v>
      </c>
      <c r="BU118" s="120">
        <v>0</v>
      </c>
      <c r="BV118" s="120">
        <v>0</v>
      </c>
      <c r="BW118" s="120">
        <v>0</v>
      </c>
      <c r="BX118" s="120">
        <v>0</v>
      </c>
      <c r="BY118" s="120">
        <v>0</v>
      </c>
      <c r="BZ118" s="120">
        <v>0</v>
      </c>
      <c r="CA118" s="120">
        <v>0</v>
      </c>
      <c r="CB118" s="120">
        <v>0</v>
      </c>
      <c r="CC118" s="120">
        <v>0</v>
      </c>
      <c r="CD118" s="120">
        <v>0</v>
      </c>
      <c r="CE118" s="120">
        <v>0</v>
      </c>
      <c r="CF118" s="120">
        <v>0</v>
      </c>
      <c r="CG118" s="120">
        <v>0</v>
      </c>
      <c r="CH118" s="120">
        <v>0</v>
      </c>
      <c r="CI118" s="120">
        <v>0</v>
      </c>
      <c r="CJ118" s="120">
        <v>0</v>
      </c>
      <c r="CK118" s="120">
        <v>0</v>
      </c>
      <c r="CL118" s="120">
        <v>0</v>
      </c>
      <c r="CM118" s="120">
        <v>0</v>
      </c>
      <c r="CN118" s="120">
        <v>0</v>
      </c>
      <c r="CO118" s="120">
        <v>0</v>
      </c>
      <c r="CP118" s="120">
        <v>0</v>
      </c>
      <c r="CQ118" s="120">
        <v>0</v>
      </c>
      <c r="CR118" s="120">
        <v>0</v>
      </c>
      <c r="CS118" s="120">
        <v>0</v>
      </c>
      <c r="CT118" s="120">
        <v>0</v>
      </c>
      <c r="CU118" s="120">
        <v>0</v>
      </c>
      <c r="CV118" s="120">
        <v>0</v>
      </c>
      <c r="CW118" s="120">
        <v>0</v>
      </c>
      <c r="CX118" s="120">
        <v>0</v>
      </c>
      <c r="CY118" s="120">
        <v>0</v>
      </c>
      <c r="CZ118" s="120">
        <v>0</v>
      </c>
      <c r="DA118" s="120">
        <v>0</v>
      </c>
      <c r="DB118" s="120">
        <v>0</v>
      </c>
      <c r="DC118" s="120">
        <v>0</v>
      </c>
      <c r="DD118" s="120">
        <v>0</v>
      </c>
      <c r="DE118" s="120">
        <v>0</v>
      </c>
      <c r="DF118" s="120">
        <v>0</v>
      </c>
      <c r="DG118" s="120">
        <v>0</v>
      </c>
      <c r="DH118" s="120">
        <v>0</v>
      </c>
      <c r="DI118" s="120">
        <v>0</v>
      </c>
      <c r="DJ118" s="120">
        <v>0</v>
      </c>
      <c r="DK118" s="120">
        <v>0</v>
      </c>
      <c r="DL118" s="120">
        <v>0</v>
      </c>
      <c r="DM118" s="120">
        <v>0</v>
      </c>
      <c r="DN118" s="120">
        <v>0</v>
      </c>
      <c r="DO118" s="120">
        <v>0</v>
      </c>
      <c r="DP118" s="120">
        <v>1415.985607186931</v>
      </c>
      <c r="DQ118" s="120">
        <v>0</v>
      </c>
      <c r="DR118" s="120">
        <v>-150.47647498189639</v>
      </c>
      <c r="DS118" s="120">
        <v>0</v>
      </c>
      <c r="DT118" s="120">
        <v>0</v>
      </c>
      <c r="DU118" s="120">
        <v>0</v>
      </c>
      <c r="DV118" s="120">
        <v>0</v>
      </c>
      <c r="DW118" s="120">
        <v>0</v>
      </c>
      <c r="DX118" s="120">
        <v>0</v>
      </c>
      <c r="DY118" s="120">
        <v>0</v>
      </c>
      <c r="DZ118" s="120">
        <v>0</v>
      </c>
      <c r="EA118" s="120">
        <v>0</v>
      </c>
      <c r="EB118" s="120">
        <v>0</v>
      </c>
      <c r="EC118" s="120">
        <v>0</v>
      </c>
      <c r="ED118" s="120">
        <f t="shared" si="1"/>
        <v>31978.808371942392</v>
      </c>
    </row>
    <row r="119" spans="1:134">
      <c r="A119" s="120">
        <v>118</v>
      </c>
      <c r="B119" s="120">
        <v>0</v>
      </c>
      <c r="C119" s="120">
        <v>0</v>
      </c>
      <c r="D119" s="120">
        <v>0</v>
      </c>
      <c r="E119" s="120">
        <v>0</v>
      </c>
      <c r="F119" s="120">
        <v>0</v>
      </c>
      <c r="G119" s="120">
        <v>0</v>
      </c>
      <c r="H119" s="120">
        <v>0</v>
      </c>
      <c r="I119" s="120">
        <v>0</v>
      </c>
      <c r="J119" s="120">
        <v>0</v>
      </c>
      <c r="K119" s="120">
        <v>0</v>
      </c>
      <c r="L119" s="120">
        <v>0</v>
      </c>
      <c r="M119" s="120">
        <v>0</v>
      </c>
      <c r="N119" s="120">
        <v>0</v>
      </c>
      <c r="O119" s="120">
        <v>0</v>
      </c>
      <c r="P119" s="120">
        <v>0</v>
      </c>
      <c r="Q119" s="120">
        <v>0</v>
      </c>
      <c r="R119" s="120">
        <v>0</v>
      </c>
      <c r="S119" s="120">
        <v>0</v>
      </c>
      <c r="T119" s="120">
        <v>0</v>
      </c>
      <c r="U119" s="120">
        <v>0</v>
      </c>
      <c r="V119" s="120">
        <v>0</v>
      </c>
      <c r="W119" s="120">
        <v>0</v>
      </c>
      <c r="X119" s="120">
        <v>0</v>
      </c>
      <c r="Y119" s="120">
        <v>0</v>
      </c>
      <c r="Z119" s="120">
        <v>0</v>
      </c>
      <c r="AA119" s="120">
        <v>0</v>
      </c>
      <c r="AB119" s="120">
        <v>0</v>
      </c>
      <c r="AC119" s="120">
        <v>0</v>
      </c>
      <c r="AD119" s="120">
        <v>0</v>
      </c>
      <c r="AE119" s="120">
        <v>0</v>
      </c>
      <c r="AF119" s="120">
        <v>0</v>
      </c>
      <c r="AG119" s="120">
        <v>0</v>
      </c>
      <c r="AH119" s="120">
        <v>0</v>
      </c>
      <c r="AI119" s="120">
        <v>0</v>
      </c>
      <c r="AJ119" s="120">
        <v>0</v>
      </c>
      <c r="AK119" s="120">
        <v>0</v>
      </c>
      <c r="AL119" s="120">
        <v>0</v>
      </c>
      <c r="AM119" s="120">
        <v>0</v>
      </c>
      <c r="AN119" s="120">
        <v>0</v>
      </c>
      <c r="AO119" s="120">
        <v>0</v>
      </c>
      <c r="AP119" s="120">
        <v>0</v>
      </c>
      <c r="AQ119" s="120">
        <v>0</v>
      </c>
      <c r="AR119" s="120">
        <v>0</v>
      </c>
      <c r="AS119" s="120">
        <v>0</v>
      </c>
      <c r="AT119" s="120">
        <v>0</v>
      </c>
      <c r="AU119" s="120">
        <v>0</v>
      </c>
      <c r="AV119" s="120">
        <v>0</v>
      </c>
      <c r="AW119" s="120">
        <v>0</v>
      </c>
      <c r="AX119" s="120">
        <v>0</v>
      </c>
      <c r="AY119" s="120">
        <v>0</v>
      </c>
      <c r="AZ119" s="120">
        <v>0</v>
      </c>
      <c r="BA119" s="120">
        <v>0</v>
      </c>
      <c r="BB119" s="120">
        <v>0</v>
      </c>
      <c r="BC119" s="120">
        <v>0</v>
      </c>
      <c r="BD119" s="120">
        <v>0</v>
      </c>
      <c r="BE119" s="120">
        <v>0</v>
      </c>
      <c r="BF119" s="120">
        <v>0</v>
      </c>
      <c r="BG119" s="120">
        <v>0</v>
      </c>
      <c r="BH119" s="120">
        <v>0</v>
      </c>
      <c r="BI119" s="120">
        <v>0</v>
      </c>
      <c r="BJ119" s="120">
        <v>0</v>
      </c>
      <c r="BK119" s="120">
        <v>0</v>
      </c>
      <c r="BL119" s="120">
        <v>0</v>
      </c>
      <c r="BM119" s="120">
        <v>0</v>
      </c>
      <c r="BN119" s="120">
        <v>0</v>
      </c>
      <c r="BO119" s="120">
        <v>0</v>
      </c>
      <c r="BP119" s="120">
        <v>0</v>
      </c>
      <c r="BQ119" s="120">
        <v>0</v>
      </c>
      <c r="BR119" s="120">
        <v>0</v>
      </c>
      <c r="BS119" s="120">
        <v>552.2516804550155</v>
      </c>
      <c r="BT119" s="120">
        <v>0</v>
      </c>
      <c r="BU119" s="120">
        <v>0</v>
      </c>
      <c r="BV119" s="120">
        <v>15442.09701619014</v>
      </c>
      <c r="BW119" s="120">
        <v>0</v>
      </c>
      <c r="BX119" s="120">
        <v>0</v>
      </c>
      <c r="BY119" s="120">
        <v>0</v>
      </c>
      <c r="BZ119" s="120">
        <v>0</v>
      </c>
      <c r="CA119" s="120">
        <v>0</v>
      </c>
      <c r="CB119" s="120">
        <v>0</v>
      </c>
      <c r="CC119" s="120">
        <v>0</v>
      </c>
      <c r="CD119" s="120">
        <v>0</v>
      </c>
      <c r="CE119" s="120">
        <v>0</v>
      </c>
      <c r="CF119" s="120">
        <v>0</v>
      </c>
      <c r="CG119" s="120">
        <v>0</v>
      </c>
      <c r="CH119" s="120">
        <v>0</v>
      </c>
      <c r="CI119" s="120">
        <v>0</v>
      </c>
      <c r="CJ119" s="120">
        <v>0</v>
      </c>
      <c r="CK119" s="120">
        <v>0</v>
      </c>
      <c r="CL119" s="120">
        <v>0</v>
      </c>
      <c r="CM119" s="120">
        <v>0</v>
      </c>
      <c r="CN119" s="120">
        <v>0</v>
      </c>
      <c r="CO119" s="120">
        <v>0</v>
      </c>
      <c r="CP119" s="120">
        <v>0</v>
      </c>
      <c r="CQ119" s="120">
        <v>0</v>
      </c>
      <c r="CR119" s="120">
        <v>0</v>
      </c>
      <c r="CS119" s="120">
        <v>0</v>
      </c>
      <c r="CT119" s="120">
        <v>0</v>
      </c>
      <c r="CU119" s="120">
        <v>0</v>
      </c>
      <c r="CV119" s="120">
        <v>0</v>
      </c>
      <c r="CW119" s="120">
        <v>0</v>
      </c>
      <c r="CX119" s="120">
        <v>0</v>
      </c>
      <c r="CY119" s="120">
        <v>0</v>
      </c>
      <c r="CZ119" s="120">
        <v>0</v>
      </c>
      <c r="DA119" s="120">
        <v>0</v>
      </c>
      <c r="DB119" s="120">
        <v>0</v>
      </c>
      <c r="DC119" s="120">
        <v>0</v>
      </c>
      <c r="DD119" s="120">
        <v>0</v>
      </c>
      <c r="DE119" s="120">
        <v>0</v>
      </c>
      <c r="DF119" s="120">
        <v>0</v>
      </c>
      <c r="DG119" s="120">
        <v>0</v>
      </c>
      <c r="DH119" s="120">
        <v>0</v>
      </c>
      <c r="DI119" s="120">
        <v>0</v>
      </c>
      <c r="DJ119" s="120">
        <v>0</v>
      </c>
      <c r="DK119" s="120">
        <v>0</v>
      </c>
      <c r="DL119" s="120">
        <v>0</v>
      </c>
      <c r="DM119" s="120">
        <v>0</v>
      </c>
      <c r="DN119" s="120">
        <v>0</v>
      </c>
      <c r="DO119" s="120">
        <v>0</v>
      </c>
      <c r="DP119" s="120">
        <v>318.71058682664068</v>
      </c>
      <c r="DQ119" s="120">
        <v>0</v>
      </c>
      <c r="DR119" s="120">
        <v>-257.14334332349381</v>
      </c>
      <c r="DS119" s="120">
        <v>0</v>
      </c>
      <c r="DT119" s="120">
        <v>0</v>
      </c>
      <c r="DU119" s="120">
        <v>0</v>
      </c>
      <c r="DV119" s="120">
        <v>0</v>
      </c>
      <c r="DW119" s="120">
        <v>0</v>
      </c>
      <c r="DX119" s="120">
        <v>0</v>
      </c>
      <c r="DY119" s="120">
        <v>0</v>
      </c>
      <c r="DZ119" s="120">
        <v>0</v>
      </c>
      <c r="EA119" s="120">
        <v>0</v>
      </c>
      <c r="EB119" s="120">
        <v>0</v>
      </c>
      <c r="EC119" s="120">
        <v>0</v>
      </c>
      <c r="ED119" s="120">
        <f t="shared" si="1"/>
        <v>16055.915940148303</v>
      </c>
    </row>
    <row r="120" spans="1:134">
      <c r="A120" s="120">
        <v>119</v>
      </c>
      <c r="B120" s="120">
        <v>0</v>
      </c>
      <c r="C120" s="120">
        <v>0</v>
      </c>
      <c r="D120" s="120">
        <v>0</v>
      </c>
      <c r="E120" s="120">
        <v>0</v>
      </c>
      <c r="F120" s="120">
        <v>0</v>
      </c>
      <c r="G120" s="120">
        <v>0</v>
      </c>
      <c r="H120" s="120">
        <v>0</v>
      </c>
      <c r="I120" s="120">
        <v>0</v>
      </c>
      <c r="J120" s="120">
        <v>0</v>
      </c>
      <c r="K120" s="120">
        <v>0</v>
      </c>
      <c r="L120" s="120">
        <v>0</v>
      </c>
      <c r="M120" s="120">
        <v>0</v>
      </c>
      <c r="N120" s="120">
        <v>0</v>
      </c>
      <c r="O120" s="120">
        <v>0</v>
      </c>
      <c r="P120" s="120">
        <v>0</v>
      </c>
      <c r="Q120" s="120">
        <v>0</v>
      </c>
      <c r="R120" s="120">
        <v>0</v>
      </c>
      <c r="S120" s="120">
        <v>0</v>
      </c>
      <c r="T120" s="120">
        <v>0</v>
      </c>
      <c r="U120" s="120">
        <v>0</v>
      </c>
      <c r="V120" s="120">
        <v>0</v>
      </c>
      <c r="W120" s="120">
        <v>0</v>
      </c>
      <c r="X120" s="120">
        <v>0</v>
      </c>
      <c r="Y120" s="120">
        <v>0</v>
      </c>
      <c r="Z120" s="120">
        <v>0</v>
      </c>
      <c r="AA120" s="120">
        <v>0</v>
      </c>
      <c r="AB120" s="120">
        <v>0</v>
      </c>
      <c r="AC120" s="120">
        <v>0</v>
      </c>
      <c r="AD120" s="120">
        <v>0</v>
      </c>
      <c r="AE120" s="120">
        <v>0</v>
      </c>
      <c r="AF120" s="120">
        <v>0</v>
      </c>
      <c r="AG120" s="120">
        <v>0</v>
      </c>
      <c r="AH120" s="120">
        <v>0</v>
      </c>
      <c r="AI120" s="120">
        <v>0</v>
      </c>
      <c r="AJ120" s="120">
        <v>0</v>
      </c>
      <c r="AK120" s="120">
        <v>0</v>
      </c>
      <c r="AL120" s="120">
        <v>0</v>
      </c>
      <c r="AM120" s="120">
        <v>0</v>
      </c>
      <c r="AN120" s="120">
        <v>0</v>
      </c>
      <c r="AO120" s="120">
        <v>0</v>
      </c>
      <c r="AP120" s="120">
        <v>0</v>
      </c>
      <c r="AQ120" s="120">
        <v>0</v>
      </c>
      <c r="AR120" s="120">
        <v>0</v>
      </c>
      <c r="AS120" s="120">
        <v>0</v>
      </c>
      <c r="AT120" s="120">
        <v>0</v>
      </c>
      <c r="AU120" s="120">
        <v>0</v>
      </c>
      <c r="AV120" s="120">
        <v>0</v>
      </c>
      <c r="AW120" s="120">
        <v>0</v>
      </c>
      <c r="AX120" s="120">
        <v>0</v>
      </c>
      <c r="AY120" s="120">
        <v>0</v>
      </c>
      <c r="AZ120" s="120">
        <v>0</v>
      </c>
      <c r="BA120" s="120">
        <v>0</v>
      </c>
      <c r="BB120" s="120">
        <v>0</v>
      </c>
      <c r="BC120" s="120">
        <v>0</v>
      </c>
      <c r="BD120" s="120">
        <v>0</v>
      </c>
      <c r="BE120" s="120">
        <v>0</v>
      </c>
      <c r="BF120" s="120">
        <v>0</v>
      </c>
      <c r="BG120" s="120">
        <v>0</v>
      </c>
      <c r="BH120" s="120">
        <v>0</v>
      </c>
      <c r="BI120" s="120">
        <v>0</v>
      </c>
      <c r="BJ120" s="120">
        <v>0</v>
      </c>
      <c r="BK120" s="120">
        <v>0</v>
      </c>
      <c r="BL120" s="120">
        <v>0</v>
      </c>
      <c r="BM120" s="120">
        <v>0</v>
      </c>
      <c r="BN120" s="120">
        <v>0</v>
      </c>
      <c r="BO120" s="120">
        <v>0</v>
      </c>
      <c r="BP120" s="120">
        <v>0</v>
      </c>
      <c r="BQ120" s="120">
        <v>0</v>
      </c>
      <c r="BR120" s="120">
        <v>0</v>
      </c>
      <c r="BS120" s="120">
        <v>0</v>
      </c>
      <c r="BT120" s="120">
        <v>0</v>
      </c>
      <c r="BU120" s="120">
        <v>0</v>
      </c>
      <c r="BV120" s="120">
        <v>30007.08966881732</v>
      </c>
      <c r="BW120" s="120">
        <v>0</v>
      </c>
      <c r="BX120" s="120">
        <v>0</v>
      </c>
      <c r="BY120" s="120">
        <v>0</v>
      </c>
      <c r="BZ120" s="120">
        <v>0</v>
      </c>
      <c r="CA120" s="120">
        <v>0</v>
      </c>
      <c r="CB120" s="120">
        <v>0</v>
      </c>
      <c r="CC120" s="120">
        <v>0</v>
      </c>
      <c r="CD120" s="120">
        <v>0</v>
      </c>
      <c r="CE120" s="120">
        <v>0</v>
      </c>
      <c r="CF120" s="120">
        <v>0</v>
      </c>
      <c r="CG120" s="120">
        <v>0</v>
      </c>
      <c r="CH120" s="120">
        <v>0</v>
      </c>
      <c r="CI120" s="120">
        <v>0</v>
      </c>
      <c r="CJ120" s="120">
        <v>0</v>
      </c>
      <c r="CK120" s="120">
        <v>0</v>
      </c>
      <c r="CL120" s="120">
        <v>0</v>
      </c>
      <c r="CM120" s="120">
        <v>0</v>
      </c>
      <c r="CN120" s="120">
        <v>0</v>
      </c>
      <c r="CO120" s="120">
        <v>0</v>
      </c>
      <c r="CP120" s="120">
        <v>0</v>
      </c>
      <c r="CQ120" s="120">
        <v>0</v>
      </c>
      <c r="CR120" s="120">
        <v>0</v>
      </c>
      <c r="CS120" s="120">
        <v>0</v>
      </c>
      <c r="CT120" s="120">
        <v>0</v>
      </c>
      <c r="CU120" s="120">
        <v>0</v>
      </c>
      <c r="CV120" s="120">
        <v>0</v>
      </c>
      <c r="CW120" s="120">
        <v>0</v>
      </c>
      <c r="CX120" s="120">
        <v>0</v>
      </c>
      <c r="CY120" s="120">
        <v>0</v>
      </c>
      <c r="CZ120" s="120">
        <v>0</v>
      </c>
      <c r="DA120" s="120">
        <v>0</v>
      </c>
      <c r="DB120" s="120">
        <v>0</v>
      </c>
      <c r="DC120" s="120">
        <v>0</v>
      </c>
      <c r="DD120" s="120">
        <v>0</v>
      </c>
      <c r="DE120" s="120">
        <v>0</v>
      </c>
      <c r="DF120" s="120">
        <v>0</v>
      </c>
      <c r="DG120" s="120">
        <v>0</v>
      </c>
      <c r="DH120" s="120">
        <v>0</v>
      </c>
      <c r="DI120" s="120">
        <v>0</v>
      </c>
      <c r="DJ120" s="120">
        <v>0</v>
      </c>
      <c r="DK120" s="120">
        <v>0</v>
      </c>
      <c r="DL120" s="120">
        <v>0</v>
      </c>
      <c r="DM120" s="120">
        <v>0</v>
      </c>
      <c r="DN120" s="120">
        <v>0</v>
      </c>
      <c r="DO120" s="120">
        <v>0</v>
      </c>
      <c r="DP120" s="120">
        <v>132.03724311389399</v>
      </c>
      <c r="DQ120" s="120">
        <v>0</v>
      </c>
      <c r="DR120" s="120">
        <v>0</v>
      </c>
      <c r="DS120" s="120">
        <v>0</v>
      </c>
      <c r="DT120" s="120">
        <v>0</v>
      </c>
      <c r="DU120" s="120">
        <v>0</v>
      </c>
      <c r="DV120" s="120">
        <v>0</v>
      </c>
      <c r="DW120" s="120">
        <v>0</v>
      </c>
      <c r="DX120" s="120">
        <v>0</v>
      </c>
      <c r="DY120" s="120">
        <v>0</v>
      </c>
      <c r="DZ120" s="120">
        <v>0</v>
      </c>
      <c r="EA120" s="120">
        <v>0</v>
      </c>
      <c r="EB120" s="120">
        <v>0</v>
      </c>
      <c r="EC120" s="120">
        <v>0</v>
      </c>
      <c r="ED120" s="120">
        <f t="shared" si="1"/>
        <v>30139.126911931213</v>
      </c>
    </row>
    <row r="121" spans="1:134">
      <c r="A121" s="120">
        <v>120</v>
      </c>
      <c r="B121" s="120">
        <v>0</v>
      </c>
      <c r="C121" s="120">
        <v>0</v>
      </c>
      <c r="D121" s="120">
        <v>0</v>
      </c>
      <c r="E121" s="120">
        <v>0</v>
      </c>
      <c r="F121" s="120">
        <v>0</v>
      </c>
      <c r="G121" s="120">
        <v>0</v>
      </c>
      <c r="H121" s="120">
        <v>0</v>
      </c>
      <c r="I121" s="120">
        <v>0</v>
      </c>
      <c r="J121" s="120">
        <v>0</v>
      </c>
      <c r="K121" s="120">
        <v>0</v>
      </c>
      <c r="L121" s="120">
        <v>0</v>
      </c>
      <c r="M121" s="120">
        <v>0</v>
      </c>
      <c r="N121" s="120">
        <v>0</v>
      </c>
      <c r="O121" s="120">
        <v>0</v>
      </c>
      <c r="P121" s="120">
        <v>0</v>
      </c>
      <c r="Q121" s="120">
        <v>0</v>
      </c>
      <c r="R121" s="120">
        <v>0</v>
      </c>
      <c r="S121" s="120">
        <v>0</v>
      </c>
      <c r="T121" s="120">
        <v>0</v>
      </c>
      <c r="U121" s="120">
        <v>0</v>
      </c>
      <c r="V121" s="120">
        <v>0</v>
      </c>
      <c r="W121" s="120">
        <v>0</v>
      </c>
      <c r="X121" s="120">
        <v>0</v>
      </c>
      <c r="Y121" s="120">
        <v>0</v>
      </c>
      <c r="Z121" s="120">
        <v>0</v>
      </c>
      <c r="AA121" s="120">
        <v>0</v>
      </c>
      <c r="AB121" s="120">
        <v>0</v>
      </c>
      <c r="AC121" s="120">
        <v>0</v>
      </c>
      <c r="AD121" s="120">
        <v>0</v>
      </c>
      <c r="AE121" s="120">
        <v>0</v>
      </c>
      <c r="AF121" s="120">
        <v>0</v>
      </c>
      <c r="AG121" s="120">
        <v>0</v>
      </c>
      <c r="AH121" s="120">
        <v>0</v>
      </c>
      <c r="AI121" s="120">
        <v>0</v>
      </c>
      <c r="AJ121" s="120">
        <v>0</v>
      </c>
      <c r="AK121" s="120">
        <v>0</v>
      </c>
      <c r="AL121" s="120">
        <v>0</v>
      </c>
      <c r="AM121" s="120">
        <v>0</v>
      </c>
      <c r="AN121" s="120">
        <v>0</v>
      </c>
      <c r="AO121" s="120">
        <v>0</v>
      </c>
      <c r="AP121" s="120">
        <v>0</v>
      </c>
      <c r="AQ121" s="120">
        <v>0</v>
      </c>
      <c r="AR121" s="120">
        <v>0</v>
      </c>
      <c r="AS121" s="120">
        <v>0</v>
      </c>
      <c r="AT121" s="120">
        <v>0</v>
      </c>
      <c r="AU121" s="120">
        <v>0</v>
      </c>
      <c r="AV121" s="120">
        <v>0</v>
      </c>
      <c r="AW121" s="120">
        <v>0</v>
      </c>
      <c r="AX121" s="120">
        <v>0</v>
      </c>
      <c r="AY121" s="120">
        <v>0</v>
      </c>
      <c r="AZ121" s="120">
        <v>0</v>
      </c>
      <c r="BA121" s="120">
        <v>0</v>
      </c>
      <c r="BB121" s="120">
        <v>0</v>
      </c>
      <c r="BC121" s="120">
        <v>0</v>
      </c>
      <c r="BD121" s="120">
        <v>0</v>
      </c>
      <c r="BE121" s="120">
        <v>0</v>
      </c>
      <c r="BF121" s="120">
        <v>0</v>
      </c>
      <c r="BG121" s="120">
        <v>0</v>
      </c>
      <c r="BH121" s="120">
        <v>0</v>
      </c>
      <c r="BI121" s="120">
        <v>0</v>
      </c>
      <c r="BJ121" s="120">
        <v>0</v>
      </c>
      <c r="BK121" s="120">
        <v>0</v>
      </c>
      <c r="BL121" s="120">
        <v>0</v>
      </c>
      <c r="BM121" s="120">
        <v>0</v>
      </c>
      <c r="BN121" s="120">
        <v>0</v>
      </c>
      <c r="BO121" s="120">
        <v>0</v>
      </c>
      <c r="BP121" s="120">
        <v>0</v>
      </c>
      <c r="BQ121" s="120">
        <v>0</v>
      </c>
      <c r="BR121" s="120">
        <v>0</v>
      </c>
      <c r="BS121" s="120">
        <v>0</v>
      </c>
      <c r="BT121" s="120">
        <v>0</v>
      </c>
      <c r="BU121" s="120">
        <v>0</v>
      </c>
      <c r="BV121" s="120">
        <v>223.4929387924841</v>
      </c>
      <c r="BW121" s="120">
        <v>0</v>
      </c>
      <c r="BX121" s="120">
        <v>0</v>
      </c>
      <c r="BY121" s="120">
        <v>0</v>
      </c>
      <c r="BZ121" s="120">
        <v>0</v>
      </c>
      <c r="CA121" s="120">
        <v>0</v>
      </c>
      <c r="CB121" s="120">
        <v>0</v>
      </c>
      <c r="CC121" s="120">
        <v>0</v>
      </c>
      <c r="CD121" s="120">
        <v>0</v>
      </c>
      <c r="CE121" s="120">
        <v>0</v>
      </c>
      <c r="CF121" s="120">
        <v>0</v>
      </c>
      <c r="CG121" s="120">
        <v>0</v>
      </c>
      <c r="CH121" s="120">
        <v>0</v>
      </c>
      <c r="CI121" s="120">
        <v>0</v>
      </c>
      <c r="CJ121" s="120">
        <v>0</v>
      </c>
      <c r="CK121" s="120">
        <v>0</v>
      </c>
      <c r="CL121" s="120">
        <v>0</v>
      </c>
      <c r="CM121" s="120">
        <v>0</v>
      </c>
      <c r="CN121" s="120">
        <v>0</v>
      </c>
      <c r="CO121" s="120">
        <v>0</v>
      </c>
      <c r="CP121" s="120">
        <v>0</v>
      </c>
      <c r="CQ121" s="120">
        <v>0</v>
      </c>
      <c r="CR121" s="120">
        <v>0</v>
      </c>
      <c r="CS121" s="120">
        <v>0</v>
      </c>
      <c r="CT121" s="120">
        <v>0</v>
      </c>
      <c r="CU121" s="120">
        <v>0</v>
      </c>
      <c r="CV121" s="120">
        <v>0</v>
      </c>
      <c r="CW121" s="120">
        <v>0</v>
      </c>
      <c r="CX121" s="120">
        <v>0</v>
      </c>
      <c r="CY121" s="120">
        <v>0</v>
      </c>
      <c r="CZ121" s="120">
        <v>0</v>
      </c>
      <c r="DA121" s="120">
        <v>0</v>
      </c>
      <c r="DB121" s="120">
        <v>0</v>
      </c>
      <c r="DC121" s="120">
        <v>0</v>
      </c>
      <c r="DD121" s="120">
        <v>0</v>
      </c>
      <c r="DE121" s="120">
        <v>0</v>
      </c>
      <c r="DF121" s="120">
        <v>0</v>
      </c>
      <c r="DG121" s="120">
        <v>0</v>
      </c>
      <c r="DH121" s="120">
        <v>0</v>
      </c>
      <c r="DI121" s="120">
        <v>0</v>
      </c>
      <c r="DJ121" s="120">
        <v>0</v>
      </c>
      <c r="DK121" s="120">
        <v>0</v>
      </c>
      <c r="DL121" s="120">
        <v>0</v>
      </c>
      <c r="DM121" s="120">
        <v>0</v>
      </c>
      <c r="DN121" s="120">
        <v>0</v>
      </c>
      <c r="DO121" s="120">
        <v>0</v>
      </c>
      <c r="DP121" s="120">
        <v>896.94265149783155</v>
      </c>
      <c r="DQ121" s="120">
        <v>0</v>
      </c>
      <c r="DR121" s="120">
        <v>0</v>
      </c>
      <c r="DS121" s="120">
        <v>0</v>
      </c>
      <c r="DT121" s="120">
        <v>0</v>
      </c>
      <c r="DU121" s="120">
        <v>0</v>
      </c>
      <c r="DV121" s="120">
        <v>0</v>
      </c>
      <c r="DW121" s="120">
        <v>0</v>
      </c>
      <c r="DX121" s="120">
        <v>0</v>
      </c>
      <c r="DY121" s="120">
        <v>0</v>
      </c>
      <c r="DZ121" s="120">
        <v>0</v>
      </c>
      <c r="EA121" s="120">
        <v>0</v>
      </c>
      <c r="EB121" s="120">
        <v>0</v>
      </c>
      <c r="EC121" s="120">
        <v>0</v>
      </c>
      <c r="ED121" s="120">
        <f t="shared" si="1"/>
        <v>1120.4355902903158</v>
      </c>
    </row>
    <row r="122" spans="1:134">
      <c r="A122" s="120">
        <v>121</v>
      </c>
      <c r="B122" s="120">
        <v>0</v>
      </c>
      <c r="C122" s="120">
        <v>0</v>
      </c>
      <c r="D122" s="120">
        <v>0</v>
      </c>
      <c r="E122" s="120">
        <v>0</v>
      </c>
      <c r="F122" s="120">
        <v>0</v>
      </c>
      <c r="G122" s="120">
        <v>0</v>
      </c>
      <c r="H122" s="120">
        <v>0</v>
      </c>
      <c r="I122" s="120">
        <v>0</v>
      </c>
      <c r="J122" s="120">
        <v>0</v>
      </c>
      <c r="K122" s="120">
        <v>0</v>
      </c>
      <c r="L122" s="120">
        <v>0</v>
      </c>
      <c r="M122" s="120">
        <v>0</v>
      </c>
      <c r="N122" s="120">
        <v>0</v>
      </c>
      <c r="O122" s="120">
        <v>0</v>
      </c>
      <c r="P122" s="120">
        <v>0</v>
      </c>
      <c r="Q122" s="120">
        <v>0</v>
      </c>
      <c r="R122" s="120">
        <v>0</v>
      </c>
      <c r="S122" s="120">
        <v>0</v>
      </c>
      <c r="T122" s="120">
        <v>0</v>
      </c>
      <c r="U122" s="120">
        <v>0</v>
      </c>
      <c r="V122" s="120">
        <v>0</v>
      </c>
      <c r="W122" s="120">
        <v>0</v>
      </c>
      <c r="X122" s="120">
        <v>0</v>
      </c>
      <c r="Y122" s="120">
        <v>0</v>
      </c>
      <c r="Z122" s="120">
        <v>0</v>
      </c>
      <c r="AA122" s="120">
        <v>0</v>
      </c>
      <c r="AB122" s="120">
        <v>0</v>
      </c>
      <c r="AC122" s="120">
        <v>0</v>
      </c>
      <c r="AD122" s="120">
        <v>0</v>
      </c>
      <c r="AE122" s="120">
        <v>0</v>
      </c>
      <c r="AF122" s="120">
        <v>0</v>
      </c>
      <c r="AG122" s="120">
        <v>0</v>
      </c>
      <c r="AH122" s="120">
        <v>0</v>
      </c>
      <c r="AI122" s="120">
        <v>0</v>
      </c>
      <c r="AJ122" s="120">
        <v>0</v>
      </c>
      <c r="AK122" s="120">
        <v>0</v>
      </c>
      <c r="AL122" s="120">
        <v>0</v>
      </c>
      <c r="AM122" s="120">
        <v>40349</v>
      </c>
      <c r="AN122" s="120">
        <v>0</v>
      </c>
      <c r="AO122" s="120">
        <v>0</v>
      </c>
      <c r="AP122" s="120">
        <v>0</v>
      </c>
      <c r="AQ122" s="120">
        <v>0</v>
      </c>
      <c r="AR122" s="120">
        <v>0</v>
      </c>
      <c r="AS122" s="120">
        <v>0</v>
      </c>
      <c r="AT122" s="120">
        <v>0</v>
      </c>
      <c r="AU122" s="120">
        <v>0</v>
      </c>
      <c r="AV122" s="120">
        <v>0</v>
      </c>
      <c r="AW122" s="120">
        <v>0</v>
      </c>
      <c r="AX122" s="120">
        <v>0</v>
      </c>
      <c r="AY122" s="120">
        <v>0</v>
      </c>
      <c r="AZ122" s="120">
        <v>0</v>
      </c>
      <c r="BA122" s="120">
        <v>0</v>
      </c>
      <c r="BB122" s="120">
        <v>0</v>
      </c>
      <c r="BC122" s="120">
        <v>0</v>
      </c>
      <c r="BD122" s="120">
        <v>0</v>
      </c>
      <c r="BE122" s="120">
        <v>0</v>
      </c>
      <c r="BF122" s="120">
        <v>0</v>
      </c>
      <c r="BG122" s="120">
        <v>0</v>
      </c>
      <c r="BH122" s="120">
        <v>0</v>
      </c>
      <c r="BI122" s="120">
        <v>0</v>
      </c>
      <c r="BJ122" s="120">
        <v>0</v>
      </c>
      <c r="BK122" s="120">
        <v>0</v>
      </c>
      <c r="BL122" s="120">
        <v>0</v>
      </c>
      <c r="BM122" s="120">
        <v>0</v>
      </c>
      <c r="BN122" s="120">
        <v>0</v>
      </c>
      <c r="BO122" s="120">
        <v>0</v>
      </c>
      <c r="BP122" s="120">
        <v>0</v>
      </c>
      <c r="BQ122" s="120">
        <v>0</v>
      </c>
      <c r="BR122" s="120">
        <v>0</v>
      </c>
      <c r="BS122" s="120">
        <v>0</v>
      </c>
      <c r="BT122" s="120">
        <v>0</v>
      </c>
      <c r="BU122" s="120">
        <v>0</v>
      </c>
      <c r="BV122" s="120">
        <v>0</v>
      </c>
      <c r="BW122" s="120">
        <v>0</v>
      </c>
      <c r="BX122" s="120">
        <v>0</v>
      </c>
      <c r="BY122" s="120">
        <v>0</v>
      </c>
      <c r="BZ122" s="120">
        <v>0</v>
      </c>
      <c r="CA122" s="120">
        <v>0</v>
      </c>
      <c r="CB122" s="120">
        <v>0</v>
      </c>
      <c r="CC122" s="120">
        <v>0</v>
      </c>
      <c r="CD122" s="120">
        <v>0</v>
      </c>
      <c r="CE122" s="120">
        <v>0</v>
      </c>
      <c r="CF122" s="120">
        <v>0</v>
      </c>
      <c r="CG122" s="120">
        <v>0</v>
      </c>
      <c r="CH122" s="120">
        <v>0</v>
      </c>
      <c r="CI122" s="120">
        <v>0</v>
      </c>
      <c r="CJ122" s="120">
        <v>0</v>
      </c>
      <c r="CK122" s="120">
        <v>0</v>
      </c>
      <c r="CL122" s="120">
        <v>0</v>
      </c>
      <c r="CM122" s="120">
        <v>0</v>
      </c>
      <c r="CN122" s="120">
        <v>0</v>
      </c>
      <c r="CO122" s="120">
        <v>0</v>
      </c>
      <c r="CP122" s="120">
        <v>0</v>
      </c>
      <c r="CQ122" s="120">
        <v>0</v>
      </c>
      <c r="CR122" s="120">
        <v>0</v>
      </c>
      <c r="CS122" s="120">
        <v>0</v>
      </c>
      <c r="CT122" s="120">
        <v>0</v>
      </c>
      <c r="CU122" s="120">
        <v>0</v>
      </c>
      <c r="CV122" s="120">
        <v>0</v>
      </c>
      <c r="CW122" s="120">
        <v>0</v>
      </c>
      <c r="CX122" s="120">
        <v>0</v>
      </c>
      <c r="CY122" s="120">
        <v>0</v>
      </c>
      <c r="CZ122" s="120">
        <v>0</v>
      </c>
      <c r="DA122" s="120">
        <v>0</v>
      </c>
      <c r="DB122" s="120">
        <v>0</v>
      </c>
      <c r="DC122" s="120">
        <v>0</v>
      </c>
      <c r="DD122" s="120">
        <v>0</v>
      </c>
      <c r="DE122" s="120">
        <v>0</v>
      </c>
      <c r="DF122" s="120">
        <v>0</v>
      </c>
      <c r="DG122" s="120">
        <v>0</v>
      </c>
      <c r="DH122" s="120">
        <v>0</v>
      </c>
      <c r="DI122" s="120">
        <v>0</v>
      </c>
      <c r="DJ122" s="120">
        <v>0</v>
      </c>
      <c r="DK122" s="120">
        <v>0</v>
      </c>
      <c r="DL122" s="120">
        <v>0</v>
      </c>
      <c r="DM122" s="120">
        <v>0</v>
      </c>
      <c r="DN122" s="120">
        <v>0</v>
      </c>
      <c r="DO122" s="120">
        <v>0</v>
      </c>
      <c r="DP122" s="120">
        <v>522.44979297622831</v>
      </c>
      <c r="DQ122" s="120">
        <v>0</v>
      </c>
      <c r="DR122" s="120">
        <v>-446.3972102114343</v>
      </c>
      <c r="DS122" s="120">
        <v>0</v>
      </c>
      <c r="DT122" s="120">
        <v>0</v>
      </c>
      <c r="DU122" s="120">
        <v>0</v>
      </c>
      <c r="DV122" s="120">
        <v>0</v>
      </c>
      <c r="DW122" s="120">
        <v>0</v>
      </c>
      <c r="DX122" s="120">
        <v>0</v>
      </c>
      <c r="DY122" s="120">
        <v>0</v>
      </c>
      <c r="DZ122" s="120">
        <v>0</v>
      </c>
      <c r="EA122" s="120">
        <v>0</v>
      </c>
      <c r="EB122" s="120">
        <v>0</v>
      </c>
      <c r="EC122" s="120">
        <v>0</v>
      </c>
      <c r="ED122" s="120">
        <f t="shared" si="1"/>
        <v>40425.052582764794</v>
      </c>
    </row>
    <row r="123" spans="1:134">
      <c r="A123" s="120">
        <v>122</v>
      </c>
      <c r="B123" s="120">
        <v>0</v>
      </c>
      <c r="C123" s="120">
        <v>0</v>
      </c>
      <c r="D123" s="120">
        <v>0</v>
      </c>
      <c r="E123" s="120">
        <v>0</v>
      </c>
      <c r="F123" s="120">
        <v>0</v>
      </c>
      <c r="G123" s="120">
        <v>0</v>
      </c>
      <c r="H123" s="120">
        <v>0</v>
      </c>
      <c r="I123" s="120">
        <v>0</v>
      </c>
      <c r="J123" s="120">
        <v>0</v>
      </c>
      <c r="K123" s="120">
        <v>0</v>
      </c>
      <c r="L123" s="120">
        <v>0</v>
      </c>
      <c r="M123" s="120">
        <v>0</v>
      </c>
      <c r="N123" s="120">
        <v>0</v>
      </c>
      <c r="O123" s="120">
        <v>0</v>
      </c>
      <c r="P123" s="120">
        <v>0</v>
      </c>
      <c r="Q123" s="120">
        <v>0</v>
      </c>
      <c r="R123" s="120">
        <v>0</v>
      </c>
      <c r="S123" s="120">
        <v>0</v>
      </c>
      <c r="T123" s="120">
        <v>0</v>
      </c>
      <c r="U123" s="120">
        <v>0</v>
      </c>
      <c r="V123" s="120">
        <v>0</v>
      </c>
      <c r="W123" s="120">
        <v>0</v>
      </c>
      <c r="X123" s="120">
        <v>0</v>
      </c>
      <c r="Y123" s="120">
        <v>0</v>
      </c>
      <c r="Z123" s="120">
        <v>0</v>
      </c>
      <c r="AA123" s="120">
        <v>0</v>
      </c>
      <c r="AB123" s="120">
        <v>0</v>
      </c>
      <c r="AC123" s="120">
        <v>0</v>
      </c>
      <c r="AD123" s="120">
        <v>0</v>
      </c>
      <c r="AE123" s="120">
        <v>0</v>
      </c>
      <c r="AF123" s="120">
        <v>0</v>
      </c>
      <c r="AG123" s="120">
        <v>0</v>
      </c>
      <c r="AH123" s="120">
        <v>0</v>
      </c>
      <c r="AI123" s="120">
        <v>0</v>
      </c>
      <c r="AJ123" s="120">
        <v>0</v>
      </c>
      <c r="AK123" s="120">
        <v>0</v>
      </c>
      <c r="AL123" s="120">
        <v>0</v>
      </c>
      <c r="AM123" s="120">
        <v>0</v>
      </c>
      <c r="AN123" s="120">
        <v>0</v>
      </c>
      <c r="AO123" s="120">
        <v>0</v>
      </c>
      <c r="AP123" s="120">
        <v>0</v>
      </c>
      <c r="AQ123" s="120">
        <v>0</v>
      </c>
      <c r="AR123" s="120">
        <v>0</v>
      </c>
      <c r="AS123" s="120">
        <v>0</v>
      </c>
      <c r="AT123" s="120">
        <v>0</v>
      </c>
      <c r="AU123" s="120">
        <v>0</v>
      </c>
      <c r="AV123" s="120">
        <v>0</v>
      </c>
      <c r="AW123" s="120">
        <v>0</v>
      </c>
      <c r="AX123" s="120">
        <v>0</v>
      </c>
      <c r="AY123" s="120">
        <v>0</v>
      </c>
      <c r="AZ123" s="120">
        <v>7724.9115937685719</v>
      </c>
      <c r="BA123" s="120">
        <v>0</v>
      </c>
      <c r="BB123" s="120">
        <v>0</v>
      </c>
      <c r="BC123" s="120">
        <v>0</v>
      </c>
      <c r="BD123" s="120">
        <v>0</v>
      </c>
      <c r="BE123" s="120">
        <v>0</v>
      </c>
      <c r="BF123" s="120">
        <v>0</v>
      </c>
      <c r="BG123" s="120">
        <v>0</v>
      </c>
      <c r="BH123" s="120">
        <v>0</v>
      </c>
      <c r="BI123" s="120">
        <v>0</v>
      </c>
      <c r="BJ123" s="120">
        <v>0</v>
      </c>
      <c r="BK123" s="120">
        <v>0</v>
      </c>
      <c r="BL123" s="120">
        <v>0</v>
      </c>
      <c r="BM123" s="120">
        <v>0</v>
      </c>
      <c r="BN123" s="120">
        <v>0</v>
      </c>
      <c r="BO123" s="120">
        <v>0</v>
      </c>
      <c r="BP123" s="120">
        <v>0</v>
      </c>
      <c r="BQ123" s="120">
        <v>40033</v>
      </c>
      <c r="BR123" s="120">
        <v>0</v>
      </c>
      <c r="BS123" s="120">
        <v>0</v>
      </c>
      <c r="BT123" s="120">
        <v>0</v>
      </c>
      <c r="BU123" s="120">
        <v>0</v>
      </c>
      <c r="BV123" s="120">
        <v>0</v>
      </c>
      <c r="BW123" s="120">
        <v>0</v>
      </c>
      <c r="BX123" s="120">
        <v>0</v>
      </c>
      <c r="BY123" s="120">
        <v>19726.141554006961</v>
      </c>
      <c r="BZ123" s="120">
        <v>0</v>
      </c>
      <c r="CA123" s="120">
        <v>0</v>
      </c>
      <c r="CB123" s="120">
        <v>0</v>
      </c>
      <c r="CC123" s="120">
        <v>0</v>
      </c>
      <c r="CD123" s="120">
        <v>0</v>
      </c>
      <c r="CE123" s="120">
        <v>0</v>
      </c>
      <c r="CF123" s="120">
        <v>0</v>
      </c>
      <c r="CG123" s="120">
        <v>0</v>
      </c>
      <c r="CH123" s="120">
        <v>0</v>
      </c>
      <c r="CI123" s="120">
        <v>0</v>
      </c>
      <c r="CJ123" s="120">
        <v>0</v>
      </c>
      <c r="CK123" s="120">
        <v>0</v>
      </c>
      <c r="CL123" s="120">
        <v>0</v>
      </c>
      <c r="CM123" s="120">
        <v>0</v>
      </c>
      <c r="CN123" s="120">
        <v>0</v>
      </c>
      <c r="CO123" s="120">
        <v>0</v>
      </c>
      <c r="CP123" s="120">
        <v>0</v>
      </c>
      <c r="CQ123" s="120">
        <v>0</v>
      </c>
      <c r="CR123" s="120">
        <v>0</v>
      </c>
      <c r="CS123" s="120">
        <v>0</v>
      </c>
      <c r="CT123" s="120">
        <v>0</v>
      </c>
      <c r="CU123" s="120">
        <v>0</v>
      </c>
      <c r="CV123" s="120">
        <v>0</v>
      </c>
      <c r="CW123" s="120">
        <v>0</v>
      </c>
      <c r="CX123" s="120">
        <v>0</v>
      </c>
      <c r="CY123" s="120">
        <v>0</v>
      </c>
      <c r="CZ123" s="120">
        <v>0</v>
      </c>
      <c r="DA123" s="120">
        <v>0</v>
      </c>
      <c r="DB123" s="120">
        <v>0</v>
      </c>
      <c r="DC123" s="120">
        <v>0</v>
      </c>
      <c r="DD123" s="120">
        <v>0</v>
      </c>
      <c r="DE123" s="120">
        <v>0</v>
      </c>
      <c r="DF123" s="120">
        <v>0</v>
      </c>
      <c r="DG123" s="120">
        <v>0</v>
      </c>
      <c r="DH123" s="120">
        <v>0</v>
      </c>
      <c r="DI123" s="120">
        <v>0</v>
      </c>
      <c r="DJ123" s="120">
        <v>0</v>
      </c>
      <c r="DK123" s="120">
        <v>0</v>
      </c>
      <c r="DL123" s="120">
        <v>0</v>
      </c>
      <c r="DM123" s="120">
        <v>0</v>
      </c>
      <c r="DN123" s="120">
        <v>0</v>
      </c>
      <c r="DO123" s="120">
        <v>0</v>
      </c>
      <c r="DP123" s="120">
        <v>0</v>
      </c>
      <c r="DQ123" s="120">
        <v>0</v>
      </c>
      <c r="DR123" s="120">
        <v>0</v>
      </c>
      <c r="DS123" s="120">
        <v>0</v>
      </c>
      <c r="DT123" s="120">
        <v>0</v>
      </c>
      <c r="DU123" s="120">
        <v>0</v>
      </c>
      <c r="DV123" s="120">
        <v>0</v>
      </c>
      <c r="DW123" s="120">
        <v>0</v>
      </c>
      <c r="DX123" s="120">
        <v>0</v>
      </c>
      <c r="DY123" s="120">
        <v>0</v>
      </c>
      <c r="DZ123" s="120">
        <v>0</v>
      </c>
      <c r="EA123" s="120">
        <v>0</v>
      </c>
      <c r="EB123" s="120">
        <v>0</v>
      </c>
      <c r="EC123" s="120">
        <v>0</v>
      </c>
      <c r="ED123" s="120">
        <f t="shared" si="1"/>
        <v>67484.053147775528</v>
      </c>
    </row>
    <row r="124" spans="1:134">
      <c r="A124" s="120">
        <v>123</v>
      </c>
      <c r="B124" s="120">
        <v>0</v>
      </c>
      <c r="C124" s="120">
        <v>0</v>
      </c>
      <c r="D124" s="120">
        <v>0</v>
      </c>
      <c r="E124" s="120">
        <v>0</v>
      </c>
      <c r="F124" s="120">
        <v>0</v>
      </c>
      <c r="G124" s="120">
        <v>0</v>
      </c>
      <c r="H124" s="120">
        <v>0</v>
      </c>
      <c r="I124" s="120">
        <v>0</v>
      </c>
      <c r="J124" s="120">
        <v>0</v>
      </c>
      <c r="K124" s="120">
        <v>0</v>
      </c>
      <c r="L124" s="120">
        <v>0</v>
      </c>
      <c r="M124" s="120">
        <v>0</v>
      </c>
      <c r="N124" s="120">
        <v>0</v>
      </c>
      <c r="O124" s="120">
        <v>0</v>
      </c>
      <c r="P124" s="120">
        <v>0</v>
      </c>
      <c r="Q124" s="120">
        <v>0</v>
      </c>
      <c r="R124" s="120">
        <v>0</v>
      </c>
      <c r="S124" s="120">
        <v>0</v>
      </c>
      <c r="T124" s="120">
        <v>0</v>
      </c>
      <c r="U124" s="120">
        <v>0</v>
      </c>
      <c r="V124" s="120">
        <v>0</v>
      </c>
      <c r="W124" s="120">
        <v>0</v>
      </c>
      <c r="X124" s="120">
        <v>0</v>
      </c>
      <c r="Y124" s="120">
        <v>0</v>
      </c>
      <c r="Z124" s="120">
        <v>0</v>
      </c>
      <c r="AA124" s="120">
        <v>0</v>
      </c>
      <c r="AB124" s="120">
        <v>0</v>
      </c>
      <c r="AC124" s="120">
        <v>0</v>
      </c>
      <c r="AD124" s="120">
        <v>0</v>
      </c>
      <c r="AE124" s="120">
        <v>0</v>
      </c>
      <c r="AF124" s="120">
        <v>0</v>
      </c>
      <c r="AG124" s="120">
        <v>0</v>
      </c>
      <c r="AH124" s="120">
        <v>0</v>
      </c>
      <c r="AI124" s="120">
        <v>0</v>
      </c>
      <c r="AJ124" s="120">
        <v>0</v>
      </c>
      <c r="AK124" s="120">
        <v>0</v>
      </c>
      <c r="AL124" s="120">
        <v>0</v>
      </c>
      <c r="AM124" s="120">
        <v>0</v>
      </c>
      <c r="AN124" s="120">
        <v>0</v>
      </c>
      <c r="AO124" s="120">
        <v>0</v>
      </c>
      <c r="AP124" s="120">
        <v>0</v>
      </c>
      <c r="AQ124" s="120">
        <v>0</v>
      </c>
      <c r="AR124" s="120">
        <v>0</v>
      </c>
      <c r="AS124" s="120">
        <v>0</v>
      </c>
      <c r="AT124" s="120">
        <v>0</v>
      </c>
      <c r="AU124" s="120">
        <v>117.4689970410281</v>
      </c>
      <c r="AV124" s="120">
        <v>0</v>
      </c>
      <c r="AW124" s="120">
        <v>0</v>
      </c>
      <c r="AX124" s="120">
        <v>0</v>
      </c>
      <c r="AY124" s="120">
        <v>0</v>
      </c>
      <c r="AZ124" s="120">
        <v>1299.2797440600129</v>
      </c>
      <c r="BA124" s="120">
        <v>0</v>
      </c>
      <c r="BB124" s="120">
        <v>0</v>
      </c>
      <c r="BC124" s="120">
        <v>0</v>
      </c>
      <c r="BD124" s="120">
        <v>0</v>
      </c>
      <c r="BE124" s="120">
        <v>0</v>
      </c>
      <c r="BF124" s="120">
        <v>0</v>
      </c>
      <c r="BG124" s="120">
        <v>0</v>
      </c>
      <c r="BH124" s="120">
        <v>0</v>
      </c>
      <c r="BI124" s="120">
        <v>0</v>
      </c>
      <c r="BJ124" s="120">
        <v>0</v>
      </c>
      <c r="BK124" s="120">
        <v>0</v>
      </c>
      <c r="BL124" s="120">
        <v>0</v>
      </c>
      <c r="BM124" s="120">
        <v>0</v>
      </c>
      <c r="BN124" s="120">
        <v>0</v>
      </c>
      <c r="BO124" s="120">
        <v>0</v>
      </c>
      <c r="BP124" s="120">
        <v>202737</v>
      </c>
      <c r="BQ124" s="120">
        <v>0</v>
      </c>
      <c r="BR124" s="120">
        <v>679.76704200528741</v>
      </c>
      <c r="BS124" s="120">
        <v>0</v>
      </c>
      <c r="BT124" s="120">
        <v>0</v>
      </c>
      <c r="BU124" s="120">
        <v>0</v>
      </c>
      <c r="BV124" s="120">
        <v>0</v>
      </c>
      <c r="BW124" s="120">
        <v>0</v>
      </c>
      <c r="BX124" s="120">
        <v>0</v>
      </c>
      <c r="BY124" s="120">
        <v>79764.000995539609</v>
      </c>
      <c r="BZ124" s="120">
        <v>0</v>
      </c>
      <c r="CA124" s="120">
        <v>0</v>
      </c>
      <c r="CB124" s="120">
        <v>0</v>
      </c>
      <c r="CC124" s="120">
        <v>0</v>
      </c>
      <c r="CD124" s="120">
        <v>0</v>
      </c>
      <c r="CE124" s="120">
        <v>0</v>
      </c>
      <c r="CF124" s="120">
        <v>0</v>
      </c>
      <c r="CG124" s="120">
        <v>0</v>
      </c>
      <c r="CH124" s="120">
        <v>0</v>
      </c>
      <c r="CI124" s="120">
        <v>0</v>
      </c>
      <c r="CJ124" s="120">
        <v>0</v>
      </c>
      <c r="CK124" s="120">
        <v>0</v>
      </c>
      <c r="CL124" s="120">
        <v>0</v>
      </c>
      <c r="CM124" s="120">
        <v>0</v>
      </c>
      <c r="CN124" s="120">
        <v>0</v>
      </c>
      <c r="CO124" s="120">
        <v>0</v>
      </c>
      <c r="CP124" s="120">
        <v>0</v>
      </c>
      <c r="CQ124" s="120">
        <v>0</v>
      </c>
      <c r="CR124" s="120">
        <v>0</v>
      </c>
      <c r="CS124" s="120">
        <v>0</v>
      </c>
      <c r="CT124" s="120">
        <v>0</v>
      </c>
      <c r="CU124" s="120">
        <v>0</v>
      </c>
      <c r="CV124" s="120">
        <v>0</v>
      </c>
      <c r="CW124" s="120">
        <v>0</v>
      </c>
      <c r="CX124" s="120">
        <v>0</v>
      </c>
      <c r="CY124" s="120">
        <v>0</v>
      </c>
      <c r="CZ124" s="120">
        <v>0</v>
      </c>
      <c r="DA124" s="120">
        <v>0</v>
      </c>
      <c r="DB124" s="120">
        <v>0</v>
      </c>
      <c r="DC124" s="120">
        <v>0</v>
      </c>
      <c r="DD124" s="120">
        <v>0</v>
      </c>
      <c r="DE124" s="120">
        <v>0</v>
      </c>
      <c r="DF124" s="120">
        <v>0</v>
      </c>
      <c r="DG124" s="120">
        <v>0</v>
      </c>
      <c r="DH124" s="120">
        <v>0</v>
      </c>
      <c r="DI124" s="120">
        <v>0</v>
      </c>
      <c r="DJ124" s="120">
        <v>0</v>
      </c>
      <c r="DK124" s="120">
        <v>0</v>
      </c>
      <c r="DL124" s="120">
        <v>0</v>
      </c>
      <c r="DM124" s="120">
        <v>0</v>
      </c>
      <c r="DN124" s="120">
        <v>0</v>
      </c>
      <c r="DO124" s="120">
        <v>0</v>
      </c>
      <c r="DP124" s="120">
        <v>4048.7778907938241</v>
      </c>
      <c r="DQ124" s="120">
        <v>0</v>
      </c>
      <c r="DR124" s="120">
        <v>-1307.3824168899671</v>
      </c>
      <c r="DS124" s="120">
        <v>0</v>
      </c>
      <c r="DT124" s="120">
        <v>0</v>
      </c>
      <c r="DU124" s="120">
        <v>0</v>
      </c>
      <c r="DV124" s="120">
        <v>0</v>
      </c>
      <c r="DW124" s="120">
        <v>0</v>
      </c>
      <c r="DX124" s="120">
        <v>0</v>
      </c>
      <c r="DY124" s="120">
        <v>0</v>
      </c>
      <c r="DZ124" s="120">
        <v>0</v>
      </c>
      <c r="EA124" s="120">
        <v>0</v>
      </c>
      <c r="EB124" s="120">
        <v>0</v>
      </c>
      <c r="EC124" s="120">
        <v>0</v>
      </c>
      <c r="ED124" s="120">
        <f t="shared" si="1"/>
        <v>287338.91225254978</v>
      </c>
    </row>
    <row r="125" spans="1:134">
      <c r="A125" s="120">
        <v>124</v>
      </c>
      <c r="B125" s="120">
        <v>0</v>
      </c>
      <c r="C125" s="120">
        <v>0</v>
      </c>
      <c r="D125" s="120">
        <v>0</v>
      </c>
      <c r="E125" s="120">
        <v>0</v>
      </c>
      <c r="F125" s="120">
        <v>0</v>
      </c>
      <c r="G125" s="120">
        <v>0</v>
      </c>
      <c r="H125" s="120">
        <v>0</v>
      </c>
      <c r="I125" s="120">
        <v>0</v>
      </c>
      <c r="J125" s="120">
        <v>0</v>
      </c>
      <c r="K125" s="120">
        <v>0</v>
      </c>
      <c r="L125" s="120">
        <v>0</v>
      </c>
      <c r="M125" s="120">
        <v>0</v>
      </c>
      <c r="N125" s="120">
        <v>0</v>
      </c>
      <c r="O125" s="120">
        <v>0</v>
      </c>
      <c r="P125" s="120">
        <v>0</v>
      </c>
      <c r="Q125" s="120">
        <v>0</v>
      </c>
      <c r="R125" s="120">
        <v>0</v>
      </c>
      <c r="S125" s="120">
        <v>0</v>
      </c>
      <c r="T125" s="120">
        <v>0</v>
      </c>
      <c r="U125" s="120">
        <v>0</v>
      </c>
      <c r="V125" s="120">
        <v>0</v>
      </c>
      <c r="W125" s="120">
        <v>0</v>
      </c>
      <c r="X125" s="120">
        <v>0</v>
      </c>
      <c r="Y125" s="120">
        <v>0</v>
      </c>
      <c r="Z125" s="120">
        <v>0</v>
      </c>
      <c r="AA125" s="120">
        <v>0</v>
      </c>
      <c r="AB125" s="120">
        <v>0</v>
      </c>
      <c r="AC125" s="120">
        <v>0</v>
      </c>
      <c r="AD125" s="120">
        <v>0</v>
      </c>
      <c r="AE125" s="120">
        <v>0</v>
      </c>
      <c r="AF125" s="120">
        <v>0</v>
      </c>
      <c r="AG125" s="120">
        <v>0</v>
      </c>
      <c r="AH125" s="120">
        <v>0</v>
      </c>
      <c r="AI125" s="120">
        <v>0</v>
      </c>
      <c r="AJ125" s="120">
        <v>0</v>
      </c>
      <c r="AK125" s="120">
        <v>0</v>
      </c>
      <c r="AL125" s="120">
        <v>0</v>
      </c>
      <c r="AM125" s="120">
        <v>0</v>
      </c>
      <c r="AN125" s="120">
        <v>0</v>
      </c>
      <c r="AO125" s="120">
        <v>0</v>
      </c>
      <c r="AP125" s="120">
        <v>0</v>
      </c>
      <c r="AQ125" s="120">
        <v>0</v>
      </c>
      <c r="AR125" s="120">
        <v>0</v>
      </c>
      <c r="AS125" s="120">
        <v>0</v>
      </c>
      <c r="AT125" s="120">
        <v>0</v>
      </c>
      <c r="AU125" s="120">
        <v>0</v>
      </c>
      <c r="AV125" s="120">
        <v>0</v>
      </c>
      <c r="AW125" s="120">
        <v>0</v>
      </c>
      <c r="AX125" s="120">
        <v>0</v>
      </c>
      <c r="AY125" s="120">
        <v>0</v>
      </c>
      <c r="AZ125" s="120">
        <v>17959.21641871188</v>
      </c>
      <c r="BA125" s="120">
        <v>0</v>
      </c>
      <c r="BB125" s="120">
        <v>0</v>
      </c>
      <c r="BC125" s="120">
        <v>0</v>
      </c>
      <c r="BD125" s="120">
        <v>0</v>
      </c>
      <c r="BE125" s="120">
        <v>0</v>
      </c>
      <c r="BF125" s="120">
        <v>0</v>
      </c>
      <c r="BG125" s="120">
        <v>0</v>
      </c>
      <c r="BH125" s="120">
        <v>0</v>
      </c>
      <c r="BI125" s="120">
        <v>0</v>
      </c>
      <c r="BJ125" s="120">
        <v>0</v>
      </c>
      <c r="BK125" s="120">
        <v>0</v>
      </c>
      <c r="BL125" s="120">
        <v>0</v>
      </c>
      <c r="BM125" s="120">
        <v>0</v>
      </c>
      <c r="BN125" s="120">
        <v>0</v>
      </c>
      <c r="BO125" s="120">
        <v>0</v>
      </c>
      <c r="BP125" s="120">
        <v>0</v>
      </c>
      <c r="BQ125" s="120">
        <v>0</v>
      </c>
      <c r="BR125" s="120">
        <v>74131.232957994725</v>
      </c>
      <c r="BS125" s="120">
        <v>0</v>
      </c>
      <c r="BT125" s="120">
        <v>0</v>
      </c>
      <c r="BU125" s="120">
        <v>0</v>
      </c>
      <c r="BV125" s="120">
        <v>0</v>
      </c>
      <c r="BW125" s="120">
        <v>0</v>
      </c>
      <c r="BX125" s="120">
        <v>0</v>
      </c>
      <c r="BY125" s="120">
        <v>7275.6085268832176</v>
      </c>
      <c r="BZ125" s="120">
        <v>0</v>
      </c>
      <c r="CA125" s="120">
        <v>0</v>
      </c>
      <c r="CB125" s="120">
        <v>0</v>
      </c>
      <c r="CC125" s="120">
        <v>0</v>
      </c>
      <c r="CD125" s="120">
        <v>0</v>
      </c>
      <c r="CE125" s="120">
        <v>0</v>
      </c>
      <c r="CF125" s="120">
        <v>0</v>
      </c>
      <c r="CG125" s="120">
        <v>0</v>
      </c>
      <c r="CH125" s="120">
        <v>0</v>
      </c>
      <c r="CI125" s="120">
        <v>0</v>
      </c>
      <c r="CJ125" s="120">
        <v>0</v>
      </c>
      <c r="CK125" s="120">
        <v>0</v>
      </c>
      <c r="CL125" s="120">
        <v>0</v>
      </c>
      <c r="CM125" s="120">
        <v>0</v>
      </c>
      <c r="CN125" s="120">
        <v>0</v>
      </c>
      <c r="CO125" s="120">
        <v>0</v>
      </c>
      <c r="CP125" s="120">
        <v>0</v>
      </c>
      <c r="CQ125" s="120">
        <v>0</v>
      </c>
      <c r="CR125" s="120">
        <v>0</v>
      </c>
      <c r="CS125" s="120">
        <v>0</v>
      </c>
      <c r="CT125" s="120">
        <v>0</v>
      </c>
      <c r="CU125" s="120">
        <v>0</v>
      </c>
      <c r="CV125" s="120">
        <v>0</v>
      </c>
      <c r="CW125" s="120">
        <v>0</v>
      </c>
      <c r="CX125" s="120">
        <v>0</v>
      </c>
      <c r="CY125" s="120">
        <v>0</v>
      </c>
      <c r="CZ125" s="120">
        <v>0</v>
      </c>
      <c r="DA125" s="120">
        <v>0</v>
      </c>
      <c r="DB125" s="120">
        <v>0</v>
      </c>
      <c r="DC125" s="120">
        <v>0</v>
      </c>
      <c r="DD125" s="120">
        <v>0</v>
      </c>
      <c r="DE125" s="120">
        <v>0</v>
      </c>
      <c r="DF125" s="120">
        <v>0</v>
      </c>
      <c r="DG125" s="120">
        <v>0</v>
      </c>
      <c r="DH125" s="120">
        <v>0</v>
      </c>
      <c r="DI125" s="120">
        <v>0</v>
      </c>
      <c r="DJ125" s="120">
        <v>0</v>
      </c>
      <c r="DK125" s="120">
        <v>0</v>
      </c>
      <c r="DL125" s="120">
        <v>0</v>
      </c>
      <c r="DM125" s="120">
        <v>0</v>
      </c>
      <c r="DN125" s="120">
        <v>0</v>
      </c>
      <c r="DO125" s="120">
        <v>0</v>
      </c>
      <c r="DP125" s="120">
        <v>1615.998116932893</v>
      </c>
      <c r="DQ125" s="120">
        <v>0</v>
      </c>
      <c r="DR125" s="120">
        <v>-994.83422973926224</v>
      </c>
      <c r="DS125" s="120">
        <v>0</v>
      </c>
      <c r="DT125" s="120">
        <v>0</v>
      </c>
      <c r="DU125" s="120">
        <v>0</v>
      </c>
      <c r="DV125" s="120">
        <v>0</v>
      </c>
      <c r="DW125" s="120">
        <v>0</v>
      </c>
      <c r="DX125" s="120">
        <v>0</v>
      </c>
      <c r="DY125" s="120">
        <v>0</v>
      </c>
      <c r="DZ125" s="120">
        <v>0</v>
      </c>
      <c r="EA125" s="120">
        <v>0</v>
      </c>
      <c r="EB125" s="120">
        <v>0</v>
      </c>
      <c r="EC125" s="120">
        <v>0</v>
      </c>
      <c r="ED125" s="120">
        <f t="shared" si="1"/>
        <v>99987.221790783457</v>
      </c>
    </row>
    <row r="126" spans="1:134">
      <c r="A126" s="120">
        <v>125</v>
      </c>
      <c r="B126" s="120">
        <v>0</v>
      </c>
      <c r="C126" s="120">
        <v>0</v>
      </c>
      <c r="D126" s="120">
        <v>0</v>
      </c>
      <c r="E126" s="120">
        <v>0</v>
      </c>
      <c r="F126" s="120">
        <v>0</v>
      </c>
      <c r="G126" s="120">
        <v>0</v>
      </c>
      <c r="H126" s="120">
        <v>0</v>
      </c>
      <c r="I126" s="120">
        <v>0</v>
      </c>
      <c r="J126" s="120">
        <v>0</v>
      </c>
      <c r="K126" s="120">
        <v>0</v>
      </c>
      <c r="L126" s="120">
        <v>0</v>
      </c>
      <c r="M126" s="120">
        <v>0</v>
      </c>
      <c r="N126" s="120">
        <v>0</v>
      </c>
      <c r="O126" s="120">
        <v>0</v>
      </c>
      <c r="P126" s="120">
        <v>0</v>
      </c>
      <c r="Q126" s="120">
        <v>0</v>
      </c>
      <c r="R126" s="120">
        <v>0</v>
      </c>
      <c r="S126" s="120">
        <v>0</v>
      </c>
      <c r="T126" s="120">
        <v>0</v>
      </c>
      <c r="U126" s="120">
        <v>0</v>
      </c>
      <c r="V126" s="120">
        <v>0</v>
      </c>
      <c r="W126" s="120">
        <v>0</v>
      </c>
      <c r="X126" s="120">
        <v>0</v>
      </c>
      <c r="Y126" s="120">
        <v>0</v>
      </c>
      <c r="Z126" s="120">
        <v>0</v>
      </c>
      <c r="AA126" s="120">
        <v>0</v>
      </c>
      <c r="AB126" s="120">
        <v>0</v>
      </c>
      <c r="AC126" s="120">
        <v>0</v>
      </c>
      <c r="AD126" s="120">
        <v>0</v>
      </c>
      <c r="AE126" s="120">
        <v>0</v>
      </c>
      <c r="AF126" s="120">
        <v>0</v>
      </c>
      <c r="AG126" s="120">
        <v>0</v>
      </c>
      <c r="AH126" s="120">
        <v>0</v>
      </c>
      <c r="AI126" s="120">
        <v>0</v>
      </c>
      <c r="AJ126" s="120">
        <v>0</v>
      </c>
      <c r="AK126" s="120">
        <v>0</v>
      </c>
      <c r="AL126" s="120">
        <v>0</v>
      </c>
      <c r="AM126" s="120">
        <v>0</v>
      </c>
      <c r="AN126" s="120">
        <v>0</v>
      </c>
      <c r="AO126" s="120">
        <v>0</v>
      </c>
      <c r="AP126" s="120">
        <v>634254.15377333842</v>
      </c>
      <c r="AQ126" s="120">
        <v>0</v>
      </c>
      <c r="AR126" s="120">
        <v>0</v>
      </c>
      <c r="AS126" s="120">
        <v>0</v>
      </c>
      <c r="AT126" s="120">
        <v>0</v>
      </c>
      <c r="AU126" s="120">
        <v>0</v>
      </c>
      <c r="AV126" s="120">
        <v>0</v>
      </c>
      <c r="AW126" s="120">
        <v>0</v>
      </c>
      <c r="AX126" s="120">
        <v>0</v>
      </c>
      <c r="AY126" s="120">
        <v>0</v>
      </c>
      <c r="AZ126" s="120">
        <v>0</v>
      </c>
      <c r="BA126" s="120">
        <v>0</v>
      </c>
      <c r="BB126" s="120">
        <v>0</v>
      </c>
      <c r="BC126" s="120">
        <v>0</v>
      </c>
      <c r="BD126" s="120">
        <v>0</v>
      </c>
      <c r="BE126" s="120">
        <v>0</v>
      </c>
      <c r="BF126" s="120">
        <v>0</v>
      </c>
      <c r="BG126" s="120">
        <v>0</v>
      </c>
      <c r="BH126" s="120">
        <v>0</v>
      </c>
      <c r="BI126" s="120">
        <v>0</v>
      </c>
      <c r="BJ126" s="120">
        <v>0</v>
      </c>
      <c r="BK126" s="120">
        <v>0</v>
      </c>
      <c r="BL126" s="120">
        <v>0</v>
      </c>
      <c r="BM126" s="120">
        <v>0</v>
      </c>
      <c r="BN126" s="120">
        <v>0</v>
      </c>
      <c r="BO126" s="120">
        <v>0</v>
      </c>
      <c r="BP126" s="120">
        <v>0</v>
      </c>
      <c r="BQ126" s="120">
        <v>0</v>
      </c>
      <c r="BR126" s="120">
        <v>0</v>
      </c>
      <c r="BS126" s="120">
        <v>0</v>
      </c>
      <c r="BT126" s="120">
        <v>0</v>
      </c>
      <c r="BU126" s="120">
        <v>0</v>
      </c>
      <c r="BV126" s="120">
        <v>0</v>
      </c>
      <c r="BW126" s="120">
        <v>0</v>
      </c>
      <c r="BX126" s="120">
        <v>0</v>
      </c>
      <c r="BY126" s="120">
        <v>0</v>
      </c>
      <c r="BZ126" s="120">
        <v>0</v>
      </c>
      <c r="CA126" s="120">
        <v>0</v>
      </c>
      <c r="CB126" s="120">
        <v>0</v>
      </c>
      <c r="CC126" s="120">
        <v>0</v>
      </c>
      <c r="CD126" s="120">
        <v>0</v>
      </c>
      <c r="CE126" s="120">
        <v>0</v>
      </c>
      <c r="CF126" s="120">
        <v>0</v>
      </c>
      <c r="CG126" s="120">
        <v>0</v>
      </c>
      <c r="CH126" s="120">
        <v>0</v>
      </c>
      <c r="CI126" s="120">
        <v>0</v>
      </c>
      <c r="CJ126" s="120">
        <v>0</v>
      </c>
      <c r="CK126" s="120">
        <v>0</v>
      </c>
      <c r="CL126" s="120">
        <v>0</v>
      </c>
      <c r="CM126" s="120">
        <v>0</v>
      </c>
      <c r="CN126" s="120">
        <v>0</v>
      </c>
      <c r="CO126" s="120">
        <v>0</v>
      </c>
      <c r="CP126" s="120">
        <v>0</v>
      </c>
      <c r="CQ126" s="120">
        <v>0</v>
      </c>
      <c r="CR126" s="120">
        <v>0</v>
      </c>
      <c r="CS126" s="120">
        <v>0</v>
      </c>
      <c r="CT126" s="120">
        <v>0</v>
      </c>
      <c r="CU126" s="120">
        <v>0</v>
      </c>
      <c r="CV126" s="120">
        <v>0</v>
      </c>
      <c r="CW126" s="120">
        <v>0</v>
      </c>
      <c r="CX126" s="120">
        <v>0</v>
      </c>
      <c r="CY126" s="120">
        <v>0</v>
      </c>
      <c r="CZ126" s="120">
        <v>0</v>
      </c>
      <c r="DA126" s="120">
        <v>0</v>
      </c>
      <c r="DB126" s="120">
        <v>0</v>
      </c>
      <c r="DC126" s="120">
        <v>0</v>
      </c>
      <c r="DD126" s="120">
        <v>0</v>
      </c>
      <c r="DE126" s="120">
        <v>0</v>
      </c>
      <c r="DF126" s="120">
        <v>0</v>
      </c>
      <c r="DG126" s="120">
        <v>0</v>
      </c>
      <c r="DH126" s="120">
        <v>0</v>
      </c>
      <c r="DI126" s="120">
        <v>0</v>
      </c>
      <c r="DJ126" s="120">
        <v>0</v>
      </c>
      <c r="DK126" s="120">
        <v>0</v>
      </c>
      <c r="DL126" s="120">
        <v>0</v>
      </c>
      <c r="DM126" s="120">
        <v>0</v>
      </c>
      <c r="DN126" s="120">
        <v>0</v>
      </c>
      <c r="DO126" s="120">
        <v>0</v>
      </c>
      <c r="DP126" s="120">
        <v>182.91833414958779</v>
      </c>
      <c r="DQ126" s="120">
        <v>0</v>
      </c>
      <c r="DR126" s="120">
        <v>-55.524776146988721</v>
      </c>
      <c r="DS126" s="120">
        <v>0</v>
      </c>
      <c r="DT126" s="120">
        <v>0</v>
      </c>
      <c r="DU126" s="120">
        <v>0</v>
      </c>
      <c r="DV126" s="120">
        <v>0</v>
      </c>
      <c r="DW126" s="120">
        <v>0</v>
      </c>
      <c r="DX126" s="120">
        <v>0</v>
      </c>
      <c r="DY126" s="120">
        <v>0</v>
      </c>
      <c r="DZ126" s="120">
        <v>0</v>
      </c>
      <c r="EA126" s="120">
        <v>0</v>
      </c>
      <c r="EB126" s="120">
        <v>0</v>
      </c>
      <c r="EC126" s="120">
        <v>0</v>
      </c>
      <c r="ED126" s="120">
        <f t="shared" si="1"/>
        <v>634381.54733134108</v>
      </c>
    </row>
    <row r="127" spans="1:134">
      <c r="A127" s="120">
        <v>126</v>
      </c>
      <c r="B127" s="120">
        <v>0</v>
      </c>
      <c r="C127" s="120">
        <v>0</v>
      </c>
      <c r="D127" s="120">
        <v>0</v>
      </c>
      <c r="E127" s="120">
        <v>0</v>
      </c>
      <c r="F127" s="120">
        <v>0</v>
      </c>
      <c r="G127" s="120">
        <v>0</v>
      </c>
      <c r="H127" s="120">
        <v>0</v>
      </c>
      <c r="I127" s="120">
        <v>0</v>
      </c>
      <c r="J127" s="120">
        <v>0</v>
      </c>
      <c r="K127" s="120">
        <v>0</v>
      </c>
      <c r="L127" s="120">
        <v>0</v>
      </c>
      <c r="M127" s="120">
        <v>0</v>
      </c>
      <c r="N127" s="120">
        <v>0</v>
      </c>
      <c r="O127" s="120">
        <v>0</v>
      </c>
      <c r="P127" s="120">
        <v>0</v>
      </c>
      <c r="Q127" s="120">
        <v>0</v>
      </c>
      <c r="R127" s="120">
        <v>0</v>
      </c>
      <c r="S127" s="120">
        <v>0</v>
      </c>
      <c r="T127" s="120">
        <v>0</v>
      </c>
      <c r="U127" s="120">
        <v>0</v>
      </c>
      <c r="V127" s="120">
        <v>0</v>
      </c>
      <c r="W127" s="120">
        <v>0</v>
      </c>
      <c r="X127" s="120">
        <v>0</v>
      </c>
      <c r="Y127" s="120">
        <v>0</v>
      </c>
      <c r="Z127" s="120">
        <v>0</v>
      </c>
      <c r="AA127" s="120">
        <v>0</v>
      </c>
      <c r="AB127" s="120">
        <v>0</v>
      </c>
      <c r="AC127" s="120">
        <v>0</v>
      </c>
      <c r="AD127" s="120">
        <v>0</v>
      </c>
      <c r="AE127" s="120">
        <v>0</v>
      </c>
      <c r="AF127" s="120">
        <v>0</v>
      </c>
      <c r="AG127" s="120">
        <v>0</v>
      </c>
      <c r="AH127" s="120">
        <v>0</v>
      </c>
      <c r="AI127" s="120">
        <v>0</v>
      </c>
      <c r="AJ127" s="120">
        <v>0</v>
      </c>
      <c r="AK127" s="120">
        <v>0</v>
      </c>
      <c r="AL127" s="120">
        <v>0</v>
      </c>
      <c r="AM127" s="120">
        <v>0</v>
      </c>
      <c r="AN127" s="120">
        <v>0</v>
      </c>
      <c r="AO127" s="120">
        <v>0</v>
      </c>
      <c r="AP127" s="120">
        <v>0</v>
      </c>
      <c r="AQ127" s="120">
        <v>172808</v>
      </c>
      <c r="AR127" s="120">
        <v>0</v>
      </c>
      <c r="AS127" s="120">
        <v>0</v>
      </c>
      <c r="AT127" s="120">
        <v>0</v>
      </c>
      <c r="AU127" s="120">
        <v>0</v>
      </c>
      <c r="AV127" s="120">
        <v>0</v>
      </c>
      <c r="AW127" s="120">
        <v>0</v>
      </c>
      <c r="AX127" s="120">
        <v>0</v>
      </c>
      <c r="AY127" s="120">
        <v>0</v>
      </c>
      <c r="AZ127" s="120">
        <v>0</v>
      </c>
      <c r="BA127" s="120">
        <v>0</v>
      </c>
      <c r="BB127" s="120">
        <v>0</v>
      </c>
      <c r="BC127" s="120">
        <v>0</v>
      </c>
      <c r="BD127" s="120">
        <v>0</v>
      </c>
      <c r="BE127" s="120">
        <v>0</v>
      </c>
      <c r="BF127" s="120">
        <v>0</v>
      </c>
      <c r="BG127" s="120">
        <v>0</v>
      </c>
      <c r="BH127" s="120">
        <v>0</v>
      </c>
      <c r="BI127" s="120">
        <v>0</v>
      </c>
      <c r="BJ127" s="120">
        <v>0</v>
      </c>
      <c r="BK127" s="120">
        <v>0</v>
      </c>
      <c r="BL127" s="120">
        <v>0</v>
      </c>
      <c r="BM127" s="120">
        <v>0</v>
      </c>
      <c r="BN127" s="120">
        <v>0</v>
      </c>
      <c r="BO127" s="120">
        <v>0</v>
      </c>
      <c r="BP127" s="120">
        <v>0</v>
      </c>
      <c r="BQ127" s="120">
        <v>0</v>
      </c>
      <c r="BR127" s="120">
        <v>0</v>
      </c>
      <c r="BS127" s="120">
        <v>0</v>
      </c>
      <c r="BT127" s="120">
        <v>0</v>
      </c>
      <c r="BU127" s="120">
        <v>0</v>
      </c>
      <c r="BV127" s="120">
        <v>0</v>
      </c>
      <c r="BW127" s="120">
        <v>0</v>
      </c>
      <c r="BX127" s="120">
        <v>0</v>
      </c>
      <c r="BY127" s="120">
        <v>0</v>
      </c>
      <c r="BZ127" s="120">
        <v>0</v>
      </c>
      <c r="CA127" s="120">
        <v>0</v>
      </c>
      <c r="CB127" s="120">
        <v>0</v>
      </c>
      <c r="CC127" s="120">
        <v>0</v>
      </c>
      <c r="CD127" s="120">
        <v>0</v>
      </c>
      <c r="CE127" s="120">
        <v>0</v>
      </c>
      <c r="CF127" s="120">
        <v>0</v>
      </c>
      <c r="CG127" s="120">
        <v>0</v>
      </c>
      <c r="CH127" s="120">
        <v>0</v>
      </c>
      <c r="CI127" s="120">
        <v>0</v>
      </c>
      <c r="CJ127" s="120">
        <v>0</v>
      </c>
      <c r="CK127" s="120">
        <v>0</v>
      </c>
      <c r="CL127" s="120">
        <v>0</v>
      </c>
      <c r="CM127" s="120">
        <v>0</v>
      </c>
      <c r="CN127" s="120">
        <v>0</v>
      </c>
      <c r="CO127" s="120">
        <v>0</v>
      </c>
      <c r="CP127" s="120">
        <v>0</v>
      </c>
      <c r="CQ127" s="120">
        <v>0</v>
      </c>
      <c r="CR127" s="120">
        <v>0</v>
      </c>
      <c r="CS127" s="120">
        <v>0</v>
      </c>
      <c r="CT127" s="120">
        <v>0</v>
      </c>
      <c r="CU127" s="120">
        <v>0</v>
      </c>
      <c r="CV127" s="120">
        <v>0</v>
      </c>
      <c r="CW127" s="120">
        <v>0</v>
      </c>
      <c r="CX127" s="120">
        <v>0</v>
      </c>
      <c r="CY127" s="120">
        <v>0</v>
      </c>
      <c r="CZ127" s="120">
        <v>0</v>
      </c>
      <c r="DA127" s="120">
        <v>0</v>
      </c>
      <c r="DB127" s="120">
        <v>0</v>
      </c>
      <c r="DC127" s="120">
        <v>0</v>
      </c>
      <c r="DD127" s="120">
        <v>0</v>
      </c>
      <c r="DE127" s="120">
        <v>0</v>
      </c>
      <c r="DF127" s="120">
        <v>0</v>
      </c>
      <c r="DG127" s="120">
        <v>0</v>
      </c>
      <c r="DH127" s="120">
        <v>0</v>
      </c>
      <c r="DI127" s="120">
        <v>0</v>
      </c>
      <c r="DJ127" s="120">
        <v>0</v>
      </c>
      <c r="DK127" s="120">
        <v>0</v>
      </c>
      <c r="DL127" s="120">
        <v>0</v>
      </c>
      <c r="DM127" s="120">
        <v>0</v>
      </c>
      <c r="DN127" s="120">
        <v>0</v>
      </c>
      <c r="DO127" s="120">
        <v>0</v>
      </c>
      <c r="DP127" s="120">
        <v>101.05985312131931</v>
      </c>
      <c r="DQ127" s="120">
        <v>0</v>
      </c>
      <c r="DR127" s="120">
        <v>-55.524776146988721</v>
      </c>
      <c r="DS127" s="120">
        <v>0</v>
      </c>
      <c r="DT127" s="120">
        <v>0</v>
      </c>
      <c r="DU127" s="120">
        <v>0</v>
      </c>
      <c r="DV127" s="120">
        <v>0</v>
      </c>
      <c r="DW127" s="120">
        <v>0</v>
      </c>
      <c r="DX127" s="120">
        <v>0</v>
      </c>
      <c r="DY127" s="120">
        <v>0</v>
      </c>
      <c r="DZ127" s="120">
        <v>0</v>
      </c>
      <c r="EA127" s="120">
        <v>0</v>
      </c>
      <c r="EB127" s="120">
        <v>0</v>
      </c>
      <c r="EC127" s="120">
        <v>0</v>
      </c>
      <c r="ED127" s="120">
        <f t="shared" si="1"/>
        <v>172853.53507697434</v>
      </c>
    </row>
    <row r="128" spans="1:134">
      <c r="A128" s="120">
        <v>127</v>
      </c>
      <c r="B128" s="120">
        <v>0</v>
      </c>
      <c r="C128" s="120">
        <v>0</v>
      </c>
      <c r="D128" s="120">
        <v>0</v>
      </c>
      <c r="E128" s="120">
        <v>0</v>
      </c>
      <c r="F128" s="120">
        <v>0</v>
      </c>
      <c r="G128" s="120">
        <v>0</v>
      </c>
      <c r="H128" s="120">
        <v>0</v>
      </c>
      <c r="I128" s="120">
        <v>0</v>
      </c>
      <c r="J128" s="120">
        <v>0</v>
      </c>
      <c r="K128" s="120">
        <v>0</v>
      </c>
      <c r="L128" s="120">
        <v>0</v>
      </c>
      <c r="M128" s="120">
        <v>0</v>
      </c>
      <c r="N128" s="120">
        <v>0</v>
      </c>
      <c r="O128" s="120">
        <v>11391.77513794848</v>
      </c>
      <c r="P128" s="120">
        <v>0</v>
      </c>
      <c r="Q128" s="120">
        <v>0</v>
      </c>
      <c r="R128" s="120">
        <v>0</v>
      </c>
      <c r="S128" s="120">
        <v>0</v>
      </c>
      <c r="T128" s="120">
        <v>0</v>
      </c>
      <c r="U128" s="120">
        <v>0</v>
      </c>
      <c r="V128" s="120">
        <v>0</v>
      </c>
      <c r="W128" s="120">
        <v>0</v>
      </c>
      <c r="X128" s="120">
        <v>0</v>
      </c>
      <c r="Y128" s="120">
        <v>0</v>
      </c>
      <c r="Z128" s="120">
        <v>0</v>
      </c>
      <c r="AA128" s="120">
        <v>0</v>
      </c>
      <c r="AB128" s="120">
        <v>0</v>
      </c>
      <c r="AC128" s="120">
        <v>0</v>
      </c>
      <c r="AD128" s="120">
        <v>0</v>
      </c>
      <c r="AE128" s="120">
        <v>0</v>
      </c>
      <c r="AF128" s="120">
        <v>0</v>
      </c>
      <c r="AG128" s="120">
        <v>0</v>
      </c>
      <c r="AH128" s="120">
        <v>0</v>
      </c>
      <c r="AI128" s="120">
        <v>0</v>
      </c>
      <c r="AJ128" s="120">
        <v>0</v>
      </c>
      <c r="AK128" s="120">
        <v>0</v>
      </c>
      <c r="AL128" s="120">
        <v>0</v>
      </c>
      <c r="AM128" s="120">
        <v>0</v>
      </c>
      <c r="AN128" s="120">
        <v>0</v>
      </c>
      <c r="AO128" s="120">
        <v>0</v>
      </c>
      <c r="AP128" s="120">
        <v>0</v>
      </c>
      <c r="AQ128" s="120">
        <v>0</v>
      </c>
      <c r="AR128" s="120">
        <v>122177.99940403691</v>
      </c>
      <c r="AS128" s="120">
        <v>0</v>
      </c>
      <c r="AT128" s="120">
        <v>0</v>
      </c>
      <c r="AU128" s="120">
        <v>0</v>
      </c>
      <c r="AV128" s="120">
        <v>0</v>
      </c>
      <c r="AW128" s="120">
        <v>0</v>
      </c>
      <c r="AX128" s="120">
        <v>0</v>
      </c>
      <c r="AY128" s="120">
        <v>0</v>
      </c>
      <c r="AZ128" s="120">
        <v>0</v>
      </c>
      <c r="BA128" s="120">
        <v>0</v>
      </c>
      <c r="BB128" s="120">
        <v>0</v>
      </c>
      <c r="BC128" s="120">
        <v>0</v>
      </c>
      <c r="BD128" s="120">
        <v>0</v>
      </c>
      <c r="BE128" s="120">
        <v>0</v>
      </c>
      <c r="BF128" s="120">
        <v>0</v>
      </c>
      <c r="BG128" s="120">
        <v>0</v>
      </c>
      <c r="BH128" s="120">
        <v>0</v>
      </c>
      <c r="BI128" s="120">
        <v>0</v>
      </c>
      <c r="BJ128" s="120">
        <v>0</v>
      </c>
      <c r="BK128" s="120">
        <v>0</v>
      </c>
      <c r="BL128" s="120">
        <v>0</v>
      </c>
      <c r="BM128" s="120">
        <v>0</v>
      </c>
      <c r="BN128" s="120">
        <v>0</v>
      </c>
      <c r="BO128" s="120">
        <v>0</v>
      </c>
      <c r="BP128" s="120">
        <v>0</v>
      </c>
      <c r="BQ128" s="120">
        <v>0</v>
      </c>
      <c r="BR128" s="120">
        <v>0</v>
      </c>
      <c r="BS128" s="120">
        <v>0</v>
      </c>
      <c r="BT128" s="120">
        <v>0</v>
      </c>
      <c r="BU128" s="120">
        <v>0</v>
      </c>
      <c r="BV128" s="120">
        <v>0</v>
      </c>
      <c r="BW128" s="120">
        <v>0</v>
      </c>
      <c r="BX128" s="120">
        <v>0</v>
      </c>
      <c r="BY128" s="120">
        <v>0</v>
      </c>
      <c r="BZ128" s="120">
        <v>0</v>
      </c>
      <c r="CA128" s="120">
        <v>0</v>
      </c>
      <c r="CB128" s="120">
        <v>0</v>
      </c>
      <c r="CC128" s="120">
        <v>0</v>
      </c>
      <c r="CD128" s="120">
        <v>0</v>
      </c>
      <c r="CE128" s="120">
        <v>0</v>
      </c>
      <c r="CF128" s="120">
        <v>0</v>
      </c>
      <c r="CG128" s="120">
        <v>0</v>
      </c>
      <c r="CH128" s="120">
        <v>0</v>
      </c>
      <c r="CI128" s="120">
        <v>0</v>
      </c>
      <c r="CJ128" s="120">
        <v>0</v>
      </c>
      <c r="CK128" s="120">
        <v>0</v>
      </c>
      <c r="CL128" s="120">
        <v>0</v>
      </c>
      <c r="CM128" s="120">
        <v>0</v>
      </c>
      <c r="CN128" s="120">
        <v>0</v>
      </c>
      <c r="CO128" s="120">
        <v>0</v>
      </c>
      <c r="CP128" s="120">
        <v>0</v>
      </c>
      <c r="CQ128" s="120">
        <v>0</v>
      </c>
      <c r="CR128" s="120">
        <v>0</v>
      </c>
      <c r="CS128" s="120">
        <v>0</v>
      </c>
      <c r="CT128" s="120">
        <v>0</v>
      </c>
      <c r="CU128" s="120">
        <v>0</v>
      </c>
      <c r="CV128" s="120">
        <v>0</v>
      </c>
      <c r="CW128" s="120">
        <v>0</v>
      </c>
      <c r="CX128" s="120">
        <v>0</v>
      </c>
      <c r="CY128" s="120">
        <v>0</v>
      </c>
      <c r="CZ128" s="120">
        <v>0</v>
      </c>
      <c r="DA128" s="120">
        <v>0</v>
      </c>
      <c r="DB128" s="120">
        <v>0</v>
      </c>
      <c r="DC128" s="120">
        <v>0</v>
      </c>
      <c r="DD128" s="120">
        <v>0</v>
      </c>
      <c r="DE128" s="120">
        <v>0</v>
      </c>
      <c r="DF128" s="120">
        <v>0</v>
      </c>
      <c r="DG128" s="120">
        <v>0</v>
      </c>
      <c r="DH128" s="120">
        <v>0</v>
      </c>
      <c r="DI128" s="120">
        <v>0</v>
      </c>
      <c r="DJ128" s="120">
        <v>0</v>
      </c>
      <c r="DK128" s="120">
        <v>0</v>
      </c>
      <c r="DL128" s="120">
        <v>0</v>
      </c>
      <c r="DM128" s="120">
        <v>0</v>
      </c>
      <c r="DN128" s="120">
        <v>0</v>
      </c>
      <c r="DO128" s="120">
        <v>0</v>
      </c>
      <c r="DP128" s="120">
        <v>101.05985312131931</v>
      </c>
      <c r="DQ128" s="120">
        <v>0</v>
      </c>
      <c r="DR128" s="120">
        <v>-55.524776146988721</v>
      </c>
      <c r="DS128" s="120">
        <v>0</v>
      </c>
      <c r="DT128" s="120">
        <v>0</v>
      </c>
      <c r="DU128" s="120">
        <v>0</v>
      </c>
      <c r="DV128" s="120">
        <v>0</v>
      </c>
      <c r="DW128" s="120">
        <v>0</v>
      </c>
      <c r="DX128" s="120">
        <v>0</v>
      </c>
      <c r="DY128" s="120">
        <v>0</v>
      </c>
      <c r="DZ128" s="120">
        <v>0</v>
      </c>
      <c r="EA128" s="120">
        <v>0</v>
      </c>
      <c r="EB128" s="120">
        <v>0</v>
      </c>
      <c r="EC128" s="120">
        <v>0</v>
      </c>
      <c r="ED128" s="120">
        <f t="shared" si="1"/>
        <v>133615.30961895973</v>
      </c>
    </row>
    <row r="129" spans="1:134">
      <c r="A129" s="120">
        <v>128</v>
      </c>
      <c r="B129" s="120">
        <v>0</v>
      </c>
      <c r="C129" s="120">
        <v>0</v>
      </c>
      <c r="D129" s="120">
        <v>0</v>
      </c>
      <c r="E129" s="120">
        <v>0</v>
      </c>
      <c r="F129" s="120">
        <v>0</v>
      </c>
      <c r="G129" s="120">
        <v>0</v>
      </c>
      <c r="H129" s="120">
        <v>0</v>
      </c>
      <c r="I129" s="120">
        <v>0</v>
      </c>
      <c r="J129" s="120">
        <v>0</v>
      </c>
      <c r="K129" s="120">
        <v>0</v>
      </c>
      <c r="L129" s="120">
        <v>0</v>
      </c>
      <c r="M129" s="120">
        <v>0</v>
      </c>
      <c r="N129" s="120">
        <v>0</v>
      </c>
      <c r="O129" s="120">
        <v>0</v>
      </c>
      <c r="P129" s="120">
        <v>0</v>
      </c>
      <c r="Q129" s="120">
        <v>0</v>
      </c>
      <c r="R129" s="120">
        <v>0</v>
      </c>
      <c r="S129" s="120">
        <v>0</v>
      </c>
      <c r="T129" s="120">
        <v>0</v>
      </c>
      <c r="U129" s="120">
        <v>0</v>
      </c>
      <c r="V129" s="120">
        <v>0</v>
      </c>
      <c r="W129" s="120">
        <v>0</v>
      </c>
      <c r="X129" s="120">
        <v>0</v>
      </c>
      <c r="Y129" s="120">
        <v>0</v>
      </c>
      <c r="Z129" s="120">
        <v>0</v>
      </c>
      <c r="AA129" s="120">
        <v>0</v>
      </c>
      <c r="AB129" s="120">
        <v>0</v>
      </c>
      <c r="AC129" s="120">
        <v>0</v>
      </c>
      <c r="AD129" s="120">
        <v>0</v>
      </c>
      <c r="AE129" s="120">
        <v>0</v>
      </c>
      <c r="AF129" s="120">
        <v>0</v>
      </c>
      <c r="AG129" s="120">
        <v>0</v>
      </c>
      <c r="AH129" s="120">
        <v>0</v>
      </c>
      <c r="AI129" s="120">
        <v>0</v>
      </c>
      <c r="AJ129" s="120">
        <v>0</v>
      </c>
      <c r="AK129" s="120">
        <v>0</v>
      </c>
      <c r="AL129" s="120">
        <v>0</v>
      </c>
      <c r="AM129" s="120">
        <v>0</v>
      </c>
      <c r="AN129" s="120">
        <v>0</v>
      </c>
      <c r="AO129" s="120">
        <v>0</v>
      </c>
      <c r="AP129" s="120">
        <v>77634.846226661422</v>
      </c>
      <c r="AQ129" s="120">
        <v>0</v>
      </c>
      <c r="AR129" s="120">
        <v>135978.09676029941</v>
      </c>
      <c r="AS129" s="120">
        <v>0</v>
      </c>
      <c r="AT129" s="120">
        <v>0</v>
      </c>
      <c r="AU129" s="120">
        <v>0</v>
      </c>
      <c r="AV129" s="120">
        <v>0</v>
      </c>
      <c r="AW129" s="120">
        <v>0</v>
      </c>
      <c r="AX129" s="120">
        <v>0</v>
      </c>
      <c r="AY129" s="120">
        <v>0</v>
      </c>
      <c r="AZ129" s="120">
        <v>0</v>
      </c>
      <c r="BA129" s="120">
        <v>0</v>
      </c>
      <c r="BB129" s="120">
        <v>0</v>
      </c>
      <c r="BC129" s="120">
        <v>0</v>
      </c>
      <c r="BD129" s="120">
        <v>0</v>
      </c>
      <c r="BE129" s="120">
        <v>0</v>
      </c>
      <c r="BF129" s="120">
        <v>0</v>
      </c>
      <c r="BG129" s="120">
        <v>0</v>
      </c>
      <c r="BH129" s="120">
        <v>0</v>
      </c>
      <c r="BI129" s="120">
        <v>0</v>
      </c>
      <c r="BJ129" s="120">
        <v>0</v>
      </c>
      <c r="BK129" s="120">
        <v>0</v>
      </c>
      <c r="BL129" s="120">
        <v>0</v>
      </c>
      <c r="BM129" s="120">
        <v>0</v>
      </c>
      <c r="BN129" s="120">
        <v>0</v>
      </c>
      <c r="BO129" s="120">
        <v>0</v>
      </c>
      <c r="BP129" s="120">
        <v>0</v>
      </c>
      <c r="BQ129" s="120">
        <v>0</v>
      </c>
      <c r="BR129" s="120">
        <v>0</v>
      </c>
      <c r="BS129" s="120">
        <v>0</v>
      </c>
      <c r="BT129" s="120">
        <v>0</v>
      </c>
      <c r="BU129" s="120">
        <v>0</v>
      </c>
      <c r="BV129" s="120">
        <v>0</v>
      </c>
      <c r="BW129" s="120">
        <v>0</v>
      </c>
      <c r="BX129" s="120">
        <v>0</v>
      </c>
      <c r="BY129" s="120">
        <v>10166.29513571739</v>
      </c>
      <c r="BZ129" s="120">
        <v>0</v>
      </c>
      <c r="CA129" s="120">
        <v>0</v>
      </c>
      <c r="CB129" s="120">
        <v>0</v>
      </c>
      <c r="CC129" s="120">
        <v>0</v>
      </c>
      <c r="CD129" s="120">
        <v>0</v>
      </c>
      <c r="CE129" s="120">
        <v>0</v>
      </c>
      <c r="CF129" s="120">
        <v>0</v>
      </c>
      <c r="CG129" s="120">
        <v>0</v>
      </c>
      <c r="CH129" s="120">
        <v>0</v>
      </c>
      <c r="CI129" s="120">
        <v>0</v>
      </c>
      <c r="CJ129" s="120">
        <v>0</v>
      </c>
      <c r="CK129" s="120">
        <v>0</v>
      </c>
      <c r="CL129" s="120">
        <v>0</v>
      </c>
      <c r="CM129" s="120">
        <v>0</v>
      </c>
      <c r="CN129" s="120">
        <v>0</v>
      </c>
      <c r="CO129" s="120">
        <v>0</v>
      </c>
      <c r="CP129" s="120">
        <v>0</v>
      </c>
      <c r="CQ129" s="120">
        <v>0</v>
      </c>
      <c r="CR129" s="120">
        <v>0</v>
      </c>
      <c r="CS129" s="120">
        <v>0</v>
      </c>
      <c r="CT129" s="120">
        <v>0</v>
      </c>
      <c r="CU129" s="120">
        <v>0</v>
      </c>
      <c r="CV129" s="120">
        <v>0</v>
      </c>
      <c r="CW129" s="120">
        <v>0</v>
      </c>
      <c r="CX129" s="120">
        <v>0</v>
      </c>
      <c r="CY129" s="120">
        <v>0</v>
      </c>
      <c r="CZ129" s="120">
        <v>0</v>
      </c>
      <c r="DA129" s="120">
        <v>0</v>
      </c>
      <c r="DB129" s="120">
        <v>0</v>
      </c>
      <c r="DC129" s="120">
        <v>0</v>
      </c>
      <c r="DD129" s="120">
        <v>0</v>
      </c>
      <c r="DE129" s="120">
        <v>0</v>
      </c>
      <c r="DF129" s="120">
        <v>0</v>
      </c>
      <c r="DG129" s="120">
        <v>0</v>
      </c>
      <c r="DH129" s="120">
        <v>0</v>
      </c>
      <c r="DI129" s="120">
        <v>0</v>
      </c>
      <c r="DJ129" s="120">
        <v>0</v>
      </c>
      <c r="DK129" s="120">
        <v>0</v>
      </c>
      <c r="DL129" s="120">
        <v>0</v>
      </c>
      <c r="DM129" s="120">
        <v>0</v>
      </c>
      <c r="DN129" s="120">
        <v>0</v>
      </c>
      <c r="DO129" s="120">
        <v>0</v>
      </c>
      <c r="DP129" s="120">
        <v>107.12344430859839</v>
      </c>
      <c r="DQ129" s="120">
        <v>0</v>
      </c>
      <c r="DR129" s="120">
        <v>-55.524776146988721</v>
      </c>
      <c r="DS129" s="120">
        <v>0</v>
      </c>
      <c r="DT129" s="120">
        <v>0</v>
      </c>
      <c r="DU129" s="120">
        <v>0</v>
      </c>
      <c r="DV129" s="120">
        <v>0</v>
      </c>
      <c r="DW129" s="120">
        <v>0</v>
      </c>
      <c r="DX129" s="120">
        <v>0</v>
      </c>
      <c r="DY129" s="120">
        <v>0</v>
      </c>
      <c r="DZ129" s="120">
        <v>0</v>
      </c>
      <c r="EA129" s="120">
        <v>0</v>
      </c>
      <c r="EB129" s="120">
        <v>0</v>
      </c>
      <c r="EC129" s="120">
        <v>0</v>
      </c>
      <c r="ED129" s="120">
        <f t="shared" si="1"/>
        <v>223830.83679083982</v>
      </c>
    </row>
    <row r="130" spans="1:134">
      <c r="A130" s="120">
        <v>129</v>
      </c>
      <c r="B130" s="120">
        <v>0</v>
      </c>
      <c r="C130" s="120">
        <v>0</v>
      </c>
      <c r="D130" s="120">
        <v>0</v>
      </c>
      <c r="E130" s="120">
        <v>0</v>
      </c>
      <c r="F130" s="120">
        <v>0</v>
      </c>
      <c r="G130" s="120">
        <v>0</v>
      </c>
      <c r="H130" s="120">
        <v>0</v>
      </c>
      <c r="I130" s="120">
        <v>0</v>
      </c>
      <c r="J130" s="120">
        <v>0</v>
      </c>
      <c r="K130" s="120">
        <v>0</v>
      </c>
      <c r="L130" s="120">
        <v>0</v>
      </c>
      <c r="M130" s="120">
        <v>0</v>
      </c>
      <c r="N130" s="120">
        <v>0</v>
      </c>
      <c r="O130" s="120">
        <v>0</v>
      </c>
      <c r="P130" s="120">
        <v>0</v>
      </c>
      <c r="Q130" s="120">
        <v>0</v>
      </c>
      <c r="R130" s="120">
        <v>0</v>
      </c>
      <c r="S130" s="120">
        <v>0</v>
      </c>
      <c r="T130" s="120">
        <v>0</v>
      </c>
      <c r="U130" s="120">
        <v>0</v>
      </c>
      <c r="V130" s="120">
        <v>0</v>
      </c>
      <c r="W130" s="120">
        <v>0</v>
      </c>
      <c r="X130" s="120">
        <v>0</v>
      </c>
      <c r="Y130" s="120">
        <v>0</v>
      </c>
      <c r="Z130" s="120">
        <v>0</v>
      </c>
      <c r="AA130" s="120">
        <v>0</v>
      </c>
      <c r="AB130" s="120">
        <v>0</v>
      </c>
      <c r="AC130" s="120">
        <v>0</v>
      </c>
      <c r="AD130" s="120">
        <v>0</v>
      </c>
      <c r="AE130" s="120">
        <v>0</v>
      </c>
      <c r="AF130" s="120">
        <v>0</v>
      </c>
      <c r="AG130" s="120">
        <v>0</v>
      </c>
      <c r="AH130" s="120">
        <v>0</v>
      </c>
      <c r="AI130" s="120">
        <v>0</v>
      </c>
      <c r="AJ130" s="120">
        <v>0</v>
      </c>
      <c r="AK130" s="120">
        <v>0</v>
      </c>
      <c r="AL130" s="120">
        <v>0</v>
      </c>
      <c r="AM130" s="120">
        <v>0</v>
      </c>
      <c r="AN130" s="120">
        <v>0</v>
      </c>
      <c r="AO130" s="120">
        <v>0</v>
      </c>
      <c r="AP130" s="120">
        <v>0</v>
      </c>
      <c r="AQ130" s="120">
        <v>0</v>
      </c>
      <c r="AR130" s="120">
        <v>48674</v>
      </c>
      <c r="AS130" s="120">
        <v>0</v>
      </c>
      <c r="AT130" s="120">
        <v>0</v>
      </c>
      <c r="AU130" s="120">
        <v>0</v>
      </c>
      <c r="AV130" s="120">
        <v>0</v>
      </c>
      <c r="AW130" s="120">
        <v>0</v>
      </c>
      <c r="AX130" s="120">
        <v>0</v>
      </c>
      <c r="AY130" s="120">
        <v>0</v>
      </c>
      <c r="AZ130" s="120">
        <v>0</v>
      </c>
      <c r="BA130" s="120">
        <v>0</v>
      </c>
      <c r="BB130" s="120">
        <v>0</v>
      </c>
      <c r="BC130" s="120">
        <v>0</v>
      </c>
      <c r="BD130" s="120">
        <v>0</v>
      </c>
      <c r="BE130" s="120">
        <v>0</v>
      </c>
      <c r="BF130" s="120">
        <v>0</v>
      </c>
      <c r="BG130" s="120">
        <v>0</v>
      </c>
      <c r="BH130" s="120">
        <v>0</v>
      </c>
      <c r="BI130" s="120">
        <v>0</v>
      </c>
      <c r="BJ130" s="120">
        <v>0</v>
      </c>
      <c r="BK130" s="120">
        <v>0</v>
      </c>
      <c r="BL130" s="120">
        <v>0</v>
      </c>
      <c r="BM130" s="120">
        <v>0</v>
      </c>
      <c r="BN130" s="120">
        <v>0</v>
      </c>
      <c r="BO130" s="120">
        <v>0</v>
      </c>
      <c r="BP130" s="120">
        <v>0</v>
      </c>
      <c r="BQ130" s="120">
        <v>0</v>
      </c>
      <c r="BR130" s="120">
        <v>0</v>
      </c>
      <c r="BS130" s="120">
        <v>0</v>
      </c>
      <c r="BT130" s="120">
        <v>0</v>
      </c>
      <c r="BU130" s="120">
        <v>0</v>
      </c>
      <c r="BV130" s="120">
        <v>0</v>
      </c>
      <c r="BW130" s="120">
        <v>0</v>
      </c>
      <c r="BX130" s="120">
        <v>0</v>
      </c>
      <c r="BY130" s="120">
        <v>0</v>
      </c>
      <c r="BZ130" s="120">
        <v>0</v>
      </c>
      <c r="CA130" s="120">
        <v>0</v>
      </c>
      <c r="CB130" s="120">
        <v>0</v>
      </c>
      <c r="CC130" s="120">
        <v>0</v>
      </c>
      <c r="CD130" s="120">
        <v>0</v>
      </c>
      <c r="CE130" s="120">
        <v>0</v>
      </c>
      <c r="CF130" s="120">
        <v>0</v>
      </c>
      <c r="CG130" s="120">
        <v>0</v>
      </c>
      <c r="CH130" s="120">
        <v>0</v>
      </c>
      <c r="CI130" s="120">
        <v>0</v>
      </c>
      <c r="CJ130" s="120">
        <v>0</v>
      </c>
      <c r="CK130" s="120">
        <v>0</v>
      </c>
      <c r="CL130" s="120">
        <v>0</v>
      </c>
      <c r="CM130" s="120">
        <v>0</v>
      </c>
      <c r="CN130" s="120">
        <v>0</v>
      </c>
      <c r="CO130" s="120">
        <v>0</v>
      </c>
      <c r="CP130" s="120">
        <v>0</v>
      </c>
      <c r="CQ130" s="120">
        <v>0</v>
      </c>
      <c r="CR130" s="120">
        <v>0</v>
      </c>
      <c r="CS130" s="120">
        <v>0</v>
      </c>
      <c r="CT130" s="120">
        <v>0</v>
      </c>
      <c r="CU130" s="120">
        <v>0</v>
      </c>
      <c r="CV130" s="120">
        <v>0</v>
      </c>
      <c r="CW130" s="120">
        <v>0</v>
      </c>
      <c r="CX130" s="120">
        <v>0</v>
      </c>
      <c r="CY130" s="120">
        <v>0</v>
      </c>
      <c r="CZ130" s="120">
        <v>0</v>
      </c>
      <c r="DA130" s="120">
        <v>0</v>
      </c>
      <c r="DB130" s="120">
        <v>0</v>
      </c>
      <c r="DC130" s="120">
        <v>0</v>
      </c>
      <c r="DD130" s="120">
        <v>0</v>
      </c>
      <c r="DE130" s="120">
        <v>0</v>
      </c>
      <c r="DF130" s="120">
        <v>0</v>
      </c>
      <c r="DG130" s="120">
        <v>0</v>
      </c>
      <c r="DH130" s="120">
        <v>0</v>
      </c>
      <c r="DI130" s="120">
        <v>0</v>
      </c>
      <c r="DJ130" s="120">
        <v>0</v>
      </c>
      <c r="DK130" s="120">
        <v>0</v>
      </c>
      <c r="DL130" s="120">
        <v>0</v>
      </c>
      <c r="DM130" s="120">
        <v>0</v>
      </c>
      <c r="DN130" s="120">
        <v>0</v>
      </c>
      <c r="DO130" s="120">
        <v>0</v>
      </c>
      <c r="DP130" s="120">
        <v>101.05985312131931</v>
      </c>
      <c r="DQ130" s="120">
        <v>0</v>
      </c>
      <c r="DR130" s="120">
        <v>-55.524776146988721</v>
      </c>
      <c r="DS130" s="120">
        <v>0</v>
      </c>
      <c r="DT130" s="120">
        <v>0</v>
      </c>
      <c r="DU130" s="120">
        <v>0</v>
      </c>
      <c r="DV130" s="120">
        <v>0</v>
      </c>
      <c r="DW130" s="120">
        <v>0</v>
      </c>
      <c r="DX130" s="120">
        <v>0</v>
      </c>
      <c r="DY130" s="120">
        <v>0</v>
      </c>
      <c r="DZ130" s="120">
        <v>0</v>
      </c>
      <c r="EA130" s="120">
        <v>0</v>
      </c>
      <c r="EB130" s="120">
        <v>0</v>
      </c>
      <c r="EC130" s="120">
        <v>0</v>
      </c>
      <c r="ED130" s="120">
        <f t="shared" ref="ED130:ED166" si="2">SUM(B130:EC130)</f>
        <v>48719.535076974331</v>
      </c>
    </row>
    <row r="131" spans="1:134">
      <c r="A131" s="120">
        <v>130</v>
      </c>
      <c r="B131" s="120">
        <v>0</v>
      </c>
      <c r="C131" s="120">
        <v>0</v>
      </c>
      <c r="D131" s="120">
        <v>0</v>
      </c>
      <c r="E131" s="120">
        <v>0</v>
      </c>
      <c r="F131" s="120">
        <v>0</v>
      </c>
      <c r="G131" s="120">
        <v>0</v>
      </c>
      <c r="H131" s="120">
        <v>0</v>
      </c>
      <c r="I131" s="120">
        <v>0</v>
      </c>
      <c r="J131" s="120">
        <v>0</v>
      </c>
      <c r="K131" s="120">
        <v>0</v>
      </c>
      <c r="L131" s="120">
        <v>0</v>
      </c>
      <c r="M131" s="120">
        <v>0</v>
      </c>
      <c r="N131" s="120">
        <v>0</v>
      </c>
      <c r="O131" s="120">
        <v>0</v>
      </c>
      <c r="P131" s="120">
        <v>0</v>
      </c>
      <c r="Q131" s="120">
        <v>0</v>
      </c>
      <c r="R131" s="120">
        <v>0</v>
      </c>
      <c r="S131" s="120">
        <v>0</v>
      </c>
      <c r="T131" s="120">
        <v>0</v>
      </c>
      <c r="U131" s="120">
        <v>0</v>
      </c>
      <c r="V131" s="120">
        <v>0</v>
      </c>
      <c r="W131" s="120">
        <v>0</v>
      </c>
      <c r="X131" s="120">
        <v>0</v>
      </c>
      <c r="Y131" s="120">
        <v>0</v>
      </c>
      <c r="Z131" s="120">
        <v>0</v>
      </c>
      <c r="AA131" s="120">
        <v>0</v>
      </c>
      <c r="AB131" s="120">
        <v>0</v>
      </c>
      <c r="AC131" s="120">
        <v>0</v>
      </c>
      <c r="AD131" s="120">
        <v>0</v>
      </c>
      <c r="AE131" s="120">
        <v>0</v>
      </c>
      <c r="AF131" s="120">
        <v>0</v>
      </c>
      <c r="AG131" s="120">
        <v>0</v>
      </c>
      <c r="AH131" s="120">
        <v>0</v>
      </c>
      <c r="AI131" s="120">
        <v>0</v>
      </c>
      <c r="AJ131" s="120">
        <v>0</v>
      </c>
      <c r="AK131" s="120">
        <v>0</v>
      </c>
      <c r="AL131" s="120">
        <v>0</v>
      </c>
      <c r="AM131" s="120">
        <v>0</v>
      </c>
      <c r="AN131" s="120">
        <v>0</v>
      </c>
      <c r="AO131" s="120">
        <v>0</v>
      </c>
      <c r="AP131" s="120">
        <v>0</v>
      </c>
      <c r="AQ131" s="120">
        <v>0</v>
      </c>
      <c r="AR131" s="120">
        <v>155374</v>
      </c>
      <c r="AS131" s="120">
        <v>0</v>
      </c>
      <c r="AT131" s="120">
        <v>0</v>
      </c>
      <c r="AU131" s="120">
        <v>0</v>
      </c>
      <c r="AV131" s="120">
        <v>0</v>
      </c>
      <c r="AW131" s="120">
        <v>0</v>
      </c>
      <c r="AX131" s="120">
        <v>0</v>
      </c>
      <c r="AY131" s="120">
        <v>0</v>
      </c>
      <c r="AZ131" s="120">
        <v>0</v>
      </c>
      <c r="BA131" s="120">
        <v>0</v>
      </c>
      <c r="BB131" s="120">
        <v>0</v>
      </c>
      <c r="BC131" s="120">
        <v>0</v>
      </c>
      <c r="BD131" s="120">
        <v>0</v>
      </c>
      <c r="BE131" s="120">
        <v>0</v>
      </c>
      <c r="BF131" s="120">
        <v>0</v>
      </c>
      <c r="BG131" s="120">
        <v>0</v>
      </c>
      <c r="BH131" s="120">
        <v>0</v>
      </c>
      <c r="BI131" s="120">
        <v>0</v>
      </c>
      <c r="BJ131" s="120">
        <v>0</v>
      </c>
      <c r="BK131" s="120">
        <v>0</v>
      </c>
      <c r="BL131" s="120">
        <v>0</v>
      </c>
      <c r="BM131" s="120">
        <v>0</v>
      </c>
      <c r="BN131" s="120">
        <v>0</v>
      </c>
      <c r="BO131" s="120">
        <v>0</v>
      </c>
      <c r="BP131" s="120">
        <v>0</v>
      </c>
      <c r="BQ131" s="120">
        <v>0</v>
      </c>
      <c r="BR131" s="120">
        <v>0</v>
      </c>
      <c r="BS131" s="120">
        <v>0</v>
      </c>
      <c r="BT131" s="120">
        <v>0</v>
      </c>
      <c r="BU131" s="120">
        <v>0</v>
      </c>
      <c r="BV131" s="120">
        <v>0</v>
      </c>
      <c r="BW131" s="120">
        <v>0</v>
      </c>
      <c r="BX131" s="120">
        <v>0</v>
      </c>
      <c r="BY131" s="120">
        <v>189.99602300510111</v>
      </c>
      <c r="BZ131" s="120">
        <v>0</v>
      </c>
      <c r="CA131" s="120">
        <v>0</v>
      </c>
      <c r="CB131" s="120">
        <v>0</v>
      </c>
      <c r="CC131" s="120">
        <v>0</v>
      </c>
      <c r="CD131" s="120">
        <v>0</v>
      </c>
      <c r="CE131" s="120">
        <v>0</v>
      </c>
      <c r="CF131" s="120">
        <v>0</v>
      </c>
      <c r="CG131" s="120">
        <v>0</v>
      </c>
      <c r="CH131" s="120">
        <v>0</v>
      </c>
      <c r="CI131" s="120">
        <v>0</v>
      </c>
      <c r="CJ131" s="120">
        <v>0</v>
      </c>
      <c r="CK131" s="120">
        <v>0</v>
      </c>
      <c r="CL131" s="120">
        <v>0</v>
      </c>
      <c r="CM131" s="120">
        <v>0</v>
      </c>
      <c r="CN131" s="120">
        <v>0</v>
      </c>
      <c r="CO131" s="120">
        <v>0</v>
      </c>
      <c r="CP131" s="120">
        <v>0</v>
      </c>
      <c r="CQ131" s="120">
        <v>0</v>
      </c>
      <c r="CR131" s="120">
        <v>0</v>
      </c>
      <c r="CS131" s="120">
        <v>0</v>
      </c>
      <c r="CT131" s="120">
        <v>0</v>
      </c>
      <c r="CU131" s="120">
        <v>0</v>
      </c>
      <c r="CV131" s="120">
        <v>0</v>
      </c>
      <c r="CW131" s="120">
        <v>0</v>
      </c>
      <c r="CX131" s="120">
        <v>0</v>
      </c>
      <c r="CY131" s="120">
        <v>0</v>
      </c>
      <c r="CZ131" s="120">
        <v>0</v>
      </c>
      <c r="DA131" s="120">
        <v>0</v>
      </c>
      <c r="DB131" s="120">
        <v>0</v>
      </c>
      <c r="DC131" s="120">
        <v>0</v>
      </c>
      <c r="DD131" s="120">
        <v>0</v>
      </c>
      <c r="DE131" s="120">
        <v>0</v>
      </c>
      <c r="DF131" s="120">
        <v>0</v>
      </c>
      <c r="DG131" s="120">
        <v>0</v>
      </c>
      <c r="DH131" s="120">
        <v>0</v>
      </c>
      <c r="DI131" s="120">
        <v>0</v>
      </c>
      <c r="DJ131" s="120">
        <v>0</v>
      </c>
      <c r="DK131" s="120">
        <v>0</v>
      </c>
      <c r="DL131" s="120">
        <v>0</v>
      </c>
      <c r="DM131" s="120">
        <v>0</v>
      </c>
      <c r="DN131" s="120">
        <v>0</v>
      </c>
      <c r="DO131" s="120">
        <v>0</v>
      </c>
      <c r="DP131" s="120">
        <v>101.05985312131931</v>
      </c>
      <c r="DQ131" s="120">
        <v>0</v>
      </c>
      <c r="DR131" s="120">
        <v>-55.524776146988721</v>
      </c>
      <c r="DS131" s="120">
        <v>0</v>
      </c>
      <c r="DT131" s="120">
        <v>0</v>
      </c>
      <c r="DU131" s="120">
        <v>0</v>
      </c>
      <c r="DV131" s="120">
        <v>0</v>
      </c>
      <c r="DW131" s="120">
        <v>0</v>
      </c>
      <c r="DX131" s="120">
        <v>0</v>
      </c>
      <c r="DY131" s="120">
        <v>0</v>
      </c>
      <c r="DZ131" s="120">
        <v>0</v>
      </c>
      <c r="EA131" s="120">
        <v>0</v>
      </c>
      <c r="EB131" s="120">
        <v>0</v>
      </c>
      <c r="EC131" s="120">
        <v>0</v>
      </c>
      <c r="ED131" s="120">
        <f t="shared" si="2"/>
        <v>155609.53109997945</v>
      </c>
    </row>
    <row r="132" spans="1:134">
      <c r="A132" s="120">
        <v>131</v>
      </c>
      <c r="B132" s="120">
        <v>0</v>
      </c>
      <c r="C132" s="120">
        <v>0</v>
      </c>
      <c r="D132" s="120">
        <v>0</v>
      </c>
      <c r="E132" s="120">
        <v>0</v>
      </c>
      <c r="F132" s="120">
        <v>0</v>
      </c>
      <c r="G132" s="120">
        <v>0</v>
      </c>
      <c r="H132" s="120">
        <v>0</v>
      </c>
      <c r="I132" s="120">
        <v>0</v>
      </c>
      <c r="J132" s="120">
        <v>0</v>
      </c>
      <c r="K132" s="120">
        <v>0</v>
      </c>
      <c r="L132" s="120">
        <v>0</v>
      </c>
      <c r="M132" s="120">
        <v>0</v>
      </c>
      <c r="N132" s="120">
        <v>0</v>
      </c>
      <c r="O132" s="120">
        <v>0</v>
      </c>
      <c r="P132" s="120">
        <v>0</v>
      </c>
      <c r="Q132" s="120">
        <v>0</v>
      </c>
      <c r="R132" s="120">
        <v>0</v>
      </c>
      <c r="S132" s="120">
        <v>0</v>
      </c>
      <c r="T132" s="120">
        <v>0</v>
      </c>
      <c r="U132" s="120">
        <v>0</v>
      </c>
      <c r="V132" s="120">
        <v>0</v>
      </c>
      <c r="W132" s="120">
        <v>0</v>
      </c>
      <c r="X132" s="120">
        <v>0</v>
      </c>
      <c r="Y132" s="120">
        <v>0</v>
      </c>
      <c r="Z132" s="120">
        <v>0</v>
      </c>
      <c r="AA132" s="120">
        <v>0</v>
      </c>
      <c r="AB132" s="120">
        <v>0</v>
      </c>
      <c r="AC132" s="120">
        <v>0</v>
      </c>
      <c r="AD132" s="120">
        <v>0</v>
      </c>
      <c r="AE132" s="120">
        <v>0</v>
      </c>
      <c r="AF132" s="120">
        <v>0</v>
      </c>
      <c r="AG132" s="120">
        <v>0</v>
      </c>
      <c r="AH132" s="120">
        <v>0</v>
      </c>
      <c r="AI132" s="120">
        <v>0</v>
      </c>
      <c r="AJ132" s="120">
        <v>0</v>
      </c>
      <c r="AK132" s="120">
        <v>0</v>
      </c>
      <c r="AL132" s="120">
        <v>0</v>
      </c>
      <c r="AM132" s="120">
        <v>0</v>
      </c>
      <c r="AN132" s="120">
        <v>0</v>
      </c>
      <c r="AO132" s="120">
        <v>0</v>
      </c>
      <c r="AP132" s="120">
        <v>0</v>
      </c>
      <c r="AQ132" s="120">
        <v>0</v>
      </c>
      <c r="AR132" s="120">
        <v>41930.953817504342</v>
      </c>
      <c r="AS132" s="120">
        <v>0</v>
      </c>
      <c r="AT132" s="120">
        <v>0</v>
      </c>
      <c r="AU132" s="120">
        <v>0</v>
      </c>
      <c r="AV132" s="120">
        <v>0</v>
      </c>
      <c r="AW132" s="120">
        <v>0</v>
      </c>
      <c r="AX132" s="120">
        <v>0</v>
      </c>
      <c r="AY132" s="120">
        <v>0</v>
      </c>
      <c r="AZ132" s="120">
        <v>0</v>
      </c>
      <c r="BA132" s="120">
        <v>0</v>
      </c>
      <c r="BB132" s="120">
        <v>0</v>
      </c>
      <c r="BC132" s="120">
        <v>0</v>
      </c>
      <c r="BD132" s="120">
        <v>0</v>
      </c>
      <c r="BE132" s="120">
        <v>0</v>
      </c>
      <c r="BF132" s="120">
        <v>0</v>
      </c>
      <c r="BG132" s="120">
        <v>0</v>
      </c>
      <c r="BH132" s="120">
        <v>0</v>
      </c>
      <c r="BI132" s="120">
        <v>0</v>
      </c>
      <c r="BJ132" s="120">
        <v>0</v>
      </c>
      <c r="BK132" s="120">
        <v>0</v>
      </c>
      <c r="BL132" s="120">
        <v>0</v>
      </c>
      <c r="BM132" s="120">
        <v>0</v>
      </c>
      <c r="BN132" s="120">
        <v>0</v>
      </c>
      <c r="BO132" s="120">
        <v>0</v>
      </c>
      <c r="BP132" s="120">
        <v>0</v>
      </c>
      <c r="BQ132" s="120">
        <v>0</v>
      </c>
      <c r="BR132" s="120">
        <v>0</v>
      </c>
      <c r="BS132" s="120">
        <v>0</v>
      </c>
      <c r="BT132" s="120">
        <v>0</v>
      </c>
      <c r="BU132" s="120">
        <v>0</v>
      </c>
      <c r="BV132" s="120">
        <v>0</v>
      </c>
      <c r="BW132" s="120">
        <v>0</v>
      </c>
      <c r="BX132" s="120">
        <v>0</v>
      </c>
      <c r="BY132" s="120">
        <v>633.32007668367032</v>
      </c>
      <c r="BZ132" s="120">
        <v>0</v>
      </c>
      <c r="CA132" s="120">
        <v>0</v>
      </c>
      <c r="CB132" s="120">
        <v>0</v>
      </c>
      <c r="CC132" s="120">
        <v>0</v>
      </c>
      <c r="CD132" s="120">
        <v>0</v>
      </c>
      <c r="CE132" s="120">
        <v>0</v>
      </c>
      <c r="CF132" s="120">
        <v>0</v>
      </c>
      <c r="CG132" s="120">
        <v>0</v>
      </c>
      <c r="CH132" s="120">
        <v>0</v>
      </c>
      <c r="CI132" s="120">
        <v>0</v>
      </c>
      <c r="CJ132" s="120">
        <v>0</v>
      </c>
      <c r="CK132" s="120">
        <v>0</v>
      </c>
      <c r="CL132" s="120">
        <v>0</v>
      </c>
      <c r="CM132" s="120">
        <v>0</v>
      </c>
      <c r="CN132" s="120">
        <v>0</v>
      </c>
      <c r="CO132" s="120">
        <v>0</v>
      </c>
      <c r="CP132" s="120">
        <v>0</v>
      </c>
      <c r="CQ132" s="120">
        <v>0</v>
      </c>
      <c r="CR132" s="120">
        <v>0</v>
      </c>
      <c r="CS132" s="120">
        <v>0</v>
      </c>
      <c r="CT132" s="120">
        <v>0</v>
      </c>
      <c r="CU132" s="120">
        <v>0</v>
      </c>
      <c r="CV132" s="120">
        <v>0</v>
      </c>
      <c r="CW132" s="120">
        <v>0</v>
      </c>
      <c r="CX132" s="120">
        <v>0</v>
      </c>
      <c r="CY132" s="120">
        <v>0</v>
      </c>
      <c r="CZ132" s="120">
        <v>0</v>
      </c>
      <c r="DA132" s="120">
        <v>0</v>
      </c>
      <c r="DB132" s="120">
        <v>0</v>
      </c>
      <c r="DC132" s="120">
        <v>0</v>
      </c>
      <c r="DD132" s="120">
        <v>0</v>
      </c>
      <c r="DE132" s="120">
        <v>0</v>
      </c>
      <c r="DF132" s="120">
        <v>0</v>
      </c>
      <c r="DG132" s="120">
        <v>0</v>
      </c>
      <c r="DH132" s="120">
        <v>0</v>
      </c>
      <c r="DI132" s="120">
        <v>0</v>
      </c>
      <c r="DJ132" s="120">
        <v>0</v>
      </c>
      <c r="DK132" s="120">
        <v>0</v>
      </c>
      <c r="DL132" s="120">
        <v>0</v>
      </c>
      <c r="DM132" s="120">
        <v>0</v>
      </c>
      <c r="DN132" s="120">
        <v>0</v>
      </c>
      <c r="DO132" s="120">
        <v>0</v>
      </c>
      <c r="DP132" s="120">
        <v>101.05985312131931</v>
      </c>
      <c r="DQ132" s="120">
        <v>0</v>
      </c>
      <c r="DR132" s="120">
        <v>-55.524776146988721</v>
      </c>
      <c r="DS132" s="120">
        <v>0</v>
      </c>
      <c r="DT132" s="120">
        <v>0</v>
      </c>
      <c r="DU132" s="120">
        <v>0</v>
      </c>
      <c r="DV132" s="120">
        <v>0</v>
      </c>
      <c r="DW132" s="120">
        <v>0</v>
      </c>
      <c r="DX132" s="120">
        <v>0</v>
      </c>
      <c r="DY132" s="120">
        <v>0</v>
      </c>
      <c r="DZ132" s="120">
        <v>0</v>
      </c>
      <c r="EA132" s="120">
        <v>0</v>
      </c>
      <c r="EB132" s="120">
        <v>0</v>
      </c>
      <c r="EC132" s="120">
        <v>0</v>
      </c>
      <c r="ED132" s="120">
        <f t="shared" si="2"/>
        <v>42609.80897116234</v>
      </c>
    </row>
    <row r="133" spans="1:134">
      <c r="A133" s="120">
        <v>132</v>
      </c>
      <c r="B133" s="120">
        <v>0</v>
      </c>
      <c r="C133" s="120">
        <v>0</v>
      </c>
      <c r="D133" s="120">
        <v>0</v>
      </c>
      <c r="E133" s="120">
        <v>0</v>
      </c>
      <c r="F133" s="120">
        <v>0</v>
      </c>
      <c r="G133" s="120">
        <v>0</v>
      </c>
      <c r="H133" s="120">
        <v>0</v>
      </c>
      <c r="I133" s="120">
        <v>0</v>
      </c>
      <c r="J133" s="120">
        <v>0</v>
      </c>
      <c r="K133" s="120">
        <v>0</v>
      </c>
      <c r="L133" s="120">
        <v>0</v>
      </c>
      <c r="M133" s="120">
        <v>0</v>
      </c>
      <c r="N133" s="120">
        <v>0</v>
      </c>
      <c r="O133" s="120">
        <v>0</v>
      </c>
      <c r="P133" s="120">
        <v>0</v>
      </c>
      <c r="Q133" s="120">
        <v>0</v>
      </c>
      <c r="R133" s="120">
        <v>0</v>
      </c>
      <c r="S133" s="120">
        <v>0</v>
      </c>
      <c r="T133" s="120">
        <v>0</v>
      </c>
      <c r="U133" s="120">
        <v>0</v>
      </c>
      <c r="V133" s="120">
        <v>0</v>
      </c>
      <c r="W133" s="120">
        <v>0</v>
      </c>
      <c r="X133" s="120">
        <v>0</v>
      </c>
      <c r="Y133" s="120">
        <v>0</v>
      </c>
      <c r="Z133" s="120">
        <v>0</v>
      </c>
      <c r="AA133" s="120">
        <v>0</v>
      </c>
      <c r="AB133" s="120">
        <v>0</v>
      </c>
      <c r="AC133" s="120">
        <v>0</v>
      </c>
      <c r="AD133" s="120">
        <v>0</v>
      </c>
      <c r="AE133" s="120">
        <v>0</v>
      </c>
      <c r="AF133" s="120">
        <v>0</v>
      </c>
      <c r="AG133" s="120">
        <v>0</v>
      </c>
      <c r="AH133" s="120">
        <v>0</v>
      </c>
      <c r="AI133" s="120">
        <v>0</v>
      </c>
      <c r="AJ133" s="120">
        <v>0</v>
      </c>
      <c r="AK133" s="120">
        <v>0</v>
      </c>
      <c r="AL133" s="120">
        <v>0</v>
      </c>
      <c r="AM133" s="120">
        <v>0</v>
      </c>
      <c r="AN133" s="120">
        <v>0</v>
      </c>
      <c r="AO133" s="120">
        <v>0</v>
      </c>
      <c r="AP133" s="120">
        <v>0</v>
      </c>
      <c r="AQ133" s="120">
        <v>0</v>
      </c>
      <c r="AR133" s="120">
        <v>0</v>
      </c>
      <c r="AS133" s="120">
        <v>1372833.858692711</v>
      </c>
      <c r="AT133" s="120">
        <v>0</v>
      </c>
      <c r="AU133" s="120">
        <v>0</v>
      </c>
      <c r="AV133" s="120">
        <v>0</v>
      </c>
      <c r="AW133" s="120">
        <v>0</v>
      </c>
      <c r="AX133" s="120">
        <v>0</v>
      </c>
      <c r="AY133" s="120">
        <v>0</v>
      </c>
      <c r="AZ133" s="120">
        <v>0</v>
      </c>
      <c r="BA133" s="120">
        <v>0</v>
      </c>
      <c r="BB133" s="120">
        <v>0</v>
      </c>
      <c r="BC133" s="120">
        <v>0</v>
      </c>
      <c r="BD133" s="120">
        <v>0</v>
      </c>
      <c r="BE133" s="120">
        <v>0</v>
      </c>
      <c r="BF133" s="120">
        <v>0</v>
      </c>
      <c r="BG133" s="120">
        <v>0</v>
      </c>
      <c r="BH133" s="120">
        <v>0</v>
      </c>
      <c r="BI133" s="120">
        <v>0</v>
      </c>
      <c r="BJ133" s="120">
        <v>0</v>
      </c>
      <c r="BK133" s="120">
        <v>0</v>
      </c>
      <c r="BL133" s="120">
        <v>0</v>
      </c>
      <c r="BM133" s="120">
        <v>0</v>
      </c>
      <c r="BN133" s="120">
        <v>0</v>
      </c>
      <c r="BO133" s="120">
        <v>0</v>
      </c>
      <c r="BP133" s="120">
        <v>0</v>
      </c>
      <c r="BQ133" s="120">
        <v>0</v>
      </c>
      <c r="BR133" s="120">
        <v>0</v>
      </c>
      <c r="BS133" s="120">
        <v>0</v>
      </c>
      <c r="BT133" s="120">
        <v>0</v>
      </c>
      <c r="BU133" s="120">
        <v>0</v>
      </c>
      <c r="BV133" s="120">
        <v>0</v>
      </c>
      <c r="BW133" s="120">
        <v>0</v>
      </c>
      <c r="BX133" s="120">
        <v>0</v>
      </c>
      <c r="BY133" s="120">
        <v>32673</v>
      </c>
      <c r="BZ133" s="120">
        <v>0</v>
      </c>
      <c r="CA133" s="120">
        <v>0</v>
      </c>
      <c r="CB133" s="120">
        <v>0</v>
      </c>
      <c r="CC133" s="120">
        <v>0</v>
      </c>
      <c r="CD133" s="120">
        <v>0</v>
      </c>
      <c r="CE133" s="120">
        <v>0</v>
      </c>
      <c r="CF133" s="120">
        <v>0</v>
      </c>
      <c r="CG133" s="120">
        <v>0</v>
      </c>
      <c r="CH133" s="120">
        <v>0</v>
      </c>
      <c r="CI133" s="120">
        <v>0</v>
      </c>
      <c r="CJ133" s="120">
        <v>0</v>
      </c>
      <c r="CK133" s="120">
        <v>0</v>
      </c>
      <c r="CL133" s="120">
        <v>0</v>
      </c>
      <c r="CM133" s="120">
        <v>0</v>
      </c>
      <c r="CN133" s="120">
        <v>0</v>
      </c>
      <c r="CO133" s="120">
        <v>0</v>
      </c>
      <c r="CP133" s="120">
        <v>0</v>
      </c>
      <c r="CQ133" s="120">
        <v>0</v>
      </c>
      <c r="CR133" s="120">
        <v>0</v>
      </c>
      <c r="CS133" s="120">
        <v>0</v>
      </c>
      <c r="CT133" s="120">
        <v>0</v>
      </c>
      <c r="CU133" s="120">
        <v>0</v>
      </c>
      <c r="CV133" s="120">
        <v>0</v>
      </c>
      <c r="CW133" s="120">
        <v>0</v>
      </c>
      <c r="CX133" s="120">
        <v>0</v>
      </c>
      <c r="CY133" s="120">
        <v>0</v>
      </c>
      <c r="CZ133" s="120">
        <v>0</v>
      </c>
      <c r="DA133" s="120">
        <v>0</v>
      </c>
      <c r="DB133" s="120">
        <v>0</v>
      </c>
      <c r="DC133" s="120">
        <v>0</v>
      </c>
      <c r="DD133" s="120">
        <v>0</v>
      </c>
      <c r="DE133" s="120">
        <v>0</v>
      </c>
      <c r="DF133" s="120">
        <v>0</v>
      </c>
      <c r="DG133" s="120">
        <v>0</v>
      </c>
      <c r="DH133" s="120">
        <v>0</v>
      </c>
      <c r="DI133" s="120">
        <v>0</v>
      </c>
      <c r="DJ133" s="120">
        <v>0</v>
      </c>
      <c r="DK133" s="120">
        <v>0</v>
      </c>
      <c r="DL133" s="120">
        <v>0</v>
      </c>
      <c r="DM133" s="120">
        <v>0</v>
      </c>
      <c r="DN133" s="120">
        <v>0</v>
      </c>
      <c r="DO133" s="120">
        <v>0</v>
      </c>
      <c r="DP133" s="120">
        <v>9661.7705403992204</v>
      </c>
      <c r="DQ133" s="120">
        <v>0</v>
      </c>
      <c r="DR133" s="120">
        <v>-8516.181260326759</v>
      </c>
      <c r="DS133" s="120">
        <v>0</v>
      </c>
      <c r="DT133" s="120">
        <v>0</v>
      </c>
      <c r="DU133" s="120">
        <v>0</v>
      </c>
      <c r="DV133" s="120">
        <v>0</v>
      </c>
      <c r="DW133" s="120">
        <v>0</v>
      </c>
      <c r="DX133" s="120">
        <v>0</v>
      </c>
      <c r="DY133" s="120">
        <v>0</v>
      </c>
      <c r="DZ133" s="120">
        <v>0</v>
      </c>
      <c r="EA133" s="120">
        <v>0</v>
      </c>
      <c r="EB133" s="120">
        <v>0</v>
      </c>
      <c r="EC133" s="120">
        <v>0</v>
      </c>
      <c r="ED133" s="120">
        <f t="shared" si="2"/>
        <v>1406652.4479727836</v>
      </c>
    </row>
    <row r="134" spans="1:134">
      <c r="A134" s="120">
        <v>133</v>
      </c>
      <c r="B134" s="120">
        <v>0</v>
      </c>
      <c r="C134" s="120">
        <v>0</v>
      </c>
      <c r="D134" s="120">
        <v>0</v>
      </c>
      <c r="E134" s="120">
        <v>0</v>
      </c>
      <c r="F134" s="120">
        <v>0</v>
      </c>
      <c r="G134" s="120">
        <v>0</v>
      </c>
      <c r="H134" s="120">
        <v>0</v>
      </c>
      <c r="I134" s="120">
        <v>0</v>
      </c>
      <c r="J134" s="120">
        <v>0</v>
      </c>
      <c r="K134" s="120">
        <v>0</v>
      </c>
      <c r="L134" s="120">
        <v>0</v>
      </c>
      <c r="M134" s="120">
        <v>0</v>
      </c>
      <c r="N134" s="120">
        <v>0</v>
      </c>
      <c r="O134" s="120">
        <v>0</v>
      </c>
      <c r="P134" s="120">
        <v>0</v>
      </c>
      <c r="Q134" s="120">
        <v>0</v>
      </c>
      <c r="R134" s="120">
        <v>0</v>
      </c>
      <c r="S134" s="120">
        <v>0</v>
      </c>
      <c r="T134" s="120">
        <v>0</v>
      </c>
      <c r="U134" s="120">
        <v>0</v>
      </c>
      <c r="V134" s="120">
        <v>0</v>
      </c>
      <c r="W134" s="120">
        <v>0</v>
      </c>
      <c r="X134" s="120">
        <v>0</v>
      </c>
      <c r="Y134" s="120">
        <v>0</v>
      </c>
      <c r="Z134" s="120">
        <v>0</v>
      </c>
      <c r="AA134" s="120">
        <v>0</v>
      </c>
      <c r="AB134" s="120">
        <v>0</v>
      </c>
      <c r="AC134" s="120">
        <v>0</v>
      </c>
      <c r="AD134" s="120">
        <v>0</v>
      </c>
      <c r="AE134" s="120">
        <v>0</v>
      </c>
      <c r="AF134" s="120">
        <v>0</v>
      </c>
      <c r="AG134" s="120">
        <v>0</v>
      </c>
      <c r="AH134" s="120">
        <v>0</v>
      </c>
      <c r="AI134" s="120">
        <v>0</v>
      </c>
      <c r="AJ134" s="120">
        <v>0</v>
      </c>
      <c r="AK134" s="120">
        <v>0</v>
      </c>
      <c r="AL134" s="120">
        <v>0</v>
      </c>
      <c r="AM134" s="120">
        <v>0</v>
      </c>
      <c r="AN134" s="120">
        <v>0</v>
      </c>
      <c r="AO134" s="120">
        <v>0</v>
      </c>
      <c r="AP134" s="120">
        <v>0</v>
      </c>
      <c r="AQ134" s="120">
        <v>0</v>
      </c>
      <c r="AR134" s="120">
        <v>0</v>
      </c>
      <c r="AS134" s="120">
        <v>0</v>
      </c>
      <c r="AT134" s="120">
        <v>227120</v>
      </c>
      <c r="AU134" s="120">
        <v>0</v>
      </c>
      <c r="AV134" s="120">
        <v>0</v>
      </c>
      <c r="AW134" s="120">
        <v>0</v>
      </c>
      <c r="AX134" s="120">
        <v>0</v>
      </c>
      <c r="AY134" s="120">
        <v>0</v>
      </c>
      <c r="AZ134" s="120">
        <v>0</v>
      </c>
      <c r="BA134" s="120">
        <v>0</v>
      </c>
      <c r="BB134" s="120">
        <v>0</v>
      </c>
      <c r="BC134" s="120">
        <v>0</v>
      </c>
      <c r="BD134" s="120">
        <v>0</v>
      </c>
      <c r="BE134" s="120">
        <v>0</v>
      </c>
      <c r="BF134" s="120">
        <v>0</v>
      </c>
      <c r="BG134" s="120">
        <v>0</v>
      </c>
      <c r="BH134" s="120">
        <v>0</v>
      </c>
      <c r="BI134" s="120">
        <v>0</v>
      </c>
      <c r="BJ134" s="120">
        <v>0</v>
      </c>
      <c r="BK134" s="120">
        <v>0</v>
      </c>
      <c r="BL134" s="120">
        <v>0</v>
      </c>
      <c r="BM134" s="120">
        <v>0</v>
      </c>
      <c r="BN134" s="120">
        <v>0</v>
      </c>
      <c r="BO134" s="120">
        <v>0</v>
      </c>
      <c r="BP134" s="120">
        <v>0</v>
      </c>
      <c r="BQ134" s="120">
        <v>0</v>
      </c>
      <c r="BR134" s="120">
        <v>0</v>
      </c>
      <c r="BS134" s="120">
        <v>0</v>
      </c>
      <c r="BT134" s="120">
        <v>0</v>
      </c>
      <c r="BU134" s="120">
        <v>63903.462676817413</v>
      </c>
      <c r="BV134" s="120">
        <v>0</v>
      </c>
      <c r="BW134" s="120">
        <v>0</v>
      </c>
      <c r="BX134" s="120">
        <v>0</v>
      </c>
      <c r="BY134" s="120">
        <v>19872.553907238649</v>
      </c>
      <c r="BZ134" s="120">
        <v>0</v>
      </c>
      <c r="CA134" s="120">
        <v>0</v>
      </c>
      <c r="CB134" s="120">
        <v>0</v>
      </c>
      <c r="CC134" s="120">
        <v>0</v>
      </c>
      <c r="CD134" s="120">
        <v>0</v>
      </c>
      <c r="CE134" s="120">
        <v>0</v>
      </c>
      <c r="CF134" s="120">
        <v>0</v>
      </c>
      <c r="CG134" s="120">
        <v>0</v>
      </c>
      <c r="CH134" s="120">
        <v>0</v>
      </c>
      <c r="CI134" s="120">
        <v>0</v>
      </c>
      <c r="CJ134" s="120">
        <v>0</v>
      </c>
      <c r="CK134" s="120">
        <v>0</v>
      </c>
      <c r="CL134" s="120">
        <v>0</v>
      </c>
      <c r="CM134" s="120">
        <v>0</v>
      </c>
      <c r="CN134" s="120">
        <v>0</v>
      </c>
      <c r="CO134" s="120">
        <v>0</v>
      </c>
      <c r="CP134" s="120">
        <v>0</v>
      </c>
      <c r="CQ134" s="120">
        <v>0</v>
      </c>
      <c r="CR134" s="120">
        <v>0</v>
      </c>
      <c r="CS134" s="120">
        <v>0</v>
      </c>
      <c r="CT134" s="120">
        <v>0</v>
      </c>
      <c r="CU134" s="120">
        <v>0</v>
      </c>
      <c r="CV134" s="120">
        <v>0</v>
      </c>
      <c r="CW134" s="120">
        <v>0</v>
      </c>
      <c r="CX134" s="120">
        <v>0</v>
      </c>
      <c r="CY134" s="120">
        <v>0</v>
      </c>
      <c r="CZ134" s="120">
        <v>0</v>
      </c>
      <c r="DA134" s="120">
        <v>0</v>
      </c>
      <c r="DB134" s="120">
        <v>0</v>
      </c>
      <c r="DC134" s="120">
        <v>0</v>
      </c>
      <c r="DD134" s="120">
        <v>0</v>
      </c>
      <c r="DE134" s="120">
        <v>0</v>
      </c>
      <c r="DF134" s="120">
        <v>0</v>
      </c>
      <c r="DG134" s="120">
        <v>0</v>
      </c>
      <c r="DH134" s="120">
        <v>0</v>
      </c>
      <c r="DI134" s="120">
        <v>0</v>
      </c>
      <c r="DJ134" s="120">
        <v>0</v>
      </c>
      <c r="DK134" s="120">
        <v>0</v>
      </c>
      <c r="DL134" s="120">
        <v>0</v>
      </c>
      <c r="DM134" s="120">
        <v>0</v>
      </c>
      <c r="DN134" s="120">
        <v>0</v>
      </c>
      <c r="DO134" s="120">
        <v>0</v>
      </c>
      <c r="DP134" s="120">
        <v>194.7773985464774</v>
      </c>
      <c r="DQ134" s="120">
        <v>0</v>
      </c>
      <c r="DR134" s="120">
        <v>-110.6372395998167</v>
      </c>
      <c r="DS134" s="120">
        <v>0</v>
      </c>
      <c r="DT134" s="120">
        <v>0</v>
      </c>
      <c r="DU134" s="120">
        <v>0</v>
      </c>
      <c r="DV134" s="120">
        <v>0</v>
      </c>
      <c r="DW134" s="120">
        <v>0</v>
      </c>
      <c r="DX134" s="120">
        <v>0</v>
      </c>
      <c r="DY134" s="120">
        <v>0</v>
      </c>
      <c r="DZ134" s="120">
        <v>0</v>
      </c>
      <c r="EA134" s="120">
        <v>0</v>
      </c>
      <c r="EB134" s="120">
        <v>0</v>
      </c>
      <c r="EC134" s="120">
        <v>0</v>
      </c>
      <c r="ED134" s="120">
        <f t="shared" si="2"/>
        <v>310980.15674300271</v>
      </c>
    </row>
    <row r="135" spans="1:134">
      <c r="A135" s="120">
        <v>134</v>
      </c>
      <c r="B135" s="120">
        <v>0</v>
      </c>
      <c r="C135" s="120">
        <v>0</v>
      </c>
      <c r="D135" s="120">
        <v>0</v>
      </c>
      <c r="E135" s="120">
        <v>0</v>
      </c>
      <c r="F135" s="120">
        <v>0</v>
      </c>
      <c r="G135" s="120">
        <v>0</v>
      </c>
      <c r="H135" s="120">
        <v>0</v>
      </c>
      <c r="I135" s="120">
        <v>0</v>
      </c>
      <c r="J135" s="120">
        <v>0</v>
      </c>
      <c r="K135" s="120">
        <v>0</v>
      </c>
      <c r="L135" s="120">
        <v>0</v>
      </c>
      <c r="M135" s="120">
        <v>0</v>
      </c>
      <c r="N135" s="120">
        <v>0</v>
      </c>
      <c r="O135" s="120">
        <v>0</v>
      </c>
      <c r="P135" s="120">
        <v>0</v>
      </c>
      <c r="Q135" s="120">
        <v>0</v>
      </c>
      <c r="R135" s="120">
        <v>0</v>
      </c>
      <c r="S135" s="120">
        <v>0</v>
      </c>
      <c r="T135" s="120">
        <v>0</v>
      </c>
      <c r="U135" s="120">
        <v>0</v>
      </c>
      <c r="V135" s="120">
        <v>0</v>
      </c>
      <c r="W135" s="120">
        <v>0</v>
      </c>
      <c r="X135" s="120">
        <v>0</v>
      </c>
      <c r="Y135" s="120">
        <v>0</v>
      </c>
      <c r="Z135" s="120">
        <v>0</v>
      </c>
      <c r="AA135" s="120">
        <v>0</v>
      </c>
      <c r="AB135" s="120">
        <v>0</v>
      </c>
      <c r="AC135" s="120">
        <v>0</v>
      </c>
      <c r="AD135" s="120">
        <v>0</v>
      </c>
      <c r="AE135" s="120">
        <v>0</v>
      </c>
      <c r="AF135" s="120">
        <v>0</v>
      </c>
      <c r="AG135" s="120">
        <v>0</v>
      </c>
      <c r="AH135" s="120">
        <v>0</v>
      </c>
      <c r="AI135" s="120">
        <v>0</v>
      </c>
      <c r="AJ135" s="120">
        <v>0</v>
      </c>
      <c r="AK135" s="120">
        <v>0</v>
      </c>
      <c r="AL135" s="120">
        <v>0</v>
      </c>
      <c r="AM135" s="120">
        <v>0</v>
      </c>
      <c r="AN135" s="120">
        <v>0</v>
      </c>
      <c r="AO135" s="120">
        <v>0</v>
      </c>
      <c r="AP135" s="120">
        <v>0</v>
      </c>
      <c r="AQ135" s="120">
        <v>0</v>
      </c>
      <c r="AR135" s="120">
        <v>0</v>
      </c>
      <c r="AS135" s="120">
        <v>0</v>
      </c>
      <c r="AT135" s="120">
        <v>0</v>
      </c>
      <c r="AU135" s="120">
        <v>0</v>
      </c>
      <c r="AV135" s="120">
        <v>0</v>
      </c>
      <c r="AW135" s="120">
        <v>0</v>
      </c>
      <c r="AX135" s="120">
        <v>0</v>
      </c>
      <c r="AY135" s="120">
        <v>0</v>
      </c>
      <c r="AZ135" s="120">
        <v>0</v>
      </c>
      <c r="BA135" s="120">
        <v>0</v>
      </c>
      <c r="BB135" s="120">
        <v>0</v>
      </c>
      <c r="BC135" s="120">
        <v>0</v>
      </c>
      <c r="BD135" s="120">
        <v>0</v>
      </c>
      <c r="BE135" s="120">
        <v>0</v>
      </c>
      <c r="BF135" s="120">
        <v>0</v>
      </c>
      <c r="BG135" s="120">
        <v>0</v>
      </c>
      <c r="BH135" s="120">
        <v>0</v>
      </c>
      <c r="BI135" s="120">
        <v>0</v>
      </c>
      <c r="BJ135" s="120">
        <v>0</v>
      </c>
      <c r="BK135" s="120">
        <v>0</v>
      </c>
      <c r="BL135" s="120">
        <v>0</v>
      </c>
      <c r="BM135" s="120">
        <v>0</v>
      </c>
      <c r="BN135" s="120">
        <v>0</v>
      </c>
      <c r="BO135" s="120">
        <v>0</v>
      </c>
      <c r="BP135" s="120">
        <v>0</v>
      </c>
      <c r="BQ135" s="120">
        <v>0</v>
      </c>
      <c r="BR135" s="120">
        <v>0</v>
      </c>
      <c r="BS135" s="120">
        <v>0</v>
      </c>
      <c r="BT135" s="120">
        <v>0</v>
      </c>
      <c r="BU135" s="120">
        <v>102874.554053297</v>
      </c>
      <c r="BV135" s="120">
        <v>0</v>
      </c>
      <c r="BW135" s="120">
        <v>0</v>
      </c>
      <c r="BX135" s="120">
        <v>0</v>
      </c>
      <c r="BY135" s="120">
        <v>60160.323427013493</v>
      </c>
      <c r="BZ135" s="120">
        <v>0</v>
      </c>
      <c r="CA135" s="120">
        <v>0</v>
      </c>
      <c r="CB135" s="120">
        <v>0</v>
      </c>
      <c r="CC135" s="120">
        <v>0</v>
      </c>
      <c r="CD135" s="120">
        <v>0</v>
      </c>
      <c r="CE135" s="120">
        <v>0</v>
      </c>
      <c r="CF135" s="120">
        <v>0</v>
      </c>
      <c r="CG135" s="120">
        <v>0</v>
      </c>
      <c r="CH135" s="120">
        <v>0</v>
      </c>
      <c r="CI135" s="120">
        <v>0</v>
      </c>
      <c r="CJ135" s="120">
        <v>0</v>
      </c>
      <c r="CK135" s="120">
        <v>0</v>
      </c>
      <c r="CL135" s="120">
        <v>0</v>
      </c>
      <c r="CM135" s="120">
        <v>0</v>
      </c>
      <c r="CN135" s="120">
        <v>0</v>
      </c>
      <c r="CO135" s="120">
        <v>0</v>
      </c>
      <c r="CP135" s="120">
        <v>0</v>
      </c>
      <c r="CQ135" s="120">
        <v>0</v>
      </c>
      <c r="CR135" s="120">
        <v>0</v>
      </c>
      <c r="CS135" s="120">
        <v>0</v>
      </c>
      <c r="CT135" s="120">
        <v>0</v>
      </c>
      <c r="CU135" s="120">
        <v>0</v>
      </c>
      <c r="CV135" s="120">
        <v>0</v>
      </c>
      <c r="CW135" s="120">
        <v>0</v>
      </c>
      <c r="CX135" s="120">
        <v>0</v>
      </c>
      <c r="CY135" s="120">
        <v>0</v>
      </c>
      <c r="CZ135" s="120">
        <v>0</v>
      </c>
      <c r="DA135" s="120">
        <v>0</v>
      </c>
      <c r="DB135" s="120">
        <v>0</v>
      </c>
      <c r="DC135" s="120">
        <v>0</v>
      </c>
      <c r="DD135" s="120">
        <v>0</v>
      </c>
      <c r="DE135" s="120">
        <v>0</v>
      </c>
      <c r="DF135" s="120">
        <v>0</v>
      </c>
      <c r="DG135" s="120">
        <v>0</v>
      </c>
      <c r="DH135" s="120">
        <v>0</v>
      </c>
      <c r="DI135" s="120">
        <v>0</v>
      </c>
      <c r="DJ135" s="120">
        <v>0</v>
      </c>
      <c r="DK135" s="120">
        <v>0</v>
      </c>
      <c r="DL135" s="120">
        <v>0</v>
      </c>
      <c r="DM135" s="120">
        <v>0</v>
      </c>
      <c r="DN135" s="120">
        <v>0</v>
      </c>
      <c r="DO135" s="120">
        <v>0</v>
      </c>
      <c r="DP135" s="120">
        <v>0</v>
      </c>
      <c r="DQ135" s="120">
        <v>0</v>
      </c>
      <c r="DR135" s="120">
        <v>0</v>
      </c>
      <c r="DS135" s="120">
        <v>0</v>
      </c>
      <c r="DT135" s="120">
        <v>0</v>
      </c>
      <c r="DU135" s="120">
        <v>0</v>
      </c>
      <c r="DV135" s="120">
        <v>0</v>
      </c>
      <c r="DW135" s="120">
        <v>0</v>
      </c>
      <c r="DX135" s="120">
        <v>0</v>
      </c>
      <c r="DY135" s="120">
        <v>0</v>
      </c>
      <c r="DZ135" s="120">
        <v>0</v>
      </c>
      <c r="EA135" s="120">
        <v>0</v>
      </c>
      <c r="EB135" s="120">
        <v>0</v>
      </c>
      <c r="EC135" s="120">
        <v>0</v>
      </c>
      <c r="ED135" s="120">
        <f t="shared" si="2"/>
        <v>163034.8774803105</v>
      </c>
    </row>
    <row r="136" spans="1:134">
      <c r="A136" s="120">
        <v>135</v>
      </c>
      <c r="B136" s="120">
        <v>0</v>
      </c>
      <c r="C136" s="120">
        <v>0</v>
      </c>
      <c r="D136" s="120">
        <v>0</v>
      </c>
      <c r="E136" s="120">
        <v>0</v>
      </c>
      <c r="F136" s="120">
        <v>0</v>
      </c>
      <c r="G136" s="120">
        <v>0</v>
      </c>
      <c r="H136" s="120">
        <v>0</v>
      </c>
      <c r="I136" s="120">
        <v>0</v>
      </c>
      <c r="J136" s="120">
        <v>0</v>
      </c>
      <c r="K136" s="120">
        <v>0</v>
      </c>
      <c r="L136" s="120">
        <v>0</v>
      </c>
      <c r="M136" s="120">
        <v>0</v>
      </c>
      <c r="N136" s="120">
        <v>0</v>
      </c>
      <c r="O136" s="120">
        <v>0</v>
      </c>
      <c r="P136" s="120">
        <v>0</v>
      </c>
      <c r="Q136" s="120">
        <v>0</v>
      </c>
      <c r="R136" s="120">
        <v>0</v>
      </c>
      <c r="S136" s="120">
        <v>0</v>
      </c>
      <c r="T136" s="120">
        <v>0</v>
      </c>
      <c r="U136" s="120">
        <v>0</v>
      </c>
      <c r="V136" s="120">
        <v>0</v>
      </c>
      <c r="W136" s="120">
        <v>0</v>
      </c>
      <c r="X136" s="120">
        <v>0</v>
      </c>
      <c r="Y136" s="120">
        <v>0</v>
      </c>
      <c r="Z136" s="120">
        <v>0</v>
      </c>
      <c r="AA136" s="120">
        <v>0</v>
      </c>
      <c r="AB136" s="120">
        <v>0</v>
      </c>
      <c r="AC136" s="120">
        <v>0</v>
      </c>
      <c r="AD136" s="120">
        <v>0</v>
      </c>
      <c r="AE136" s="120">
        <v>0</v>
      </c>
      <c r="AF136" s="120">
        <v>0</v>
      </c>
      <c r="AG136" s="120">
        <v>0</v>
      </c>
      <c r="AH136" s="120">
        <v>0</v>
      </c>
      <c r="AI136" s="120">
        <v>0</v>
      </c>
      <c r="AJ136" s="120">
        <v>0</v>
      </c>
      <c r="AK136" s="120">
        <v>0</v>
      </c>
      <c r="AL136" s="120">
        <v>0</v>
      </c>
      <c r="AM136" s="120">
        <v>0</v>
      </c>
      <c r="AN136" s="120">
        <v>0</v>
      </c>
      <c r="AO136" s="120">
        <v>0</v>
      </c>
      <c r="AP136" s="120">
        <v>0</v>
      </c>
      <c r="AQ136" s="120">
        <v>0</v>
      </c>
      <c r="AR136" s="120">
        <v>0</v>
      </c>
      <c r="AS136" s="120">
        <v>0</v>
      </c>
      <c r="AT136" s="120">
        <v>0</v>
      </c>
      <c r="AU136" s="120">
        <v>0</v>
      </c>
      <c r="AV136" s="120">
        <v>0</v>
      </c>
      <c r="AW136" s="120">
        <v>0</v>
      </c>
      <c r="AX136" s="120">
        <v>0</v>
      </c>
      <c r="AY136" s="120">
        <v>0</v>
      </c>
      <c r="AZ136" s="120">
        <v>0</v>
      </c>
      <c r="BA136" s="120">
        <v>0</v>
      </c>
      <c r="BB136" s="120">
        <v>0</v>
      </c>
      <c r="BC136" s="120">
        <v>0</v>
      </c>
      <c r="BD136" s="120">
        <v>0</v>
      </c>
      <c r="BE136" s="120">
        <v>0</v>
      </c>
      <c r="BF136" s="120">
        <v>0</v>
      </c>
      <c r="BG136" s="120">
        <v>0</v>
      </c>
      <c r="BH136" s="120">
        <v>0</v>
      </c>
      <c r="BI136" s="120">
        <v>0</v>
      </c>
      <c r="BJ136" s="120">
        <v>0</v>
      </c>
      <c r="BK136" s="120">
        <v>0</v>
      </c>
      <c r="BL136" s="120">
        <v>0</v>
      </c>
      <c r="BM136" s="120">
        <v>0</v>
      </c>
      <c r="BN136" s="120">
        <v>0</v>
      </c>
      <c r="BO136" s="120">
        <v>0</v>
      </c>
      <c r="BP136" s="120">
        <v>0</v>
      </c>
      <c r="BQ136" s="120">
        <v>0</v>
      </c>
      <c r="BR136" s="120">
        <v>0</v>
      </c>
      <c r="BS136" s="120">
        <v>0</v>
      </c>
      <c r="BT136" s="120">
        <v>0</v>
      </c>
      <c r="BU136" s="120">
        <v>34772.495309079583</v>
      </c>
      <c r="BV136" s="120">
        <v>0</v>
      </c>
      <c r="BW136" s="120">
        <v>0</v>
      </c>
      <c r="BX136" s="120">
        <v>0</v>
      </c>
      <c r="BY136" s="120">
        <v>42706.282150311359</v>
      </c>
      <c r="BZ136" s="120">
        <v>0</v>
      </c>
      <c r="CA136" s="120">
        <v>0</v>
      </c>
      <c r="CB136" s="120">
        <v>0</v>
      </c>
      <c r="CC136" s="120">
        <v>0</v>
      </c>
      <c r="CD136" s="120">
        <v>0</v>
      </c>
      <c r="CE136" s="120">
        <v>0</v>
      </c>
      <c r="CF136" s="120">
        <v>0</v>
      </c>
      <c r="CG136" s="120">
        <v>0</v>
      </c>
      <c r="CH136" s="120">
        <v>0</v>
      </c>
      <c r="CI136" s="120">
        <v>0</v>
      </c>
      <c r="CJ136" s="120">
        <v>0</v>
      </c>
      <c r="CK136" s="120">
        <v>0</v>
      </c>
      <c r="CL136" s="120">
        <v>0</v>
      </c>
      <c r="CM136" s="120">
        <v>0</v>
      </c>
      <c r="CN136" s="120">
        <v>0</v>
      </c>
      <c r="CO136" s="120">
        <v>0</v>
      </c>
      <c r="CP136" s="120">
        <v>0</v>
      </c>
      <c r="CQ136" s="120">
        <v>0</v>
      </c>
      <c r="CR136" s="120">
        <v>0</v>
      </c>
      <c r="CS136" s="120">
        <v>0</v>
      </c>
      <c r="CT136" s="120">
        <v>0</v>
      </c>
      <c r="CU136" s="120">
        <v>0</v>
      </c>
      <c r="CV136" s="120">
        <v>0</v>
      </c>
      <c r="CW136" s="120">
        <v>0</v>
      </c>
      <c r="CX136" s="120">
        <v>0</v>
      </c>
      <c r="CY136" s="120">
        <v>0</v>
      </c>
      <c r="CZ136" s="120">
        <v>0</v>
      </c>
      <c r="DA136" s="120">
        <v>0</v>
      </c>
      <c r="DB136" s="120">
        <v>0</v>
      </c>
      <c r="DC136" s="120">
        <v>0</v>
      </c>
      <c r="DD136" s="120">
        <v>0</v>
      </c>
      <c r="DE136" s="120">
        <v>0</v>
      </c>
      <c r="DF136" s="120">
        <v>0</v>
      </c>
      <c r="DG136" s="120">
        <v>0</v>
      </c>
      <c r="DH136" s="120">
        <v>0</v>
      </c>
      <c r="DI136" s="120">
        <v>0</v>
      </c>
      <c r="DJ136" s="120">
        <v>0</v>
      </c>
      <c r="DK136" s="120">
        <v>0</v>
      </c>
      <c r="DL136" s="120">
        <v>0</v>
      </c>
      <c r="DM136" s="120">
        <v>0</v>
      </c>
      <c r="DN136" s="120">
        <v>0</v>
      </c>
      <c r="DO136" s="120">
        <v>0</v>
      </c>
      <c r="DP136" s="120">
        <v>0</v>
      </c>
      <c r="DQ136" s="120">
        <v>0</v>
      </c>
      <c r="DR136" s="120">
        <v>0</v>
      </c>
      <c r="DS136" s="120">
        <v>0</v>
      </c>
      <c r="DT136" s="120">
        <v>0</v>
      </c>
      <c r="DU136" s="120">
        <v>0</v>
      </c>
      <c r="DV136" s="120">
        <v>0</v>
      </c>
      <c r="DW136" s="120">
        <v>0</v>
      </c>
      <c r="DX136" s="120">
        <v>0</v>
      </c>
      <c r="DY136" s="120">
        <v>0</v>
      </c>
      <c r="DZ136" s="120">
        <v>0</v>
      </c>
      <c r="EA136" s="120">
        <v>0</v>
      </c>
      <c r="EB136" s="120">
        <v>0</v>
      </c>
      <c r="EC136" s="120">
        <v>0</v>
      </c>
      <c r="ED136" s="120">
        <f t="shared" si="2"/>
        <v>77478.777459390942</v>
      </c>
    </row>
    <row r="137" spans="1:134">
      <c r="A137" s="120">
        <v>136</v>
      </c>
      <c r="B137" s="120">
        <v>0</v>
      </c>
      <c r="C137" s="120">
        <v>0</v>
      </c>
      <c r="D137" s="120">
        <v>0</v>
      </c>
      <c r="E137" s="120">
        <v>0</v>
      </c>
      <c r="F137" s="120">
        <v>0</v>
      </c>
      <c r="G137" s="120">
        <v>0</v>
      </c>
      <c r="H137" s="120">
        <v>0</v>
      </c>
      <c r="I137" s="120">
        <v>0</v>
      </c>
      <c r="J137" s="120">
        <v>0</v>
      </c>
      <c r="K137" s="120">
        <v>0</v>
      </c>
      <c r="L137" s="120">
        <v>0</v>
      </c>
      <c r="M137" s="120">
        <v>0</v>
      </c>
      <c r="N137" s="120">
        <v>0</v>
      </c>
      <c r="O137" s="120">
        <v>0</v>
      </c>
      <c r="P137" s="120">
        <v>0</v>
      </c>
      <c r="Q137" s="120">
        <v>0</v>
      </c>
      <c r="R137" s="120">
        <v>0</v>
      </c>
      <c r="S137" s="120">
        <v>0</v>
      </c>
      <c r="T137" s="120">
        <v>0</v>
      </c>
      <c r="U137" s="120">
        <v>0</v>
      </c>
      <c r="V137" s="120">
        <v>0</v>
      </c>
      <c r="W137" s="120">
        <v>0</v>
      </c>
      <c r="X137" s="120">
        <v>0</v>
      </c>
      <c r="Y137" s="120">
        <v>0</v>
      </c>
      <c r="Z137" s="120">
        <v>0</v>
      </c>
      <c r="AA137" s="120">
        <v>0</v>
      </c>
      <c r="AB137" s="120">
        <v>0</v>
      </c>
      <c r="AC137" s="120">
        <v>0</v>
      </c>
      <c r="AD137" s="120">
        <v>0</v>
      </c>
      <c r="AE137" s="120">
        <v>0</v>
      </c>
      <c r="AF137" s="120">
        <v>0</v>
      </c>
      <c r="AG137" s="120">
        <v>0</v>
      </c>
      <c r="AH137" s="120">
        <v>0</v>
      </c>
      <c r="AI137" s="120">
        <v>0</v>
      </c>
      <c r="AJ137" s="120">
        <v>0</v>
      </c>
      <c r="AK137" s="120">
        <v>0</v>
      </c>
      <c r="AL137" s="120">
        <v>0</v>
      </c>
      <c r="AM137" s="120">
        <v>0</v>
      </c>
      <c r="AN137" s="120">
        <v>0</v>
      </c>
      <c r="AO137" s="120">
        <v>0</v>
      </c>
      <c r="AP137" s="120">
        <v>0</v>
      </c>
      <c r="AQ137" s="120">
        <v>0</v>
      </c>
      <c r="AR137" s="120">
        <v>0</v>
      </c>
      <c r="AS137" s="120">
        <v>0</v>
      </c>
      <c r="AT137" s="120">
        <v>0</v>
      </c>
      <c r="AU137" s="120">
        <v>0</v>
      </c>
      <c r="AV137" s="120">
        <v>0</v>
      </c>
      <c r="AW137" s="120">
        <v>0</v>
      </c>
      <c r="AX137" s="120">
        <v>0</v>
      </c>
      <c r="AY137" s="120">
        <v>0</v>
      </c>
      <c r="AZ137" s="120">
        <v>0</v>
      </c>
      <c r="BA137" s="120">
        <v>0</v>
      </c>
      <c r="BB137" s="120">
        <v>0</v>
      </c>
      <c r="BC137" s="120">
        <v>0</v>
      </c>
      <c r="BD137" s="120">
        <v>0</v>
      </c>
      <c r="BE137" s="120">
        <v>0</v>
      </c>
      <c r="BF137" s="120">
        <v>0</v>
      </c>
      <c r="BG137" s="120">
        <v>0</v>
      </c>
      <c r="BH137" s="120">
        <v>0</v>
      </c>
      <c r="BI137" s="120">
        <v>0</v>
      </c>
      <c r="BJ137" s="120">
        <v>0</v>
      </c>
      <c r="BK137" s="120">
        <v>0</v>
      </c>
      <c r="BL137" s="120">
        <v>0</v>
      </c>
      <c r="BM137" s="120">
        <v>0</v>
      </c>
      <c r="BN137" s="120">
        <v>0</v>
      </c>
      <c r="BO137" s="120">
        <v>0</v>
      </c>
      <c r="BP137" s="120">
        <v>0</v>
      </c>
      <c r="BQ137" s="120">
        <v>18535</v>
      </c>
      <c r="BR137" s="120">
        <v>0</v>
      </c>
      <c r="BS137" s="120">
        <v>0</v>
      </c>
      <c r="BT137" s="120">
        <v>0</v>
      </c>
      <c r="BU137" s="120">
        <v>57316</v>
      </c>
      <c r="BV137" s="120">
        <v>0</v>
      </c>
      <c r="BW137" s="120">
        <v>0</v>
      </c>
      <c r="BX137" s="120">
        <v>0</v>
      </c>
      <c r="BY137" s="120">
        <v>6968.1063864416737</v>
      </c>
      <c r="BZ137" s="120">
        <v>0</v>
      </c>
      <c r="CA137" s="120">
        <v>0</v>
      </c>
      <c r="CB137" s="120">
        <v>0</v>
      </c>
      <c r="CC137" s="120">
        <v>0</v>
      </c>
      <c r="CD137" s="120">
        <v>0</v>
      </c>
      <c r="CE137" s="120">
        <v>0</v>
      </c>
      <c r="CF137" s="120">
        <v>0</v>
      </c>
      <c r="CG137" s="120">
        <v>0</v>
      </c>
      <c r="CH137" s="120">
        <v>0</v>
      </c>
      <c r="CI137" s="120">
        <v>0</v>
      </c>
      <c r="CJ137" s="120">
        <v>0</v>
      </c>
      <c r="CK137" s="120">
        <v>0</v>
      </c>
      <c r="CL137" s="120">
        <v>0</v>
      </c>
      <c r="CM137" s="120">
        <v>0</v>
      </c>
      <c r="CN137" s="120">
        <v>0</v>
      </c>
      <c r="CO137" s="120">
        <v>0</v>
      </c>
      <c r="CP137" s="120">
        <v>0</v>
      </c>
      <c r="CQ137" s="120">
        <v>0</v>
      </c>
      <c r="CR137" s="120">
        <v>0</v>
      </c>
      <c r="CS137" s="120">
        <v>0</v>
      </c>
      <c r="CT137" s="120">
        <v>0</v>
      </c>
      <c r="CU137" s="120">
        <v>0</v>
      </c>
      <c r="CV137" s="120">
        <v>0</v>
      </c>
      <c r="CW137" s="120">
        <v>0</v>
      </c>
      <c r="CX137" s="120">
        <v>0</v>
      </c>
      <c r="CY137" s="120">
        <v>0</v>
      </c>
      <c r="CZ137" s="120">
        <v>0</v>
      </c>
      <c r="DA137" s="120">
        <v>0</v>
      </c>
      <c r="DB137" s="120">
        <v>0</v>
      </c>
      <c r="DC137" s="120">
        <v>0</v>
      </c>
      <c r="DD137" s="120">
        <v>0</v>
      </c>
      <c r="DE137" s="120">
        <v>0</v>
      </c>
      <c r="DF137" s="120">
        <v>0</v>
      </c>
      <c r="DG137" s="120">
        <v>0</v>
      </c>
      <c r="DH137" s="120">
        <v>0</v>
      </c>
      <c r="DI137" s="120">
        <v>0</v>
      </c>
      <c r="DJ137" s="120">
        <v>0</v>
      </c>
      <c r="DK137" s="120">
        <v>0</v>
      </c>
      <c r="DL137" s="120">
        <v>0</v>
      </c>
      <c r="DM137" s="120">
        <v>0</v>
      </c>
      <c r="DN137" s="120">
        <v>0</v>
      </c>
      <c r="DO137" s="120">
        <v>0</v>
      </c>
      <c r="DP137" s="120">
        <v>0</v>
      </c>
      <c r="DQ137" s="120">
        <v>0</v>
      </c>
      <c r="DR137" s="120">
        <v>0</v>
      </c>
      <c r="DS137" s="120">
        <v>0</v>
      </c>
      <c r="DT137" s="120">
        <v>0</v>
      </c>
      <c r="DU137" s="120">
        <v>0</v>
      </c>
      <c r="DV137" s="120">
        <v>0</v>
      </c>
      <c r="DW137" s="120">
        <v>0</v>
      </c>
      <c r="DX137" s="120">
        <v>0</v>
      </c>
      <c r="DY137" s="120">
        <v>0</v>
      </c>
      <c r="DZ137" s="120">
        <v>0</v>
      </c>
      <c r="EA137" s="120">
        <v>0</v>
      </c>
      <c r="EB137" s="120">
        <v>0</v>
      </c>
      <c r="EC137" s="120">
        <v>0</v>
      </c>
      <c r="ED137" s="120">
        <f t="shared" si="2"/>
        <v>82819.106386441679</v>
      </c>
    </row>
    <row r="138" spans="1:134">
      <c r="A138" s="120">
        <v>137</v>
      </c>
      <c r="B138" s="120">
        <v>0</v>
      </c>
      <c r="C138" s="120">
        <v>0</v>
      </c>
      <c r="D138" s="120">
        <v>0</v>
      </c>
      <c r="E138" s="120">
        <v>0</v>
      </c>
      <c r="F138" s="120">
        <v>0</v>
      </c>
      <c r="G138" s="120">
        <v>0</v>
      </c>
      <c r="H138" s="120">
        <v>0</v>
      </c>
      <c r="I138" s="120">
        <v>0</v>
      </c>
      <c r="J138" s="120">
        <v>0</v>
      </c>
      <c r="K138" s="120">
        <v>0</v>
      </c>
      <c r="L138" s="120">
        <v>0</v>
      </c>
      <c r="M138" s="120">
        <v>0</v>
      </c>
      <c r="N138" s="120">
        <v>0</v>
      </c>
      <c r="O138" s="120">
        <v>0</v>
      </c>
      <c r="P138" s="120">
        <v>0</v>
      </c>
      <c r="Q138" s="120">
        <v>0</v>
      </c>
      <c r="R138" s="120">
        <v>0</v>
      </c>
      <c r="S138" s="120">
        <v>0</v>
      </c>
      <c r="T138" s="120">
        <v>0</v>
      </c>
      <c r="U138" s="120">
        <v>0</v>
      </c>
      <c r="V138" s="120">
        <v>0</v>
      </c>
      <c r="W138" s="120">
        <v>0</v>
      </c>
      <c r="X138" s="120">
        <v>0</v>
      </c>
      <c r="Y138" s="120">
        <v>0</v>
      </c>
      <c r="Z138" s="120">
        <v>0</v>
      </c>
      <c r="AA138" s="120">
        <v>0</v>
      </c>
      <c r="AB138" s="120">
        <v>0</v>
      </c>
      <c r="AC138" s="120">
        <v>0</v>
      </c>
      <c r="AD138" s="120">
        <v>0</v>
      </c>
      <c r="AE138" s="120">
        <v>0</v>
      </c>
      <c r="AF138" s="120">
        <v>0</v>
      </c>
      <c r="AG138" s="120">
        <v>0</v>
      </c>
      <c r="AH138" s="120">
        <v>0</v>
      </c>
      <c r="AI138" s="120">
        <v>0</v>
      </c>
      <c r="AJ138" s="120">
        <v>0</v>
      </c>
      <c r="AK138" s="120">
        <v>0</v>
      </c>
      <c r="AL138" s="120">
        <v>0</v>
      </c>
      <c r="AM138" s="120">
        <v>0</v>
      </c>
      <c r="AN138" s="120">
        <v>0</v>
      </c>
      <c r="AO138" s="120">
        <v>0</v>
      </c>
      <c r="AP138" s="120">
        <v>0</v>
      </c>
      <c r="AQ138" s="120">
        <v>0</v>
      </c>
      <c r="AR138" s="120">
        <v>0</v>
      </c>
      <c r="AS138" s="120">
        <v>0</v>
      </c>
      <c r="AT138" s="120">
        <v>0</v>
      </c>
      <c r="AU138" s="120">
        <v>0</v>
      </c>
      <c r="AV138" s="120">
        <v>0</v>
      </c>
      <c r="AW138" s="120">
        <v>0</v>
      </c>
      <c r="AX138" s="120">
        <v>0</v>
      </c>
      <c r="AY138" s="120">
        <v>0</v>
      </c>
      <c r="AZ138" s="120">
        <v>36273.419031801117</v>
      </c>
      <c r="BA138" s="120">
        <v>0</v>
      </c>
      <c r="BB138" s="120">
        <v>0</v>
      </c>
      <c r="BC138" s="120">
        <v>0</v>
      </c>
      <c r="BD138" s="120">
        <v>136.49025124083511</v>
      </c>
      <c r="BE138" s="120">
        <v>0</v>
      </c>
      <c r="BF138" s="120">
        <v>0</v>
      </c>
      <c r="BG138" s="120">
        <v>0</v>
      </c>
      <c r="BH138" s="120">
        <v>0</v>
      </c>
      <c r="BI138" s="120">
        <v>0</v>
      </c>
      <c r="BJ138" s="120">
        <v>0</v>
      </c>
      <c r="BK138" s="120">
        <v>0</v>
      </c>
      <c r="BL138" s="120">
        <v>0</v>
      </c>
      <c r="BM138" s="120">
        <v>0</v>
      </c>
      <c r="BN138" s="120">
        <v>0</v>
      </c>
      <c r="BO138" s="120">
        <v>0</v>
      </c>
      <c r="BP138" s="120">
        <v>0</v>
      </c>
      <c r="BQ138" s="120">
        <v>0</v>
      </c>
      <c r="BR138" s="120">
        <v>0</v>
      </c>
      <c r="BS138" s="120">
        <v>0</v>
      </c>
      <c r="BT138" s="120">
        <v>0</v>
      </c>
      <c r="BU138" s="120">
        <v>0</v>
      </c>
      <c r="BV138" s="120">
        <v>0</v>
      </c>
      <c r="BW138" s="120">
        <v>0</v>
      </c>
      <c r="BX138" s="120">
        <v>0</v>
      </c>
      <c r="BY138" s="120">
        <v>4386.2264093890553</v>
      </c>
      <c r="BZ138" s="120">
        <v>0</v>
      </c>
      <c r="CA138" s="120">
        <v>0</v>
      </c>
      <c r="CB138" s="120">
        <v>0</v>
      </c>
      <c r="CC138" s="120">
        <v>0</v>
      </c>
      <c r="CD138" s="120">
        <v>0</v>
      </c>
      <c r="CE138" s="120">
        <v>0</v>
      </c>
      <c r="CF138" s="120">
        <v>0</v>
      </c>
      <c r="CG138" s="120">
        <v>0</v>
      </c>
      <c r="CH138" s="120">
        <v>0</v>
      </c>
      <c r="CI138" s="120">
        <v>0</v>
      </c>
      <c r="CJ138" s="120">
        <v>0</v>
      </c>
      <c r="CK138" s="120">
        <v>0</v>
      </c>
      <c r="CL138" s="120">
        <v>0</v>
      </c>
      <c r="CM138" s="120">
        <v>0</v>
      </c>
      <c r="CN138" s="120">
        <v>0</v>
      </c>
      <c r="CO138" s="120">
        <v>0</v>
      </c>
      <c r="CP138" s="120">
        <v>0</v>
      </c>
      <c r="CQ138" s="120">
        <v>0</v>
      </c>
      <c r="CR138" s="120">
        <v>0</v>
      </c>
      <c r="CS138" s="120">
        <v>0</v>
      </c>
      <c r="CT138" s="120">
        <v>0</v>
      </c>
      <c r="CU138" s="120">
        <v>0</v>
      </c>
      <c r="CV138" s="120">
        <v>0</v>
      </c>
      <c r="CW138" s="120">
        <v>0</v>
      </c>
      <c r="CX138" s="120">
        <v>0</v>
      </c>
      <c r="CY138" s="120">
        <v>0</v>
      </c>
      <c r="CZ138" s="120">
        <v>0</v>
      </c>
      <c r="DA138" s="120">
        <v>0</v>
      </c>
      <c r="DB138" s="120">
        <v>0</v>
      </c>
      <c r="DC138" s="120">
        <v>0</v>
      </c>
      <c r="DD138" s="120">
        <v>0</v>
      </c>
      <c r="DE138" s="120">
        <v>0</v>
      </c>
      <c r="DF138" s="120">
        <v>0</v>
      </c>
      <c r="DG138" s="120">
        <v>0</v>
      </c>
      <c r="DH138" s="120">
        <v>8609.0989840877519</v>
      </c>
      <c r="DI138" s="120">
        <v>0</v>
      </c>
      <c r="DJ138" s="120">
        <v>0</v>
      </c>
      <c r="DK138" s="120">
        <v>0</v>
      </c>
      <c r="DL138" s="120">
        <v>0</v>
      </c>
      <c r="DM138" s="120">
        <v>0</v>
      </c>
      <c r="DN138" s="120">
        <v>0</v>
      </c>
      <c r="DO138" s="120">
        <v>0</v>
      </c>
      <c r="DP138" s="120">
        <v>347.6933261589835</v>
      </c>
      <c r="DQ138" s="120">
        <v>0</v>
      </c>
      <c r="DR138" s="120">
        <v>-609.60494114559719</v>
      </c>
      <c r="DS138" s="120">
        <v>0</v>
      </c>
      <c r="DT138" s="120">
        <v>0</v>
      </c>
      <c r="DU138" s="120">
        <v>0</v>
      </c>
      <c r="DV138" s="120">
        <v>0</v>
      </c>
      <c r="DW138" s="120">
        <v>0</v>
      </c>
      <c r="DX138" s="120">
        <v>0</v>
      </c>
      <c r="DY138" s="120">
        <v>0</v>
      </c>
      <c r="DZ138" s="120">
        <v>0</v>
      </c>
      <c r="EA138" s="120">
        <v>0</v>
      </c>
      <c r="EB138" s="120">
        <v>0</v>
      </c>
      <c r="EC138" s="120">
        <v>0</v>
      </c>
      <c r="ED138" s="120">
        <f t="shared" si="2"/>
        <v>49143.323061532144</v>
      </c>
    </row>
    <row r="139" spans="1:134">
      <c r="A139" s="120">
        <v>138</v>
      </c>
      <c r="B139" s="120">
        <v>0</v>
      </c>
      <c r="C139" s="120">
        <v>0</v>
      </c>
      <c r="D139" s="120">
        <v>0</v>
      </c>
      <c r="E139" s="120">
        <v>0</v>
      </c>
      <c r="F139" s="120">
        <v>0</v>
      </c>
      <c r="G139" s="120">
        <v>0</v>
      </c>
      <c r="H139" s="120">
        <v>0</v>
      </c>
      <c r="I139" s="120">
        <v>0</v>
      </c>
      <c r="J139" s="120">
        <v>0</v>
      </c>
      <c r="K139" s="120">
        <v>0</v>
      </c>
      <c r="L139" s="120">
        <v>0</v>
      </c>
      <c r="M139" s="120">
        <v>0</v>
      </c>
      <c r="N139" s="120">
        <v>0</v>
      </c>
      <c r="O139" s="120">
        <v>0</v>
      </c>
      <c r="P139" s="120">
        <v>0</v>
      </c>
      <c r="Q139" s="120">
        <v>0</v>
      </c>
      <c r="R139" s="120">
        <v>0</v>
      </c>
      <c r="S139" s="120">
        <v>0</v>
      </c>
      <c r="T139" s="120">
        <v>0</v>
      </c>
      <c r="U139" s="120">
        <v>0</v>
      </c>
      <c r="V139" s="120">
        <v>0</v>
      </c>
      <c r="W139" s="120">
        <v>0</v>
      </c>
      <c r="X139" s="120">
        <v>0</v>
      </c>
      <c r="Y139" s="120">
        <v>0</v>
      </c>
      <c r="Z139" s="120">
        <v>0</v>
      </c>
      <c r="AA139" s="120">
        <v>0</v>
      </c>
      <c r="AB139" s="120">
        <v>0</v>
      </c>
      <c r="AC139" s="120">
        <v>0</v>
      </c>
      <c r="AD139" s="120">
        <v>0</v>
      </c>
      <c r="AE139" s="120">
        <v>0</v>
      </c>
      <c r="AF139" s="120">
        <v>0</v>
      </c>
      <c r="AG139" s="120">
        <v>0</v>
      </c>
      <c r="AH139" s="120">
        <v>0</v>
      </c>
      <c r="AI139" s="120">
        <v>0</v>
      </c>
      <c r="AJ139" s="120">
        <v>0</v>
      </c>
      <c r="AK139" s="120">
        <v>0</v>
      </c>
      <c r="AL139" s="120">
        <v>0</v>
      </c>
      <c r="AM139" s="120">
        <v>0</v>
      </c>
      <c r="AN139" s="120">
        <v>0</v>
      </c>
      <c r="AO139" s="120">
        <v>0</v>
      </c>
      <c r="AP139" s="120">
        <v>0</v>
      </c>
      <c r="AQ139" s="120">
        <v>0</v>
      </c>
      <c r="AR139" s="120">
        <v>0</v>
      </c>
      <c r="AS139" s="120">
        <v>0</v>
      </c>
      <c r="AT139" s="120">
        <v>0</v>
      </c>
      <c r="AU139" s="120">
        <v>0</v>
      </c>
      <c r="AV139" s="120">
        <v>0</v>
      </c>
      <c r="AW139" s="120">
        <v>0</v>
      </c>
      <c r="AX139" s="120">
        <v>0</v>
      </c>
      <c r="AY139" s="120">
        <v>0</v>
      </c>
      <c r="AZ139" s="120">
        <v>21681.58343230496</v>
      </c>
      <c r="BA139" s="120">
        <v>0</v>
      </c>
      <c r="BB139" s="120">
        <v>4966.7966597756149</v>
      </c>
      <c r="BC139" s="120">
        <v>0</v>
      </c>
      <c r="BD139" s="120">
        <v>213.58196721945501</v>
      </c>
      <c r="BE139" s="120">
        <v>0</v>
      </c>
      <c r="BF139" s="120">
        <v>0</v>
      </c>
      <c r="BG139" s="120">
        <v>0</v>
      </c>
      <c r="BH139" s="120">
        <v>0</v>
      </c>
      <c r="BI139" s="120">
        <v>0</v>
      </c>
      <c r="BJ139" s="120">
        <v>0</v>
      </c>
      <c r="BK139" s="120">
        <v>0</v>
      </c>
      <c r="BL139" s="120">
        <v>0</v>
      </c>
      <c r="BM139" s="120">
        <v>0</v>
      </c>
      <c r="BN139" s="120">
        <v>0</v>
      </c>
      <c r="BO139" s="120">
        <v>0</v>
      </c>
      <c r="BP139" s="120">
        <v>0</v>
      </c>
      <c r="BQ139" s="120">
        <v>0</v>
      </c>
      <c r="BR139" s="120">
        <v>0</v>
      </c>
      <c r="BS139" s="120">
        <v>0</v>
      </c>
      <c r="BT139" s="120">
        <v>0</v>
      </c>
      <c r="BU139" s="120">
        <v>0</v>
      </c>
      <c r="BV139" s="120">
        <v>0</v>
      </c>
      <c r="BW139" s="120">
        <v>0</v>
      </c>
      <c r="BX139" s="120">
        <v>0</v>
      </c>
      <c r="BY139" s="120">
        <v>0</v>
      </c>
      <c r="BZ139" s="120">
        <v>0</v>
      </c>
      <c r="CA139" s="120">
        <v>0</v>
      </c>
      <c r="CB139" s="120">
        <v>0</v>
      </c>
      <c r="CC139" s="120">
        <v>0</v>
      </c>
      <c r="CD139" s="120">
        <v>0</v>
      </c>
      <c r="CE139" s="120">
        <v>0</v>
      </c>
      <c r="CF139" s="120">
        <v>0</v>
      </c>
      <c r="CG139" s="120">
        <v>0</v>
      </c>
      <c r="CH139" s="120">
        <v>0</v>
      </c>
      <c r="CI139" s="120">
        <v>0</v>
      </c>
      <c r="CJ139" s="120">
        <v>0</v>
      </c>
      <c r="CK139" s="120">
        <v>0</v>
      </c>
      <c r="CL139" s="120">
        <v>0</v>
      </c>
      <c r="CM139" s="120">
        <v>0</v>
      </c>
      <c r="CN139" s="120">
        <v>0</v>
      </c>
      <c r="CO139" s="120">
        <v>0</v>
      </c>
      <c r="CP139" s="120">
        <v>0</v>
      </c>
      <c r="CQ139" s="120">
        <v>0</v>
      </c>
      <c r="CR139" s="120">
        <v>0</v>
      </c>
      <c r="CS139" s="120">
        <v>0</v>
      </c>
      <c r="CT139" s="120">
        <v>0</v>
      </c>
      <c r="CU139" s="120">
        <v>0</v>
      </c>
      <c r="CV139" s="120">
        <v>0</v>
      </c>
      <c r="CW139" s="120">
        <v>0</v>
      </c>
      <c r="CX139" s="120">
        <v>0</v>
      </c>
      <c r="CY139" s="120">
        <v>0</v>
      </c>
      <c r="CZ139" s="120">
        <v>0</v>
      </c>
      <c r="DA139" s="120">
        <v>0</v>
      </c>
      <c r="DB139" s="120">
        <v>0</v>
      </c>
      <c r="DC139" s="120">
        <v>0</v>
      </c>
      <c r="DD139" s="120">
        <v>0</v>
      </c>
      <c r="DE139" s="120">
        <v>0</v>
      </c>
      <c r="DF139" s="120">
        <v>0</v>
      </c>
      <c r="DG139" s="120">
        <v>0</v>
      </c>
      <c r="DH139" s="120">
        <v>0</v>
      </c>
      <c r="DI139" s="120">
        <v>0</v>
      </c>
      <c r="DJ139" s="120">
        <v>0</v>
      </c>
      <c r="DK139" s="120">
        <v>0</v>
      </c>
      <c r="DL139" s="120">
        <v>0</v>
      </c>
      <c r="DM139" s="120">
        <v>0</v>
      </c>
      <c r="DN139" s="120">
        <v>0</v>
      </c>
      <c r="DO139" s="120">
        <v>0</v>
      </c>
      <c r="DP139" s="120">
        <v>294.58742907994582</v>
      </c>
      <c r="DQ139" s="120">
        <v>0</v>
      </c>
      <c r="DR139" s="120">
        <v>-770.47291172568521</v>
      </c>
      <c r="DS139" s="120">
        <v>0</v>
      </c>
      <c r="DT139" s="120">
        <v>0</v>
      </c>
      <c r="DU139" s="120">
        <v>0</v>
      </c>
      <c r="DV139" s="120">
        <v>0</v>
      </c>
      <c r="DW139" s="120">
        <v>0</v>
      </c>
      <c r="DX139" s="120">
        <v>0</v>
      </c>
      <c r="DY139" s="120">
        <v>0</v>
      </c>
      <c r="DZ139" s="120">
        <v>0</v>
      </c>
      <c r="EA139" s="120">
        <v>0</v>
      </c>
      <c r="EB139" s="120">
        <v>0</v>
      </c>
      <c r="EC139" s="120">
        <v>0</v>
      </c>
      <c r="ED139" s="120">
        <f t="shared" si="2"/>
        <v>26386.07657665429</v>
      </c>
    </row>
    <row r="140" spans="1:134">
      <c r="A140" s="120">
        <v>139</v>
      </c>
      <c r="B140" s="120">
        <v>0</v>
      </c>
      <c r="C140" s="120">
        <v>0</v>
      </c>
      <c r="D140" s="120">
        <v>0</v>
      </c>
      <c r="E140" s="120">
        <v>0</v>
      </c>
      <c r="F140" s="120">
        <v>0</v>
      </c>
      <c r="G140" s="120">
        <v>0</v>
      </c>
      <c r="H140" s="120">
        <v>0</v>
      </c>
      <c r="I140" s="120">
        <v>0</v>
      </c>
      <c r="J140" s="120">
        <v>0</v>
      </c>
      <c r="K140" s="120">
        <v>0</v>
      </c>
      <c r="L140" s="120">
        <v>0</v>
      </c>
      <c r="M140" s="120">
        <v>0</v>
      </c>
      <c r="N140" s="120">
        <v>0</v>
      </c>
      <c r="O140" s="120">
        <v>0</v>
      </c>
      <c r="P140" s="120">
        <v>0</v>
      </c>
      <c r="Q140" s="120">
        <v>0</v>
      </c>
      <c r="R140" s="120">
        <v>0</v>
      </c>
      <c r="S140" s="120">
        <v>0</v>
      </c>
      <c r="T140" s="120">
        <v>0</v>
      </c>
      <c r="U140" s="120">
        <v>0</v>
      </c>
      <c r="V140" s="120">
        <v>0</v>
      </c>
      <c r="W140" s="120">
        <v>0</v>
      </c>
      <c r="X140" s="120">
        <v>0</v>
      </c>
      <c r="Y140" s="120">
        <v>0</v>
      </c>
      <c r="Z140" s="120">
        <v>0</v>
      </c>
      <c r="AA140" s="120">
        <v>0</v>
      </c>
      <c r="AB140" s="120">
        <v>0</v>
      </c>
      <c r="AC140" s="120">
        <v>0</v>
      </c>
      <c r="AD140" s="120">
        <v>0</v>
      </c>
      <c r="AE140" s="120">
        <v>0</v>
      </c>
      <c r="AF140" s="120">
        <v>0</v>
      </c>
      <c r="AG140" s="120">
        <v>0</v>
      </c>
      <c r="AH140" s="120">
        <v>0</v>
      </c>
      <c r="AI140" s="120">
        <v>0</v>
      </c>
      <c r="AJ140" s="120">
        <v>0</v>
      </c>
      <c r="AK140" s="120">
        <v>0</v>
      </c>
      <c r="AL140" s="120">
        <v>0</v>
      </c>
      <c r="AM140" s="120">
        <v>0</v>
      </c>
      <c r="AN140" s="120">
        <v>0</v>
      </c>
      <c r="AO140" s="120">
        <v>0</v>
      </c>
      <c r="AP140" s="120">
        <v>0</v>
      </c>
      <c r="AQ140" s="120">
        <v>0</v>
      </c>
      <c r="AR140" s="120">
        <v>0</v>
      </c>
      <c r="AS140" s="120">
        <v>0</v>
      </c>
      <c r="AT140" s="120">
        <v>0</v>
      </c>
      <c r="AU140" s="120">
        <v>0</v>
      </c>
      <c r="AV140" s="120">
        <v>0</v>
      </c>
      <c r="AW140" s="120">
        <v>0</v>
      </c>
      <c r="AX140" s="120">
        <v>0</v>
      </c>
      <c r="AY140" s="120">
        <v>0</v>
      </c>
      <c r="AZ140" s="120">
        <v>9898.6574429875418</v>
      </c>
      <c r="BA140" s="120">
        <v>0</v>
      </c>
      <c r="BB140" s="120">
        <v>0</v>
      </c>
      <c r="BC140" s="120">
        <v>0</v>
      </c>
      <c r="BD140" s="120">
        <v>547.22480358594089</v>
      </c>
      <c r="BE140" s="120">
        <v>0</v>
      </c>
      <c r="BF140" s="120">
        <v>0</v>
      </c>
      <c r="BG140" s="120">
        <v>0</v>
      </c>
      <c r="BH140" s="120">
        <v>0</v>
      </c>
      <c r="BI140" s="120">
        <v>0</v>
      </c>
      <c r="BJ140" s="120">
        <v>0</v>
      </c>
      <c r="BK140" s="120">
        <v>0</v>
      </c>
      <c r="BL140" s="120">
        <v>0</v>
      </c>
      <c r="BM140" s="120">
        <v>0</v>
      </c>
      <c r="BN140" s="120">
        <v>0</v>
      </c>
      <c r="BO140" s="120">
        <v>0</v>
      </c>
      <c r="BP140" s="120">
        <v>0</v>
      </c>
      <c r="BQ140" s="120">
        <v>0</v>
      </c>
      <c r="BR140" s="120">
        <v>0</v>
      </c>
      <c r="BS140" s="120">
        <v>0</v>
      </c>
      <c r="BT140" s="120">
        <v>0</v>
      </c>
      <c r="BU140" s="120">
        <v>0</v>
      </c>
      <c r="BV140" s="120">
        <v>0</v>
      </c>
      <c r="BW140" s="120">
        <v>0</v>
      </c>
      <c r="BX140" s="120">
        <v>0</v>
      </c>
      <c r="BY140" s="120">
        <v>3812.896641591527</v>
      </c>
      <c r="BZ140" s="120">
        <v>0</v>
      </c>
      <c r="CA140" s="120">
        <v>0</v>
      </c>
      <c r="CB140" s="120">
        <v>0</v>
      </c>
      <c r="CC140" s="120">
        <v>0</v>
      </c>
      <c r="CD140" s="120">
        <v>0</v>
      </c>
      <c r="CE140" s="120">
        <v>0</v>
      </c>
      <c r="CF140" s="120">
        <v>0</v>
      </c>
      <c r="CG140" s="120">
        <v>0</v>
      </c>
      <c r="CH140" s="120">
        <v>0</v>
      </c>
      <c r="CI140" s="120">
        <v>0</v>
      </c>
      <c r="CJ140" s="120">
        <v>0</v>
      </c>
      <c r="CK140" s="120">
        <v>0</v>
      </c>
      <c r="CL140" s="120">
        <v>0</v>
      </c>
      <c r="CM140" s="120">
        <v>0</v>
      </c>
      <c r="CN140" s="120">
        <v>0</v>
      </c>
      <c r="CO140" s="120">
        <v>0</v>
      </c>
      <c r="CP140" s="120">
        <v>0</v>
      </c>
      <c r="CQ140" s="120">
        <v>0</v>
      </c>
      <c r="CR140" s="120">
        <v>0</v>
      </c>
      <c r="CS140" s="120">
        <v>0</v>
      </c>
      <c r="CT140" s="120">
        <v>0</v>
      </c>
      <c r="CU140" s="120">
        <v>0</v>
      </c>
      <c r="CV140" s="120">
        <v>0</v>
      </c>
      <c r="CW140" s="120">
        <v>0</v>
      </c>
      <c r="CX140" s="120">
        <v>0</v>
      </c>
      <c r="CY140" s="120">
        <v>0</v>
      </c>
      <c r="CZ140" s="120">
        <v>0</v>
      </c>
      <c r="DA140" s="120">
        <v>0</v>
      </c>
      <c r="DB140" s="120">
        <v>0</v>
      </c>
      <c r="DC140" s="120">
        <v>0</v>
      </c>
      <c r="DD140" s="120">
        <v>0</v>
      </c>
      <c r="DE140" s="120">
        <v>0</v>
      </c>
      <c r="DF140" s="120">
        <v>0</v>
      </c>
      <c r="DG140" s="120">
        <v>0</v>
      </c>
      <c r="DH140" s="120">
        <v>0</v>
      </c>
      <c r="DI140" s="120">
        <v>0</v>
      </c>
      <c r="DJ140" s="120">
        <v>0</v>
      </c>
      <c r="DK140" s="120">
        <v>0</v>
      </c>
      <c r="DL140" s="120">
        <v>0</v>
      </c>
      <c r="DM140" s="120">
        <v>0</v>
      </c>
      <c r="DN140" s="120">
        <v>0</v>
      </c>
      <c r="DO140" s="120">
        <v>0</v>
      </c>
      <c r="DP140" s="120">
        <v>534.06496496466355</v>
      </c>
      <c r="DQ140" s="120">
        <v>0</v>
      </c>
      <c r="DR140" s="120">
        <v>-488.24840193605701</v>
      </c>
      <c r="DS140" s="120">
        <v>0</v>
      </c>
      <c r="DT140" s="120">
        <v>0</v>
      </c>
      <c r="DU140" s="120">
        <v>0</v>
      </c>
      <c r="DV140" s="120">
        <v>0</v>
      </c>
      <c r="DW140" s="120">
        <v>0</v>
      </c>
      <c r="DX140" s="120">
        <v>0</v>
      </c>
      <c r="DY140" s="120">
        <v>0</v>
      </c>
      <c r="DZ140" s="120">
        <v>0</v>
      </c>
      <c r="EA140" s="120">
        <v>0</v>
      </c>
      <c r="EB140" s="120">
        <v>0</v>
      </c>
      <c r="EC140" s="120">
        <v>0</v>
      </c>
      <c r="ED140" s="120">
        <f t="shared" si="2"/>
        <v>14304.595451193618</v>
      </c>
    </row>
    <row r="141" spans="1:134">
      <c r="A141" s="120">
        <v>140</v>
      </c>
      <c r="B141" s="120">
        <v>0</v>
      </c>
      <c r="C141" s="120">
        <v>0</v>
      </c>
      <c r="D141" s="120">
        <v>0</v>
      </c>
      <c r="E141" s="120">
        <v>0</v>
      </c>
      <c r="F141" s="120">
        <v>0</v>
      </c>
      <c r="G141" s="120">
        <v>0</v>
      </c>
      <c r="H141" s="120">
        <v>0</v>
      </c>
      <c r="I141" s="120">
        <v>0</v>
      </c>
      <c r="J141" s="120">
        <v>0</v>
      </c>
      <c r="K141" s="120">
        <v>0</v>
      </c>
      <c r="L141" s="120">
        <v>0</v>
      </c>
      <c r="M141" s="120">
        <v>0</v>
      </c>
      <c r="N141" s="120">
        <v>0</v>
      </c>
      <c r="O141" s="120">
        <v>0</v>
      </c>
      <c r="P141" s="120">
        <v>0</v>
      </c>
      <c r="Q141" s="120">
        <v>0</v>
      </c>
      <c r="R141" s="120">
        <v>0</v>
      </c>
      <c r="S141" s="120">
        <v>0</v>
      </c>
      <c r="T141" s="120">
        <v>0</v>
      </c>
      <c r="U141" s="120">
        <v>0</v>
      </c>
      <c r="V141" s="120">
        <v>0</v>
      </c>
      <c r="W141" s="120">
        <v>0</v>
      </c>
      <c r="X141" s="120">
        <v>0</v>
      </c>
      <c r="Y141" s="120">
        <v>0</v>
      </c>
      <c r="Z141" s="120">
        <v>0</v>
      </c>
      <c r="AA141" s="120">
        <v>0</v>
      </c>
      <c r="AB141" s="120">
        <v>0</v>
      </c>
      <c r="AC141" s="120">
        <v>0</v>
      </c>
      <c r="AD141" s="120">
        <v>0</v>
      </c>
      <c r="AE141" s="120">
        <v>0</v>
      </c>
      <c r="AF141" s="120">
        <v>0</v>
      </c>
      <c r="AG141" s="120">
        <v>0</v>
      </c>
      <c r="AH141" s="120">
        <v>0</v>
      </c>
      <c r="AI141" s="120">
        <v>0</v>
      </c>
      <c r="AJ141" s="120">
        <v>0</v>
      </c>
      <c r="AK141" s="120">
        <v>0</v>
      </c>
      <c r="AL141" s="120">
        <v>0</v>
      </c>
      <c r="AM141" s="120">
        <v>0</v>
      </c>
      <c r="AN141" s="120">
        <v>0</v>
      </c>
      <c r="AO141" s="120">
        <v>0</v>
      </c>
      <c r="AP141" s="120">
        <v>0</v>
      </c>
      <c r="AQ141" s="120">
        <v>0</v>
      </c>
      <c r="AR141" s="120">
        <v>0</v>
      </c>
      <c r="AS141" s="120">
        <v>0</v>
      </c>
      <c r="AT141" s="120">
        <v>0</v>
      </c>
      <c r="AU141" s="120">
        <v>0</v>
      </c>
      <c r="AV141" s="120">
        <v>0</v>
      </c>
      <c r="AW141" s="120">
        <v>0</v>
      </c>
      <c r="AX141" s="120">
        <v>0</v>
      </c>
      <c r="AY141" s="120">
        <v>0</v>
      </c>
      <c r="AZ141" s="120">
        <v>589.77105694144416</v>
      </c>
      <c r="BA141" s="120">
        <v>0</v>
      </c>
      <c r="BB141" s="120">
        <v>0</v>
      </c>
      <c r="BC141" s="120">
        <v>0</v>
      </c>
      <c r="BD141" s="120">
        <v>0</v>
      </c>
      <c r="BE141" s="120">
        <v>0</v>
      </c>
      <c r="BF141" s="120">
        <v>0</v>
      </c>
      <c r="BG141" s="120">
        <v>0</v>
      </c>
      <c r="BH141" s="120">
        <v>0</v>
      </c>
      <c r="BI141" s="120">
        <v>0</v>
      </c>
      <c r="BJ141" s="120">
        <v>0</v>
      </c>
      <c r="BK141" s="120">
        <v>0</v>
      </c>
      <c r="BL141" s="120">
        <v>0</v>
      </c>
      <c r="BM141" s="120">
        <v>0</v>
      </c>
      <c r="BN141" s="120">
        <v>0</v>
      </c>
      <c r="BO141" s="120">
        <v>0</v>
      </c>
      <c r="BP141" s="120">
        <v>0</v>
      </c>
      <c r="BQ141" s="120">
        <v>0</v>
      </c>
      <c r="BR141" s="120">
        <v>0</v>
      </c>
      <c r="BS141" s="120">
        <v>0</v>
      </c>
      <c r="BT141" s="120">
        <v>0</v>
      </c>
      <c r="BU141" s="120">
        <v>0</v>
      </c>
      <c r="BV141" s="120">
        <v>0</v>
      </c>
      <c r="BW141" s="120">
        <v>0</v>
      </c>
      <c r="BX141" s="120">
        <v>0</v>
      </c>
      <c r="BY141" s="120">
        <v>0</v>
      </c>
      <c r="BZ141" s="120">
        <v>0</v>
      </c>
      <c r="CA141" s="120">
        <v>0</v>
      </c>
      <c r="CB141" s="120">
        <v>0</v>
      </c>
      <c r="CC141" s="120">
        <v>0</v>
      </c>
      <c r="CD141" s="120">
        <v>0</v>
      </c>
      <c r="CE141" s="120">
        <v>0</v>
      </c>
      <c r="CF141" s="120">
        <v>0</v>
      </c>
      <c r="CG141" s="120">
        <v>0</v>
      </c>
      <c r="CH141" s="120">
        <v>0</v>
      </c>
      <c r="CI141" s="120">
        <v>0</v>
      </c>
      <c r="CJ141" s="120">
        <v>0</v>
      </c>
      <c r="CK141" s="120">
        <v>0</v>
      </c>
      <c r="CL141" s="120">
        <v>0</v>
      </c>
      <c r="CM141" s="120">
        <v>0</v>
      </c>
      <c r="CN141" s="120">
        <v>0</v>
      </c>
      <c r="CO141" s="120">
        <v>0</v>
      </c>
      <c r="CP141" s="120">
        <v>0</v>
      </c>
      <c r="CQ141" s="120">
        <v>0</v>
      </c>
      <c r="CR141" s="120">
        <v>0</v>
      </c>
      <c r="CS141" s="120">
        <v>0</v>
      </c>
      <c r="CT141" s="120">
        <v>0</v>
      </c>
      <c r="CU141" s="120">
        <v>0</v>
      </c>
      <c r="CV141" s="120">
        <v>0</v>
      </c>
      <c r="CW141" s="120">
        <v>0</v>
      </c>
      <c r="CX141" s="120">
        <v>0</v>
      </c>
      <c r="CY141" s="120">
        <v>0</v>
      </c>
      <c r="CZ141" s="120">
        <v>0</v>
      </c>
      <c r="DA141" s="120">
        <v>0</v>
      </c>
      <c r="DB141" s="120">
        <v>0</v>
      </c>
      <c r="DC141" s="120">
        <v>0</v>
      </c>
      <c r="DD141" s="120">
        <v>0</v>
      </c>
      <c r="DE141" s="120">
        <v>0</v>
      </c>
      <c r="DF141" s="120">
        <v>0</v>
      </c>
      <c r="DG141" s="120">
        <v>0</v>
      </c>
      <c r="DH141" s="120">
        <v>1179.573454327988</v>
      </c>
      <c r="DI141" s="120">
        <v>0</v>
      </c>
      <c r="DJ141" s="120">
        <v>0</v>
      </c>
      <c r="DK141" s="120">
        <v>0</v>
      </c>
      <c r="DL141" s="120">
        <v>0</v>
      </c>
      <c r="DM141" s="120">
        <v>0</v>
      </c>
      <c r="DN141" s="120">
        <v>0</v>
      </c>
      <c r="DO141" s="120">
        <v>0</v>
      </c>
      <c r="DP141" s="120">
        <v>371.74127955326497</v>
      </c>
      <c r="DQ141" s="120">
        <v>0</v>
      </c>
      <c r="DR141" s="120">
        <v>0</v>
      </c>
      <c r="DS141" s="120">
        <v>0</v>
      </c>
      <c r="DT141" s="120">
        <v>0</v>
      </c>
      <c r="DU141" s="120">
        <v>0</v>
      </c>
      <c r="DV141" s="120">
        <v>0</v>
      </c>
      <c r="DW141" s="120">
        <v>0</v>
      </c>
      <c r="DX141" s="120">
        <v>0</v>
      </c>
      <c r="DY141" s="120">
        <v>0</v>
      </c>
      <c r="DZ141" s="120">
        <v>0</v>
      </c>
      <c r="EA141" s="120">
        <v>0</v>
      </c>
      <c r="EB141" s="120">
        <v>0</v>
      </c>
      <c r="EC141" s="120">
        <v>0</v>
      </c>
      <c r="ED141" s="120">
        <f t="shared" si="2"/>
        <v>2141.0857908226972</v>
      </c>
    </row>
    <row r="142" spans="1:134">
      <c r="A142" s="120">
        <v>141</v>
      </c>
      <c r="B142" s="120">
        <v>0</v>
      </c>
      <c r="C142" s="120">
        <v>0</v>
      </c>
      <c r="D142" s="120">
        <v>0</v>
      </c>
      <c r="E142" s="120">
        <v>0</v>
      </c>
      <c r="F142" s="120">
        <v>0</v>
      </c>
      <c r="G142" s="120">
        <v>0</v>
      </c>
      <c r="H142" s="120">
        <v>0</v>
      </c>
      <c r="I142" s="120">
        <v>0</v>
      </c>
      <c r="J142" s="120">
        <v>0</v>
      </c>
      <c r="K142" s="120">
        <v>0</v>
      </c>
      <c r="L142" s="120">
        <v>0</v>
      </c>
      <c r="M142" s="120">
        <v>0</v>
      </c>
      <c r="N142" s="120">
        <v>0</v>
      </c>
      <c r="O142" s="120">
        <v>0</v>
      </c>
      <c r="P142" s="120">
        <v>0</v>
      </c>
      <c r="Q142" s="120">
        <v>0</v>
      </c>
      <c r="R142" s="120">
        <v>0</v>
      </c>
      <c r="S142" s="120">
        <v>0</v>
      </c>
      <c r="T142" s="120">
        <v>0</v>
      </c>
      <c r="U142" s="120">
        <v>0</v>
      </c>
      <c r="V142" s="120">
        <v>0</v>
      </c>
      <c r="W142" s="120">
        <v>0</v>
      </c>
      <c r="X142" s="120">
        <v>0</v>
      </c>
      <c r="Y142" s="120">
        <v>0</v>
      </c>
      <c r="Z142" s="120">
        <v>0</v>
      </c>
      <c r="AA142" s="120">
        <v>0</v>
      </c>
      <c r="AB142" s="120">
        <v>0</v>
      </c>
      <c r="AC142" s="120">
        <v>0</v>
      </c>
      <c r="AD142" s="120">
        <v>0</v>
      </c>
      <c r="AE142" s="120">
        <v>0</v>
      </c>
      <c r="AF142" s="120">
        <v>0</v>
      </c>
      <c r="AG142" s="120">
        <v>0</v>
      </c>
      <c r="AH142" s="120">
        <v>0</v>
      </c>
      <c r="AI142" s="120">
        <v>0</v>
      </c>
      <c r="AJ142" s="120">
        <v>0</v>
      </c>
      <c r="AK142" s="120">
        <v>0</v>
      </c>
      <c r="AL142" s="120">
        <v>0</v>
      </c>
      <c r="AM142" s="120">
        <v>0</v>
      </c>
      <c r="AN142" s="120">
        <v>0</v>
      </c>
      <c r="AO142" s="120">
        <v>0</v>
      </c>
      <c r="AP142" s="120">
        <v>0</v>
      </c>
      <c r="AQ142" s="120">
        <v>0</v>
      </c>
      <c r="AR142" s="120">
        <v>0</v>
      </c>
      <c r="AS142" s="120">
        <v>0</v>
      </c>
      <c r="AT142" s="120">
        <v>0</v>
      </c>
      <c r="AU142" s="120">
        <v>0</v>
      </c>
      <c r="AV142" s="120">
        <v>0</v>
      </c>
      <c r="AW142" s="120">
        <v>0</v>
      </c>
      <c r="AX142" s="120">
        <v>0</v>
      </c>
      <c r="AY142" s="120">
        <v>0</v>
      </c>
      <c r="AZ142" s="120">
        <v>13287.341990498549</v>
      </c>
      <c r="BA142" s="120">
        <v>0</v>
      </c>
      <c r="BB142" s="120">
        <v>0</v>
      </c>
      <c r="BC142" s="120">
        <v>0</v>
      </c>
      <c r="BD142" s="120">
        <v>0</v>
      </c>
      <c r="BE142" s="120">
        <v>0</v>
      </c>
      <c r="BF142" s="120">
        <v>0</v>
      </c>
      <c r="BG142" s="120">
        <v>0</v>
      </c>
      <c r="BH142" s="120">
        <v>0</v>
      </c>
      <c r="BI142" s="120">
        <v>0</v>
      </c>
      <c r="BJ142" s="120">
        <v>0</v>
      </c>
      <c r="BK142" s="120">
        <v>0</v>
      </c>
      <c r="BL142" s="120">
        <v>0</v>
      </c>
      <c r="BM142" s="120">
        <v>0</v>
      </c>
      <c r="BN142" s="120">
        <v>0</v>
      </c>
      <c r="BO142" s="120">
        <v>0</v>
      </c>
      <c r="BP142" s="120">
        <v>0</v>
      </c>
      <c r="BQ142" s="120">
        <v>0</v>
      </c>
      <c r="BR142" s="120">
        <v>0</v>
      </c>
      <c r="BS142" s="120">
        <v>0</v>
      </c>
      <c r="BT142" s="120">
        <v>0</v>
      </c>
      <c r="BU142" s="120">
        <v>0</v>
      </c>
      <c r="BV142" s="120">
        <v>0</v>
      </c>
      <c r="BW142" s="120">
        <v>0</v>
      </c>
      <c r="BX142" s="120">
        <v>0</v>
      </c>
      <c r="BY142" s="120">
        <v>13433.92825385757</v>
      </c>
      <c r="BZ142" s="120">
        <v>0</v>
      </c>
      <c r="CA142" s="120">
        <v>0</v>
      </c>
      <c r="CB142" s="120">
        <v>0</v>
      </c>
      <c r="CC142" s="120">
        <v>0</v>
      </c>
      <c r="CD142" s="120">
        <v>0</v>
      </c>
      <c r="CE142" s="120">
        <v>0</v>
      </c>
      <c r="CF142" s="120">
        <v>0</v>
      </c>
      <c r="CG142" s="120">
        <v>0</v>
      </c>
      <c r="CH142" s="120">
        <v>0</v>
      </c>
      <c r="CI142" s="120">
        <v>0</v>
      </c>
      <c r="CJ142" s="120">
        <v>0</v>
      </c>
      <c r="CK142" s="120">
        <v>0</v>
      </c>
      <c r="CL142" s="120">
        <v>0</v>
      </c>
      <c r="CM142" s="120">
        <v>0</v>
      </c>
      <c r="CN142" s="120">
        <v>0</v>
      </c>
      <c r="CO142" s="120">
        <v>0</v>
      </c>
      <c r="CP142" s="120">
        <v>0</v>
      </c>
      <c r="CQ142" s="120">
        <v>0</v>
      </c>
      <c r="CR142" s="120">
        <v>0</v>
      </c>
      <c r="CS142" s="120">
        <v>0</v>
      </c>
      <c r="CT142" s="120">
        <v>0</v>
      </c>
      <c r="CU142" s="120">
        <v>0</v>
      </c>
      <c r="CV142" s="120">
        <v>0</v>
      </c>
      <c r="CW142" s="120">
        <v>0</v>
      </c>
      <c r="CX142" s="120">
        <v>0</v>
      </c>
      <c r="CY142" s="120">
        <v>0</v>
      </c>
      <c r="CZ142" s="120">
        <v>0</v>
      </c>
      <c r="DA142" s="120">
        <v>0</v>
      </c>
      <c r="DB142" s="120">
        <v>0</v>
      </c>
      <c r="DC142" s="120">
        <v>0</v>
      </c>
      <c r="DD142" s="120">
        <v>0</v>
      </c>
      <c r="DE142" s="120">
        <v>0</v>
      </c>
      <c r="DF142" s="120">
        <v>0</v>
      </c>
      <c r="DG142" s="120">
        <v>0</v>
      </c>
      <c r="DH142" s="120">
        <v>0</v>
      </c>
      <c r="DI142" s="120">
        <v>0</v>
      </c>
      <c r="DJ142" s="120">
        <v>0</v>
      </c>
      <c r="DK142" s="120">
        <v>0</v>
      </c>
      <c r="DL142" s="120">
        <v>0</v>
      </c>
      <c r="DM142" s="120">
        <v>0</v>
      </c>
      <c r="DN142" s="120">
        <v>0</v>
      </c>
      <c r="DO142" s="120">
        <v>0</v>
      </c>
      <c r="DP142" s="120">
        <v>1.001998058095054</v>
      </c>
      <c r="DQ142" s="120">
        <v>0</v>
      </c>
      <c r="DR142" s="120">
        <v>0</v>
      </c>
      <c r="DS142" s="120">
        <v>0</v>
      </c>
      <c r="DT142" s="120">
        <v>0</v>
      </c>
      <c r="DU142" s="120">
        <v>0</v>
      </c>
      <c r="DV142" s="120">
        <v>0</v>
      </c>
      <c r="DW142" s="120">
        <v>0</v>
      </c>
      <c r="DX142" s="120">
        <v>0</v>
      </c>
      <c r="DY142" s="120">
        <v>0</v>
      </c>
      <c r="DZ142" s="120">
        <v>0</v>
      </c>
      <c r="EA142" s="120">
        <v>0</v>
      </c>
      <c r="EB142" s="120">
        <v>0</v>
      </c>
      <c r="EC142" s="120">
        <v>0</v>
      </c>
      <c r="ED142" s="120">
        <f t="shared" si="2"/>
        <v>26722.272242414216</v>
      </c>
    </row>
    <row r="143" spans="1:134">
      <c r="A143" s="120">
        <v>142</v>
      </c>
      <c r="B143" s="120">
        <v>0</v>
      </c>
      <c r="C143" s="120">
        <v>0</v>
      </c>
      <c r="D143" s="120">
        <v>0</v>
      </c>
      <c r="E143" s="120">
        <v>0</v>
      </c>
      <c r="F143" s="120">
        <v>0</v>
      </c>
      <c r="G143" s="120">
        <v>0</v>
      </c>
      <c r="H143" s="120">
        <v>0</v>
      </c>
      <c r="I143" s="120">
        <v>0</v>
      </c>
      <c r="J143" s="120">
        <v>0</v>
      </c>
      <c r="K143" s="120">
        <v>0</v>
      </c>
      <c r="L143" s="120">
        <v>0</v>
      </c>
      <c r="M143" s="120">
        <v>0</v>
      </c>
      <c r="N143" s="120">
        <v>0</v>
      </c>
      <c r="O143" s="120">
        <v>0</v>
      </c>
      <c r="P143" s="120">
        <v>0</v>
      </c>
      <c r="Q143" s="120">
        <v>0</v>
      </c>
      <c r="R143" s="120">
        <v>0</v>
      </c>
      <c r="S143" s="120">
        <v>0</v>
      </c>
      <c r="T143" s="120">
        <v>0</v>
      </c>
      <c r="U143" s="120">
        <v>0</v>
      </c>
      <c r="V143" s="120">
        <v>0</v>
      </c>
      <c r="W143" s="120">
        <v>0</v>
      </c>
      <c r="X143" s="120">
        <v>0</v>
      </c>
      <c r="Y143" s="120">
        <v>0</v>
      </c>
      <c r="Z143" s="120">
        <v>0</v>
      </c>
      <c r="AA143" s="120">
        <v>0</v>
      </c>
      <c r="AB143" s="120">
        <v>0</v>
      </c>
      <c r="AC143" s="120">
        <v>0</v>
      </c>
      <c r="AD143" s="120">
        <v>0</v>
      </c>
      <c r="AE143" s="120">
        <v>0</v>
      </c>
      <c r="AF143" s="120">
        <v>0</v>
      </c>
      <c r="AG143" s="120">
        <v>0</v>
      </c>
      <c r="AH143" s="120">
        <v>0</v>
      </c>
      <c r="AI143" s="120">
        <v>0</v>
      </c>
      <c r="AJ143" s="120">
        <v>0</v>
      </c>
      <c r="AK143" s="120">
        <v>0</v>
      </c>
      <c r="AL143" s="120">
        <v>0</v>
      </c>
      <c r="AM143" s="120">
        <v>0</v>
      </c>
      <c r="AN143" s="120">
        <v>0</v>
      </c>
      <c r="AO143" s="120">
        <v>0</v>
      </c>
      <c r="AP143" s="120">
        <v>0</v>
      </c>
      <c r="AQ143" s="120">
        <v>0</v>
      </c>
      <c r="AR143" s="120">
        <v>0</v>
      </c>
      <c r="AS143" s="120">
        <v>0</v>
      </c>
      <c r="AT143" s="120">
        <v>0</v>
      </c>
      <c r="AU143" s="120">
        <v>0</v>
      </c>
      <c r="AV143" s="120">
        <v>0</v>
      </c>
      <c r="AW143" s="120">
        <v>0</v>
      </c>
      <c r="AX143" s="120">
        <v>0</v>
      </c>
      <c r="AY143" s="120">
        <v>0</v>
      </c>
      <c r="AZ143" s="120">
        <v>22948.589580021799</v>
      </c>
      <c r="BA143" s="120">
        <v>0</v>
      </c>
      <c r="BB143" s="120">
        <v>0</v>
      </c>
      <c r="BC143" s="120">
        <v>0</v>
      </c>
      <c r="BD143" s="120">
        <v>0</v>
      </c>
      <c r="BE143" s="120">
        <v>0</v>
      </c>
      <c r="BF143" s="120">
        <v>0</v>
      </c>
      <c r="BG143" s="120">
        <v>0</v>
      </c>
      <c r="BH143" s="120">
        <v>0</v>
      </c>
      <c r="BI143" s="120">
        <v>0</v>
      </c>
      <c r="BJ143" s="120">
        <v>0</v>
      </c>
      <c r="BK143" s="120">
        <v>0</v>
      </c>
      <c r="BL143" s="120">
        <v>0</v>
      </c>
      <c r="BM143" s="120">
        <v>0</v>
      </c>
      <c r="BN143" s="120">
        <v>0</v>
      </c>
      <c r="BO143" s="120">
        <v>0</v>
      </c>
      <c r="BP143" s="120">
        <v>0</v>
      </c>
      <c r="BQ143" s="120">
        <v>0</v>
      </c>
      <c r="BR143" s="120">
        <v>0</v>
      </c>
      <c r="BS143" s="120">
        <v>0</v>
      </c>
      <c r="BT143" s="120">
        <v>0</v>
      </c>
      <c r="BU143" s="120">
        <v>0</v>
      </c>
      <c r="BV143" s="120">
        <v>0</v>
      </c>
      <c r="BW143" s="120">
        <v>0</v>
      </c>
      <c r="BX143" s="120">
        <v>0</v>
      </c>
      <c r="BY143" s="120">
        <v>0</v>
      </c>
      <c r="BZ143" s="120">
        <v>0</v>
      </c>
      <c r="CA143" s="120">
        <v>0</v>
      </c>
      <c r="CB143" s="120">
        <v>0</v>
      </c>
      <c r="CC143" s="120">
        <v>0</v>
      </c>
      <c r="CD143" s="120">
        <v>0</v>
      </c>
      <c r="CE143" s="120">
        <v>0</v>
      </c>
      <c r="CF143" s="120">
        <v>0</v>
      </c>
      <c r="CG143" s="120">
        <v>0</v>
      </c>
      <c r="CH143" s="120">
        <v>0</v>
      </c>
      <c r="CI143" s="120">
        <v>0</v>
      </c>
      <c r="CJ143" s="120">
        <v>0</v>
      </c>
      <c r="CK143" s="120">
        <v>0</v>
      </c>
      <c r="CL143" s="120">
        <v>0</v>
      </c>
      <c r="CM143" s="120">
        <v>0</v>
      </c>
      <c r="CN143" s="120">
        <v>0</v>
      </c>
      <c r="CO143" s="120">
        <v>0</v>
      </c>
      <c r="CP143" s="120">
        <v>0</v>
      </c>
      <c r="CQ143" s="120">
        <v>0</v>
      </c>
      <c r="CR143" s="120">
        <v>0</v>
      </c>
      <c r="CS143" s="120">
        <v>0</v>
      </c>
      <c r="CT143" s="120">
        <v>0</v>
      </c>
      <c r="CU143" s="120">
        <v>0</v>
      </c>
      <c r="CV143" s="120">
        <v>0</v>
      </c>
      <c r="CW143" s="120">
        <v>0</v>
      </c>
      <c r="CX143" s="120">
        <v>0</v>
      </c>
      <c r="CY143" s="120">
        <v>0</v>
      </c>
      <c r="CZ143" s="120">
        <v>0</v>
      </c>
      <c r="DA143" s="120">
        <v>0</v>
      </c>
      <c r="DB143" s="120">
        <v>0</v>
      </c>
      <c r="DC143" s="120">
        <v>0</v>
      </c>
      <c r="DD143" s="120">
        <v>0</v>
      </c>
      <c r="DE143" s="120">
        <v>0</v>
      </c>
      <c r="DF143" s="120">
        <v>0</v>
      </c>
      <c r="DG143" s="120">
        <v>0</v>
      </c>
      <c r="DH143" s="120">
        <v>0</v>
      </c>
      <c r="DI143" s="120">
        <v>0</v>
      </c>
      <c r="DJ143" s="120">
        <v>0</v>
      </c>
      <c r="DK143" s="120">
        <v>0</v>
      </c>
      <c r="DL143" s="120">
        <v>0</v>
      </c>
      <c r="DM143" s="120">
        <v>0</v>
      </c>
      <c r="DN143" s="120">
        <v>0</v>
      </c>
      <c r="DO143" s="120">
        <v>0</v>
      </c>
      <c r="DP143" s="120">
        <v>18.598536319542109</v>
      </c>
      <c r="DQ143" s="120">
        <v>0</v>
      </c>
      <c r="DR143" s="120">
        <v>-9.941317181432801</v>
      </c>
      <c r="DS143" s="120">
        <v>0</v>
      </c>
      <c r="DT143" s="120">
        <v>0</v>
      </c>
      <c r="DU143" s="120">
        <v>0</v>
      </c>
      <c r="DV143" s="120">
        <v>0</v>
      </c>
      <c r="DW143" s="120">
        <v>0</v>
      </c>
      <c r="DX143" s="120">
        <v>0</v>
      </c>
      <c r="DY143" s="120">
        <v>0</v>
      </c>
      <c r="DZ143" s="120">
        <v>0</v>
      </c>
      <c r="EA143" s="120">
        <v>0</v>
      </c>
      <c r="EB143" s="120">
        <v>0</v>
      </c>
      <c r="EC143" s="120">
        <v>0</v>
      </c>
      <c r="ED143" s="120">
        <f t="shared" si="2"/>
        <v>22957.246799159908</v>
      </c>
    </row>
    <row r="144" spans="1:134">
      <c r="A144" s="120">
        <v>143</v>
      </c>
      <c r="B144" s="120">
        <v>0</v>
      </c>
      <c r="C144" s="120">
        <v>0</v>
      </c>
      <c r="D144" s="120">
        <v>0</v>
      </c>
      <c r="E144" s="120">
        <v>0</v>
      </c>
      <c r="F144" s="120">
        <v>0</v>
      </c>
      <c r="G144" s="120">
        <v>0</v>
      </c>
      <c r="H144" s="120">
        <v>0</v>
      </c>
      <c r="I144" s="120">
        <v>0</v>
      </c>
      <c r="J144" s="120">
        <v>0</v>
      </c>
      <c r="K144" s="120">
        <v>0</v>
      </c>
      <c r="L144" s="120">
        <v>0</v>
      </c>
      <c r="M144" s="120">
        <v>0</v>
      </c>
      <c r="N144" s="120">
        <v>0</v>
      </c>
      <c r="O144" s="120">
        <v>0</v>
      </c>
      <c r="P144" s="120">
        <v>0</v>
      </c>
      <c r="Q144" s="120">
        <v>0</v>
      </c>
      <c r="R144" s="120">
        <v>0</v>
      </c>
      <c r="S144" s="120">
        <v>0</v>
      </c>
      <c r="T144" s="120">
        <v>0</v>
      </c>
      <c r="U144" s="120">
        <v>0</v>
      </c>
      <c r="V144" s="120">
        <v>0</v>
      </c>
      <c r="W144" s="120">
        <v>0</v>
      </c>
      <c r="X144" s="120">
        <v>0</v>
      </c>
      <c r="Y144" s="120">
        <v>0</v>
      </c>
      <c r="Z144" s="120">
        <v>0</v>
      </c>
      <c r="AA144" s="120">
        <v>0</v>
      </c>
      <c r="AB144" s="120">
        <v>0</v>
      </c>
      <c r="AC144" s="120">
        <v>0</v>
      </c>
      <c r="AD144" s="120">
        <v>0</v>
      </c>
      <c r="AE144" s="120">
        <v>0</v>
      </c>
      <c r="AF144" s="120">
        <v>0</v>
      </c>
      <c r="AG144" s="120">
        <v>0</v>
      </c>
      <c r="AH144" s="120">
        <v>0</v>
      </c>
      <c r="AI144" s="120">
        <v>0</v>
      </c>
      <c r="AJ144" s="120">
        <v>0</v>
      </c>
      <c r="AK144" s="120">
        <v>0</v>
      </c>
      <c r="AL144" s="120">
        <v>0</v>
      </c>
      <c r="AM144" s="120">
        <v>0</v>
      </c>
      <c r="AN144" s="120">
        <v>0</v>
      </c>
      <c r="AO144" s="120">
        <v>0</v>
      </c>
      <c r="AP144" s="120">
        <v>0</v>
      </c>
      <c r="AQ144" s="120">
        <v>0</v>
      </c>
      <c r="AR144" s="120">
        <v>0</v>
      </c>
      <c r="AS144" s="120">
        <v>0</v>
      </c>
      <c r="AT144" s="120">
        <v>0</v>
      </c>
      <c r="AU144" s="120">
        <v>0</v>
      </c>
      <c r="AV144" s="120">
        <v>0</v>
      </c>
      <c r="AW144" s="120">
        <v>0</v>
      </c>
      <c r="AX144" s="120">
        <v>0</v>
      </c>
      <c r="AY144" s="120">
        <v>0</v>
      </c>
      <c r="AZ144" s="120">
        <v>0</v>
      </c>
      <c r="BA144" s="120">
        <v>0</v>
      </c>
      <c r="BB144" s="120">
        <v>143952.49729390719</v>
      </c>
      <c r="BC144" s="120">
        <v>0</v>
      </c>
      <c r="BD144" s="120">
        <v>0</v>
      </c>
      <c r="BE144" s="120">
        <v>0</v>
      </c>
      <c r="BF144" s="120">
        <v>0</v>
      </c>
      <c r="BG144" s="120">
        <v>0</v>
      </c>
      <c r="BH144" s="120">
        <v>0</v>
      </c>
      <c r="BI144" s="120">
        <v>0</v>
      </c>
      <c r="BJ144" s="120">
        <v>0</v>
      </c>
      <c r="BK144" s="120">
        <v>0</v>
      </c>
      <c r="BL144" s="120">
        <v>0</v>
      </c>
      <c r="BM144" s="120">
        <v>0</v>
      </c>
      <c r="BN144" s="120">
        <v>0</v>
      </c>
      <c r="BO144" s="120">
        <v>0</v>
      </c>
      <c r="BP144" s="120">
        <v>0</v>
      </c>
      <c r="BQ144" s="120">
        <v>0</v>
      </c>
      <c r="BR144" s="120">
        <v>0</v>
      </c>
      <c r="BS144" s="120">
        <v>0</v>
      </c>
      <c r="BT144" s="120">
        <v>0</v>
      </c>
      <c r="BU144" s="120">
        <v>0</v>
      </c>
      <c r="BV144" s="120">
        <v>0</v>
      </c>
      <c r="BW144" s="120">
        <v>0</v>
      </c>
      <c r="BX144" s="120">
        <v>0</v>
      </c>
      <c r="BY144" s="120">
        <v>0</v>
      </c>
      <c r="BZ144" s="120">
        <v>0</v>
      </c>
      <c r="CA144" s="120">
        <v>0</v>
      </c>
      <c r="CB144" s="120">
        <v>0</v>
      </c>
      <c r="CC144" s="120">
        <v>0</v>
      </c>
      <c r="CD144" s="120">
        <v>0</v>
      </c>
      <c r="CE144" s="120">
        <v>0</v>
      </c>
      <c r="CF144" s="120">
        <v>0</v>
      </c>
      <c r="CG144" s="120">
        <v>0</v>
      </c>
      <c r="CH144" s="120">
        <v>0</v>
      </c>
      <c r="CI144" s="120">
        <v>0</v>
      </c>
      <c r="CJ144" s="120">
        <v>0</v>
      </c>
      <c r="CK144" s="120">
        <v>0</v>
      </c>
      <c r="CL144" s="120">
        <v>0</v>
      </c>
      <c r="CM144" s="120">
        <v>0</v>
      </c>
      <c r="CN144" s="120">
        <v>0</v>
      </c>
      <c r="CO144" s="120">
        <v>0</v>
      </c>
      <c r="CP144" s="120">
        <v>0</v>
      </c>
      <c r="CQ144" s="120">
        <v>0</v>
      </c>
      <c r="CR144" s="120">
        <v>0</v>
      </c>
      <c r="CS144" s="120">
        <v>0</v>
      </c>
      <c r="CT144" s="120">
        <v>0</v>
      </c>
      <c r="CU144" s="120">
        <v>0</v>
      </c>
      <c r="CV144" s="120">
        <v>0</v>
      </c>
      <c r="CW144" s="120">
        <v>0</v>
      </c>
      <c r="CX144" s="120">
        <v>0</v>
      </c>
      <c r="CY144" s="120">
        <v>0</v>
      </c>
      <c r="CZ144" s="120">
        <v>0</v>
      </c>
      <c r="DA144" s="120">
        <v>0</v>
      </c>
      <c r="DB144" s="120">
        <v>0</v>
      </c>
      <c r="DC144" s="120">
        <v>0</v>
      </c>
      <c r="DD144" s="120">
        <v>0</v>
      </c>
      <c r="DE144" s="120">
        <v>0</v>
      </c>
      <c r="DF144" s="120">
        <v>0</v>
      </c>
      <c r="DG144" s="120">
        <v>0</v>
      </c>
      <c r="DH144" s="120">
        <v>0</v>
      </c>
      <c r="DI144" s="120">
        <v>0</v>
      </c>
      <c r="DJ144" s="120">
        <v>0</v>
      </c>
      <c r="DK144" s="120">
        <v>0</v>
      </c>
      <c r="DL144" s="120">
        <v>0</v>
      </c>
      <c r="DM144" s="120">
        <v>0</v>
      </c>
      <c r="DN144" s="120">
        <v>0</v>
      </c>
      <c r="DO144" s="120">
        <v>0</v>
      </c>
      <c r="DP144" s="120">
        <v>18.598536319542109</v>
      </c>
      <c r="DQ144" s="120">
        <v>0</v>
      </c>
      <c r="DR144" s="120">
        <v>-9.941317181432801</v>
      </c>
      <c r="DS144" s="120">
        <v>0</v>
      </c>
      <c r="DT144" s="120">
        <v>0</v>
      </c>
      <c r="DU144" s="120">
        <v>0</v>
      </c>
      <c r="DV144" s="120">
        <v>0</v>
      </c>
      <c r="DW144" s="120">
        <v>0</v>
      </c>
      <c r="DX144" s="120">
        <v>0</v>
      </c>
      <c r="DY144" s="120">
        <v>0</v>
      </c>
      <c r="DZ144" s="120">
        <v>0</v>
      </c>
      <c r="EA144" s="120">
        <v>0</v>
      </c>
      <c r="EB144" s="120">
        <v>0</v>
      </c>
      <c r="EC144" s="120">
        <v>0</v>
      </c>
      <c r="ED144" s="120">
        <f t="shared" si="2"/>
        <v>143961.1545130453</v>
      </c>
    </row>
    <row r="145" spans="1:134">
      <c r="A145" s="120">
        <v>144</v>
      </c>
      <c r="B145" s="120">
        <v>0</v>
      </c>
      <c r="C145" s="120">
        <v>0</v>
      </c>
      <c r="D145" s="120">
        <v>0</v>
      </c>
      <c r="E145" s="120">
        <v>0</v>
      </c>
      <c r="F145" s="120">
        <v>0</v>
      </c>
      <c r="G145" s="120">
        <v>0</v>
      </c>
      <c r="H145" s="120">
        <v>0</v>
      </c>
      <c r="I145" s="120">
        <v>0</v>
      </c>
      <c r="J145" s="120">
        <v>0</v>
      </c>
      <c r="K145" s="120">
        <v>0</v>
      </c>
      <c r="L145" s="120">
        <v>0</v>
      </c>
      <c r="M145" s="120">
        <v>0</v>
      </c>
      <c r="N145" s="120">
        <v>0</v>
      </c>
      <c r="O145" s="120">
        <v>0</v>
      </c>
      <c r="P145" s="120">
        <v>0</v>
      </c>
      <c r="Q145" s="120">
        <v>0</v>
      </c>
      <c r="R145" s="120">
        <v>0</v>
      </c>
      <c r="S145" s="120">
        <v>0</v>
      </c>
      <c r="T145" s="120">
        <v>0</v>
      </c>
      <c r="U145" s="120">
        <v>0</v>
      </c>
      <c r="V145" s="120">
        <v>0</v>
      </c>
      <c r="W145" s="120">
        <v>0</v>
      </c>
      <c r="X145" s="120">
        <v>0</v>
      </c>
      <c r="Y145" s="120">
        <v>0</v>
      </c>
      <c r="Z145" s="120">
        <v>0</v>
      </c>
      <c r="AA145" s="120">
        <v>0</v>
      </c>
      <c r="AB145" s="120">
        <v>0</v>
      </c>
      <c r="AC145" s="120">
        <v>0</v>
      </c>
      <c r="AD145" s="120">
        <v>0</v>
      </c>
      <c r="AE145" s="120">
        <v>0</v>
      </c>
      <c r="AF145" s="120">
        <v>0</v>
      </c>
      <c r="AG145" s="120">
        <v>0</v>
      </c>
      <c r="AH145" s="120">
        <v>0</v>
      </c>
      <c r="AI145" s="120">
        <v>0</v>
      </c>
      <c r="AJ145" s="120">
        <v>0</v>
      </c>
      <c r="AK145" s="120">
        <v>0</v>
      </c>
      <c r="AL145" s="120">
        <v>0</v>
      </c>
      <c r="AM145" s="120">
        <v>0</v>
      </c>
      <c r="AN145" s="120">
        <v>0</v>
      </c>
      <c r="AO145" s="120">
        <v>0</v>
      </c>
      <c r="AP145" s="120">
        <v>0</v>
      </c>
      <c r="AQ145" s="120">
        <v>0</v>
      </c>
      <c r="AR145" s="120">
        <v>0</v>
      </c>
      <c r="AS145" s="120">
        <v>0</v>
      </c>
      <c r="AT145" s="120">
        <v>0</v>
      </c>
      <c r="AU145" s="120">
        <v>0</v>
      </c>
      <c r="AV145" s="120">
        <v>0</v>
      </c>
      <c r="AW145" s="120">
        <v>0</v>
      </c>
      <c r="AX145" s="120">
        <v>0</v>
      </c>
      <c r="AY145" s="120">
        <v>0</v>
      </c>
      <c r="AZ145" s="120">
        <v>95779.779966703209</v>
      </c>
      <c r="BA145" s="120">
        <v>0</v>
      </c>
      <c r="BB145" s="120">
        <v>0</v>
      </c>
      <c r="BC145" s="120">
        <v>0</v>
      </c>
      <c r="BD145" s="120">
        <v>0</v>
      </c>
      <c r="BE145" s="120">
        <v>0</v>
      </c>
      <c r="BF145" s="120">
        <v>0</v>
      </c>
      <c r="BG145" s="120">
        <v>0</v>
      </c>
      <c r="BH145" s="120">
        <v>0</v>
      </c>
      <c r="BI145" s="120">
        <v>0</v>
      </c>
      <c r="BJ145" s="120">
        <v>0</v>
      </c>
      <c r="BK145" s="120">
        <v>0</v>
      </c>
      <c r="BL145" s="120">
        <v>0</v>
      </c>
      <c r="BM145" s="120">
        <v>0</v>
      </c>
      <c r="BN145" s="120">
        <v>0</v>
      </c>
      <c r="BO145" s="120">
        <v>0</v>
      </c>
      <c r="BP145" s="120">
        <v>0</v>
      </c>
      <c r="BQ145" s="120">
        <v>0</v>
      </c>
      <c r="BR145" s="120">
        <v>0</v>
      </c>
      <c r="BS145" s="120">
        <v>0</v>
      </c>
      <c r="BT145" s="120">
        <v>0</v>
      </c>
      <c r="BU145" s="120">
        <v>0</v>
      </c>
      <c r="BV145" s="120">
        <v>0</v>
      </c>
      <c r="BW145" s="120">
        <v>0</v>
      </c>
      <c r="BX145" s="120">
        <v>0</v>
      </c>
      <c r="BY145" s="120">
        <v>8698.741500947157</v>
      </c>
      <c r="BZ145" s="120">
        <v>0</v>
      </c>
      <c r="CA145" s="120">
        <v>0</v>
      </c>
      <c r="CB145" s="120">
        <v>0</v>
      </c>
      <c r="CC145" s="120">
        <v>0</v>
      </c>
      <c r="CD145" s="120">
        <v>0</v>
      </c>
      <c r="CE145" s="120">
        <v>0</v>
      </c>
      <c r="CF145" s="120">
        <v>0</v>
      </c>
      <c r="CG145" s="120">
        <v>0</v>
      </c>
      <c r="CH145" s="120">
        <v>0</v>
      </c>
      <c r="CI145" s="120">
        <v>0</v>
      </c>
      <c r="CJ145" s="120">
        <v>0</v>
      </c>
      <c r="CK145" s="120">
        <v>0</v>
      </c>
      <c r="CL145" s="120">
        <v>0</v>
      </c>
      <c r="CM145" s="120">
        <v>0</v>
      </c>
      <c r="CN145" s="120">
        <v>0</v>
      </c>
      <c r="CO145" s="120">
        <v>0</v>
      </c>
      <c r="CP145" s="120">
        <v>0</v>
      </c>
      <c r="CQ145" s="120">
        <v>0</v>
      </c>
      <c r="CR145" s="120">
        <v>0</v>
      </c>
      <c r="CS145" s="120">
        <v>0</v>
      </c>
      <c r="CT145" s="120">
        <v>0</v>
      </c>
      <c r="CU145" s="120">
        <v>0</v>
      </c>
      <c r="CV145" s="120">
        <v>0</v>
      </c>
      <c r="CW145" s="120">
        <v>0</v>
      </c>
      <c r="CX145" s="120">
        <v>0</v>
      </c>
      <c r="CY145" s="120">
        <v>0</v>
      </c>
      <c r="CZ145" s="120">
        <v>0</v>
      </c>
      <c r="DA145" s="120">
        <v>0</v>
      </c>
      <c r="DB145" s="120">
        <v>0</v>
      </c>
      <c r="DC145" s="120">
        <v>0</v>
      </c>
      <c r="DD145" s="120">
        <v>0</v>
      </c>
      <c r="DE145" s="120">
        <v>0</v>
      </c>
      <c r="DF145" s="120">
        <v>0</v>
      </c>
      <c r="DG145" s="120">
        <v>0</v>
      </c>
      <c r="DH145" s="120">
        <v>0</v>
      </c>
      <c r="DI145" s="120">
        <v>0</v>
      </c>
      <c r="DJ145" s="120">
        <v>0</v>
      </c>
      <c r="DK145" s="120">
        <v>0</v>
      </c>
      <c r="DL145" s="120">
        <v>0</v>
      </c>
      <c r="DM145" s="120">
        <v>0</v>
      </c>
      <c r="DN145" s="120">
        <v>0</v>
      </c>
      <c r="DO145" s="120">
        <v>0</v>
      </c>
      <c r="DP145" s="120">
        <v>18.598536319542109</v>
      </c>
      <c r="DQ145" s="120">
        <v>0</v>
      </c>
      <c r="DR145" s="120">
        <v>-9.941317181432801</v>
      </c>
      <c r="DS145" s="120">
        <v>0</v>
      </c>
      <c r="DT145" s="120">
        <v>0</v>
      </c>
      <c r="DU145" s="120">
        <v>0</v>
      </c>
      <c r="DV145" s="120">
        <v>0</v>
      </c>
      <c r="DW145" s="120">
        <v>0</v>
      </c>
      <c r="DX145" s="120">
        <v>0</v>
      </c>
      <c r="DY145" s="120">
        <v>0</v>
      </c>
      <c r="DZ145" s="120">
        <v>0</v>
      </c>
      <c r="EA145" s="120">
        <v>0</v>
      </c>
      <c r="EB145" s="120">
        <v>0</v>
      </c>
      <c r="EC145" s="120">
        <v>0</v>
      </c>
      <c r="ED145" s="120">
        <f t="shared" si="2"/>
        <v>104487.17868678847</v>
      </c>
    </row>
    <row r="146" spans="1:134">
      <c r="A146" s="120">
        <v>145</v>
      </c>
      <c r="B146" s="120">
        <v>0</v>
      </c>
      <c r="C146" s="120">
        <v>0</v>
      </c>
      <c r="D146" s="120">
        <v>0</v>
      </c>
      <c r="E146" s="120">
        <v>0</v>
      </c>
      <c r="F146" s="120">
        <v>0</v>
      </c>
      <c r="G146" s="120">
        <v>0</v>
      </c>
      <c r="H146" s="120">
        <v>0</v>
      </c>
      <c r="I146" s="120">
        <v>0</v>
      </c>
      <c r="J146" s="120">
        <v>0</v>
      </c>
      <c r="K146" s="120">
        <v>0</v>
      </c>
      <c r="L146" s="120">
        <v>0</v>
      </c>
      <c r="M146" s="120">
        <v>0</v>
      </c>
      <c r="N146" s="120">
        <v>0</v>
      </c>
      <c r="O146" s="120">
        <v>0</v>
      </c>
      <c r="P146" s="120">
        <v>0</v>
      </c>
      <c r="Q146" s="120">
        <v>0</v>
      </c>
      <c r="R146" s="120">
        <v>0</v>
      </c>
      <c r="S146" s="120">
        <v>0</v>
      </c>
      <c r="T146" s="120">
        <v>0</v>
      </c>
      <c r="U146" s="120">
        <v>0</v>
      </c>
      <c r="V146" s="120">
        <v>0</v>
      </c>
      <c r="W146" s="120">
        <v>0</v>
      </c>
      <c r="X146" s="120">
        <v>0</v>
      </c>
      <c r="Y146" s="120">
        <v>0</v>
      </c>
      <c r="Z146" s="120">
        <v>0</v>
      </c>
      <c r="AA146" s="120">
        <v>0</v>
      </c>
      <c r="AB146" s="120">
        <v>0</v>
      </c>
      <c r="AC146" s="120">
        <v>0</v>
      </c>
      <c r="AD146" s="120">
        <v>0</v>
      </c>
      <c r="AE146" s="120">
        <v>0</v>
      </c>
      <c r="AF146" s="120">
        <v>0</v>
      </c>
      <c r="AG146" s="120">
        <v>0</v>
      </c>
      <c r="AH146" s="120">
        <v>0</v>
      </c>
      <c r="AI146" s="120">
        <v>0</v>
      </c>
      <c r="AJ146" s="120">
        <v>0</v>
      </c>
      <c r="AK146" s="120">
        <v>0</v>
      </c>
      <c r="AL146" s="120">
        <v>3102</v>
      </c>
      <c r="AM146" s="120">
        <v>0</v>
      </c>
      <c r="AN146" s="120">
        <v>0</v>
      </c>
      <c r="AO146" s="120">
        <v>0</v>
      </c>
      <c r="AP146" s="120">
        <v>0</v>
      </c>
      <c r="AQ146" s="120">
        <v>0</v>
      </c>
      <c r="AR146" s="120">
        <v>0</v>
      </c>
      <c r="AS146" s="120">
        <v>0</v>
      </c>
      <c r="AT146" s="120">
        <v>0</v>
      </c>
      <c r="AU146" s="120">
        <v>0</v>
      </c>
      <c r="AV146" s="120">
        <v>0</v>
      </c>
      <c r="AW146" s="120">
        <v>0</v>
      </c>
      <c r="AX146" s="120">
        <v>0</v>
      </c>
      <c r="AY146" s="120">
        <v>0</v>
      </c>
      <c r="AZ146" s="120">
        <v>10599.887644740729</v>
      </c>
      <c r="BA146" s="120">
        <v>0</v>
      </c>
      <c r="BB146" s="120">
        <v>0</v>
      </c>
      <c r="BC146" s="120">
        <v>0</v>
      </c>
      <c r="BD146" s="120">
        <v>0</v>
      </c>
      <c r="BE146" s="120">
        <v>0</v>
      </c>
      <c r="BF146" s="120">
        <v>194772</v>
      </c>
      <c r="BG146" s="120">
        <v>0</v>
      </c>
      <c r="BH146" s="120">
        <v>0</v>
      </c>
      <c r="BI146" s="120">
        <v>0</v>
      </c>
      <c r="BJ146" s="120">
        <v>0</v>
      </c>
      <c r="BK146" s="120">
        <v>0</v>
      </c>
      <c r="BL146" s="120">
        <v>0</v>
      </c>
      <c r="BM146" s="120">
        <v>66.549035997792814</v>
      </c>
      <c r="BN146" s="120">
        <v>0</v>
      </c>
      <c r="BO146" s="120">
        <v>0</v>
      </c>
      <c r="BP146" s="120">
        <v>0</v>
      </c>
      <c r="BQ146" s="120">
        <v>0</v>
      </c>
      <c r="BR146" s="120">
        <v>0</v>
      </c>
      <c r="BS146" s="120">
        <v>0</v>
      </c>
      <c r="BT146" s="120">
        <v>0</v>
      </c>
      <c r="BU146" s="120">
        <v>0</v>
      </c>
      <c r="BV146" s="120">
        <v>0</v>
      </c>
      <c r="BW146" s="120">
        <v>0</v>
      </c>
      <c r="BX146" s="120">
        <v>0</v>
      </c>
      <c r="BY146" s="120">
        <v>0</v>
      </c>
      <c r="BZ146" s="120">
        <v>0</v>
      </c>
      <c r="CA146" s="120">
        <v>0</v>
      </c>
      <c r="CB146" s="120">
        <v>0</v>
      </c>
      <c r="CC146" s="120">
        <v>0</v>
      </c>
      <c r="CD146" s="120">
        <v>0</v>
      </c>
      <c r="CE146" s="120">
        <v>0</v>
      </c>
      <c r="CF146" s="120">
        <v>0</v>
      </c>
      <c r="CG146" s="120">
        <v>0</v>
      </c>
      <c r="CH146" s="120">
        <v>0</v>
      </c>
      <c r="CI146" s="120">
        <v>0</v>
      </c>
      <c r="CJ146" s="120">
        <v>0</v>
      </c>
      <c r="CK146" s="120">
        <v>0</v>
      </c>
      <c r="CL146" s="120">
        <v>0</v>
      </c>
      <c r="CM146" s="120">
        <v>0</v>
      </c>
      <c r="CN146" s="120">
        <v>0</v>
      </c>
      <c r="CO146" s="120">
        <v>0</v>
      </c>
      <c r="CP146" s="120">
        <v>0</v>
      </c>
      <c r="CQ146" s="120">
        <v>0</v>
      </c>
      <c r="CR146" s="120">
        <v>0</v>
      </c>
      <c r="CS146" s="120">
        <v>0</v>
      </c>
      <c r="CT146" s="120">
        <v>0</v>
      </c>
      <c r="CU146" s="120">
        <v>0</v>
      </c>
      <c r="CV146" s="120">
        <v>0</v>
      </c>
      <c r="CW146" s="120">
        <v>0</v>
      </c>
      <c r="CX146" s="120">
        <v>0</v>
      </c>
      <c r="CY146" s="120">
        <v>0</v>
      </c>
      <c r="CZ146" s="120">
        <v>0</v>
      </c>
      <c r="DA146" s="120">
        <v>0</v>
      </c>
      <c r="DB146" s="120">
        <v>0</v>
      </c>
      <c r="DC146" s="120">
        <v>0</v>
      </c>
      <c r="DD146" s="120">
        <v>0</v>
      </c>
      <c r="DE146" s="120">
        <v>0</v>
      </c>
      <c r="DF146" s="120">
        <v>0</v>
      </c>
      <c r="DG146" s="120">
        <v>0</v>
      </c>
      <c r="DH146" s="120">
        <v>0</v>
      </c>
      <c r="DI146" s="120">
        <v>0</v>
      </c>
      <c r="DJ146" s="120">
        <v>0</v>
      </c>
      <c r="DK146" s="120">
        <v>0</v>
      </c>
      <c r="DL146" s="120">
        <v>0</v>
      </c>
      <c r="DM146" s="120">
        <v>0</v>
      </c>
      <c r="DN146" s="120">
        <v>0</v>
      </c>
      <c r="DO146" s="120">
        <v>0</v>
      </c>
      <c r="DP146" s="120">
        <v>0</v>
      </c>
      <c r="DQ146" s="120">
        <v>0</v>
      </c>
      <c r="DR146" s="120">
        <v>0</v>
      </c>
      <c r="DS146" s="120">
        <v>0</v>
      </c>
      <c r="DT146" s="120">
        <v>0</v>
      </c>
      <c r="DU146" s="120">
        <v>0</v>
      </c>
      <c r="DV146" s="120">
        <v>0</v>
      </c>
      <c r="DW146" s="120">
        <v>0</v>
      </c>
      <c r="DX146" s="120">
        <v>0</v>
      </c>
      <c r="DY146" s="120">
        <v>0</v>
      </c>
      <c r="DZ146" s="120">
        <v>0</v>
      </c>
      <c r="EA146" s="120">
        <v>0</v>
      </c>
      <c r="EB146" s="120">
        <v>0</v>
      </c>
      <c r="EC146" s="120">
        <v>0</v>
      </c>
      <c r="ED146" s="120">
        <f t="shared" si="2"/>
        <v>208540.43668073852</v>
      </c>
    </row>
    <row r="147" spans="1:134">
      <c r="A147" s="120">
        <v>146</v>
      </c>
      <c r="B147" s="120">
        <v>0</v>
      </c>
      <c r="C147" s="120">
        <v>0</v>
      </c>
      <c r="D147" s="120">
        <v>0</v>
      </c>
      <c r="E147" s="120">
        <v>0</v>
      </c>
      <c r="F147" s="120">
        <v>0</v>
      </c>
      <c r="G147" s="120">
        <v>0</v>
      </c>
      <c r="H147" s="120">
        <v>0</v>
      </c>
      <c r="I147" s="120">
        <v>0</v>
      </c>
      <c r="J147" s="120">
        <v>0</v>
      </c>
      <c r="K147" s="120">
        <v>0</v>
      </c>
      <c r="L147" s="120">
        <v>0</v>
      </c>
      <c r="M147" s="120">
        <v>0</v>
      </c>
      <c r="N147" s="120">
        <v>0</v>
      </c>
      <c r="O147" s="120">
        <v>0</v>
      </c>
      <c r="P147" s="120">
        <v>0</v>
      </c>
      <c r="Q147" s="120">
        <v>0</v>
      </c>
      <c r="R147" s="120">
        <v>0</v>
      </c>
      <c r="S147" s="120">
        <v>0</v>
      </c>
      <c r="T147" s="120">
        <v>0</v>
      </c>
      <c r="U147" s="120">
        <v>0</v>
      </c>
      <c r="V147" s="120">
        <v>0</v>
      </c>
      <c r="W147" s="120">
        <v>0</v>
      </c>
      <c r="X147" s="120">
        <v>0</v>
      </c>
      <c r="Y147" s="120">
        <v>0</v>
      </c>
      <c r="Z147" s="120">
        <v>0</v>
      </c>
      <c r="AA147" s="120">
        <v>0</v>
      </c>
      <c r="AB147" s="120">
        <v>0</v>
      </c>
      <c r="AC147" s="120">
        <v>0</v>
      </c>
      <c r="AD147" s="120">
        <v>0</v>
      </c>
      <c r="AE147" s="120">
        <v>0</v>
      </c>
      <c r="AF147" s="120">
        <v>0</v>
      </c>
      <c r="AG147" s="120">
        <v>0</v>
      </c>
      <c r="AH147" s="120">
        <v>0</v>
      </c>
      <c r="AI147" s="120">
        <v>0</v>
      </c>
      <c r="AJ147" s="120">
        <v>0</v>
      </c>
      <c r="AK147" s="120">
        <v>0</v>
      </c>
      <c r="AL147" s="120">
        <v>0</v>
      </c>
      <c r="AM147" s="120">
        <v>0</v>
      </c>
      <c r="AN147" s="120">
        <v>0</v>
      </c>
      <c r="AO147" s="120">
        <v>0</v>
      </c>
      <c r="AP147" s="120">
        <v>0</v>
      </c>
      <c r="AQ147" s="120">
        <v>0</v>
      </c>
      <c r="AR147" s="120">
        <v>0</v>
      </c>
      <c r="AS147" s="120">
        <v>0</v>
      </c>
      <c r="AT147" s="120">
        <v>0</v>
      </c>
      <c r="AU147" s="120">
        <v>0</v>
      </c>
      <c r="AV147" s="120">
        <v>0</v>
      </c>
      <c r="AW147" s="120">
        <v>0</v>
      </c>
      <c r="AX147" s="120">
        <v>0</v>
      </c>
      <c r="AY147" s="120">
        <v>0</v>
      </c>
      <c r="AZ147" s="120">
        <v>0</v>
      </c>
      <c r="BA147" s="120">
        <v>0</v>
      </c>
      <c r="BB147" s="120">
        <v>0</v>
      </c>
      <c r="BC147" s="120">
        <v>0</v>
      </c>
      <c r="BD147" s="120">
        <v>1134001.984927329</v>
      </c>
      <c r="BE147" s="120">
        <v>0</v>
      </c>
      <c r="BF147" s="120">
        <v>0</v>
      </c>
      <c r="BG147" s="120">
        <v>0</v>
      </c>
      <c r="BH147" s="120">
        <v>0</v>
      </c>
      <c r="BI147" s="120">
        <v>0</v>
      </c>
      <c r="BJ147" s="120">
        <v>0</v>
      </c>
      <c r="BK147" s="120">
        <v>0</v>
      </c>
      <c r="BL147" s="120">
        <v>0</v>
      </c>
      <c r="BM147" s="120">
        <v>0</v>
      </c>
      <c r="BN147" s="120">
        <v>0</v>
      </c>
      <c r="BO147" s="120">
        <v>0</v>
      </c>
      <c r="BP147" s="120">
        <v>0</v>
      </c>
      <c r="BQ147" s="120">
        <v>0</v>
      </c>
      <c r="BR147" s="120">
        <v>0</v>
      </c>
      <c r="BS147" s="120">
        <v>0</v>
      </c>
      <c r="BT147" s="120">
        <v>0</v>
      </c>
      <c r="BU147" s="120">
        <v>0</v>
      </c>
      <c r="BV147" s="120">
        <v>0</v>
      </c>
      <c r="BW147" s="120">
        <v>0</v>
      </c>
      <c r="BX147" s="120">
        <v>0</v>
      </c>
      <c r="BY147" s="120">
        <v>0</v>
      </c>
      <c r="BZ147" s="120">
        <v>0</v>
      </c>
      <c r="CA147" s="120">
        <v>0</v>
      </c>
      <c r="CB147" s="120">
        <v>0</v>
      </c>
      <c r="CC147" s="120">
        <v>0</v>
      </c>
      <c r="CD147" s="120">
        <v>0</v>
      </c>
      <c r="CE147" s="120">
        <v>0</v>
      </c>
      <c r="CF147" s="120">
        <v>0</v>
      </c>
      <c r="CG147" s="120">
        <v>0</v>
      </c>
      <c r="CH147" s="120">
        <v>0</v>
      </c>
      <c r="CI147" s="120">
        <v>0</v>
      </c>
      <c r="CJ147" s="120">
        <v>0</v>
      </c>
      <c r="CK147" s="120">
        <v>0</v>
      </c>
      <c r="CL147" s="120">
        <v>0</v>
      </c>
      <c r="CM147" s="120">
        <v>0</v>
      </c>
      <c r="CN147" s="120">
        <v>0</v>
      </c>
      <c r="CO147" s="120">
        <v>0</v>
      </c>
      <c r="CP147" s="120">
        <v>0</v>
      </c>
      <c r="CQ147" s="120">
        <v>0</v>
      </c>
      <c r="CR147" s="120">
        <v>0</v>
      </c>
      <c r="CS147" s="120">
        <v>0</v>
      </c>
      <c r="CT147" s="120">
        <v>0</v>
      </c>
      <c r="CU147" s="120">
        <v>0</v>
      </c>
      <c r="CV147" s="120">
        <v>0</v>
      </c>
      <c r="CW147" s="120">
        <v>0</v>
      </c>
      <c r="CX147" s="120">
        <v>0</v>
      </c>
      <c r="CY147" s="120">
        <v>0</v>
      </c>
      <c r="CZ147" s="120">
        <v>0</v>
      </c>
      <c r="DA147" s="120">
        <v>0</v>
      </c>
      <c r="DB147" s="120">
        <v>0</v>
      </c>
      <c r="DC147" s="120">
        <v>0</v>
      </c>
      <c r="DD147" s="120">
        <v>0</v>
      </c>
      <c r="DE147" s="120">
        <v>0</v>
      </c>
      <c r="DF147" s="120">
        <v>0</v>
      </c>
      <c r="DG147" s="120">
        <v>0</v>
      </c>
      <c r="DH147" s="120">
        <v>0</v>
      </c>
      <c r="DI147" s="120">
        <v>0</v>
      </c>
      <c r="DJ147" s="120">
        <v>0</v>
      </c>
      <c r="DK147" s="120">
        <v>0</v>
      </c>
      <c r="DL147" s="120">
        <v>0</v>
      </c>
      <c r="DM147" s="120">
        <v>0</v>
      </c>
      <c r="DN147" s="120">
        <v>0</v>
      </c>
      <c r="DO147" s="120">
        <v>0</v>
      </c>
      <c r="DP147" s="120">
        <v>2579.786065123395</v>
      </c>
      <c r="DQ147" s="120">
        <v>0</v>
      </c>
      <c r="DR147" s="120">
        <v>0</v>
      </c>
      <c r="DS147" s="120">
        <v>0</v>
      </c>
      <c r="DT147" s="120">
        <v>0</v>
      </c>
      <c r="DU147" s="120">
        <v>0</v>
      </c>
      <c r="DV147" s="120">
        <v>0</v>
      </c>
      <c r="DW147" s="120">
        <v>0</v>
      </c>
      <c r="DX147" s="120">
        <v>0</v>
      </c>
      <c r="DY147" s="120">
        <v>0</v>
      </c>
      <c r="DZ147" s="120">
        <v>0</v>
      </c>
      <c r="EA147" s="120">
        <v>0</v>
      </c>
      <c r="EB147" s="120">
        <v>0</v>
      </c>
      <c r="EC147" s="120">
        <v>0</v>
      </c>
      <c r="ED147" s="120">
        <f t="shared" si="2"/>
        <v>1136581.7709924525</v>
      </c>
    </row>
    <row r="148" spans="1:134">
      <c r="A148" s="120">
        <v>147</v>
      </c>
      <c r="B148" s="120">
        <v>0</v>
      </c>
      <c r="C148" s="120">
        <v>0</v>
      </c>
      <c r="D148" s="120">
        <v>0</v>
      </c>
      <c r="E148" s="120">
        <v>0</v>
      </c>
      <c r="F148" s="120">
        <v>0</v>
      </c>
      <c r="G148" s="120">
        <v>0</v>
      </c>
      <c r="H148" s="120">
        <v>0</v>
      </c>
      <c r="I148" s="120">
        <v>0</v>
      </c>
      <c r="J148" s="120">
        <v>0</v>
      </c>
      <c r="K148" s="120">
        <v>0</v>
      </c>
      <c r="L148" s="120">
        <v>0</v>
      </c>
      <c r="M148" s="120">
        <v>0</v>
      </c>
      <c r="N148" s="120">
        <v>0</v>
      </c>
      <c r="O148" s="120">
        <v>0</v>
      </c>
      <c r="P148" s="120">
        <v>0</v>
      </c>
      <c r="Q148" s="120">
        <v>0</v>
      </c>
      <c r="R148" s="120">
        <v>0</v>
      </c>
      <c r="S148" s="120">
        <v>0</v>
      </c>
      <c r="T148" s="120">
        <v>0</v>
      </c>
      <c r="U148" s="120">
        <v>0</v>
      </c>
      <c r="V148" s="120">
        <v>0</v>
      </c>
      <c r="W148" s="120">
        <v>0</v>
      </c>
      <c r="X148" s="120">
        <v>0</v>
      </c>
      <c r="Y148" s="120">
        <v>0</v>
      </c>
      <c r="Z148" s="120">
        <v>0</v>
      </c>
      <c r="AA148" s="120">
        <v>0</v>
      </c>
      <c r="AB148" s="120">
        <v>0</v>
      </c>
      <c r="AC148" s="120">
        <v>0</v>
      </c>
      <c r="AD148" s="120">
        <v>0</v>
      </c>
      <c r="AE148" s="120">
        <v>0</v>
      </c>
      <c r="AF148" s="120">
        <v>0</v>
      </c>
      <c r="AG148" s="120">
        <v>0</v>
      </c>
      <c r="AH148" s="120">
        <v>0</v>
      </c>
      <c r="AI148" s="120">
        <v>0</v>
      </c>
      <c r="AJ148" s="120">
        <v>0</v>
      </c>
      <c r="AK148" s="120">
        <v>0</v>
      </c>
      <c r="AL148" s="120">
        <v>0</v>
      </c>
      <c r="AM148" s="120">
        <v>0</v>
      </c>
      <c r="AN148" s="120">
        <v>0</v>
      </c>
      <c r="AO148" s="120">
        <v>0</v>
      </c>
      <c r="AP148" s="120">
        <v>0</v>
      </c>
      <c r="AQ148" s="120">
        <v>0</v>
      </c>
      <c r="AR148" s="120">
        <v>0</v>
      </c>
      <c r="AS148" s="120">
        <v>0</v>
      </c>
      <c r="AT148" s="120">
        <v>0</v>
      </c>
      <c r="AU148" s="120">
        <v>224998.86947400961</v>
      </c>
      <c r="AV148" s="120">
        <v>0</v>
      </c>
      <c r="AW148" s="120">
        <v>0</v>
      </c>
      <c r="AX148" s="120">
        <v>0</v>
      </c>
      <c r="AY148" s="120">
        <v>0</v>
      </c>
      <c r="AZ148" s="120">
        <v>0</v>
      </c>
      <c r="BA148" s="120">
        <v>0</v>
      </c>
      <c r="BB148" s="120">
        <v>0</v>
      </c>
      <c r="BC148" s="120">
        <v>0</v>
      </c>
      <c r="BD148" s="120">
        <v>0</v>
      </c>
      <c r="BE148" s="120">
        <v>0</v>
      </c>
      <c r="BF148" s="120">
        <v>0</v>
      </c>
      <c r="BG148" s="120">
        <v>0</v>
      </c>
      <c r="BH148" s="120">
        <v>0</v>
      </c>
      <c r="BI148" s="120">
        <v>0</v>
      </c>
      <c r="BJ148" s="120">
        <v>0</v>
      </c>
      <c r="BK148" s="120">
        <v>0</v>
      </c>
      <c r="BL148" s="120">
        <v>0</v>
      </c>
      <c r="BM148" s="120">
        <v>0</v>
      </c>
      <c r="BN148" s="120">
        <v>0</v>
      </c>
      <c r="BO148" s="120">
        <v>0</v>
      </c>
      <c r="BP148" s="120">
        <v>0</v>
      </c>
      <c r="BQ148" s="120">
        <v>0</v>
      </c>
      <c r="BR148" s="120">
        <v>0</v>
      </c>
      <c r="BS148" s="120">
        <v>0</v>
      </c>
      <c r="BT148" s="120">
        <v>0</v>
      </c>
      <c r="BU148" s="120">
        <v>0</v>
      </c>
      <c r="BV148" s="120">
        <v>0</v>
      </c>
      <c r="BW148" s="120">
        <v>0</v>
      </c>
      <c r="BX148" s="120">
        <v>0</v>
      </c>
      <c r="BY148" s="120">
        <v>0</v>
      </c>
      <c r="BZ148" s="120">
        <v>0</v>
      </c>
      <c r="CA148" s="120">
        <v>0</v>
      </c>
      <c r="CB148" s="120">
        <v>0</v>
      </c>
      <c r="CC148" s="120">
        <v>0</v>
      </c>
      <c r="CD148" s="120">
        <v>0</v>
      </c>
      <c r="CE148" s="120">
        <v>0</v>
      </c>
      <c r="CF148" s="120">
        <v>0</v>
      </c>
      <c r="CG148" s="120">
        <v>0</v>
      </c>
      <c r="CH148" s="120">
        <v>0</v>
      </c>
      <c r="CI148" s="120">
        <v>0</v>
      </c>
      <c r="CJ148" s="120">
        <v>0</v>
      </c>
      <c r="CK148" s="120">
        <v>0</v>
      </c>
      <c r="CL148" s="120">
        <v>0</v>
      </c>
      <c r="CM148" s="120">
        <v>0</v>
      </c>
      <c r="CN148" s="120">
        <v>0</v>
      </c>
      <c r="CO148" s="120">
        <v>0</v>
      </c>
      <c r="CP148" s="120">
        <v>0</v>
      </c>
      <c r="CQ148" s="120">
        <v>0</v>
      </c>
      <c r="CR148" s="120">
        <v>0</v>
      </c>
      <c r="CS148" s="120">
        <v>0</v>
      </c>
      <c r="CT148" s="120">
        <v>0</v>
      </c>
      <c r="CU148" s="120">
        <v>0</v>
      </c>
      <c r="CV148" s="120">
        <v>0</v>
      </c>
      <c r="CW148" s="120">
        <v>0</v>
      </c>
      <c r="CX148" s="120">
        <v>0</v>
      </c>
      <c r="CY148" s="120">
        <v>0</v>
      </c>
      <c r="CZ148" s="120">
        <v>0</v>
      </c>
      <c r="DA148" s="120">
        <v>0</v>
      </c>
      <c r="DB148" s="120">
        <v>0</v>
      </c>
      <c r="DC148" s="120">
        <v>0</v>
      </c>
      <c r="DD148" s="120">
        <v>0</v>
      </c>
      <c r="DE148" s="120">
        <v>0</v>
      </c>
      <c r="DF148" s="120">
        <v>0</v>
      </c>
      <c r="DG148" s="120">
        <v>0</v>
      </c>
      <c r="DH148" s="120">
        <v>0</v>
      </c>
      <c r="DI148" s="120">
        <v>0</v>
      </c>
      <c r="DJ148" s="120">
        <v>0</v>
      </c>
      <c r="DK148" s="120">
        <v>0</v>
      </c>
      <c r="DL148" s="120">
        <v>0</v>
      </c>
      <c r="DM148" s="120">
        <v>0</v>
      </c>
      <c r="DN148" s="120">
        <v>0</v>
      </c>
      <c r="DO148" s="120">
        <v>0</v>
      </c>
      <c r="DP148" s="120">
        <v>64.290067728569923</v>
      </c>
      <c r="DQ148" s="120">
        <v>0</v>
      </c>
      <c r="DR148" s="120">
        <v>0</v>
      </c>
      <c r="DS148" s="120">
        <v>0</v>
      </c>
      <c r="DT148" s="120">
        <v>0</v>
      </c>
      <c r="DU148" s="120">
        <v>0</v>
      </c>
      <c r="DV148" s="120">
        <v>0</v>
      </c>
      <c r="DW148" s="120">
        <v>0</v>
      </c>
      <c r="DX148" s="120">
        <v>0</v>
      </c>
      <c r="DY148" s="120">
        <v>0</v>
      </c>
      <c r="DZ148" s="120">
        <v>0</v>
      </c>
      <c r="EA148" s="120">
        <v>0</v>
      </c>
      <c r="EB148" s="120">
        <v>0</v>
      </c>
      <c r="EC148" s="120">
        <v>0</v>
      </c>
      <c r="ED148" s="120">
        <f t="shared" si="2"/>
        <v>225063.15954173819</v>
      </c>
    </row>
    <row r="149" spans="1:134">
      <c r="A149" s="120">
        <v>148</v>
      </c>
      <c r="B149" s="120">
        <v>0</v>
      </c>
      <c r="C149" s="120">
        <v>0</v>
      </c>
      <c r="D149" s="120">
        <v>0</v>
      </c>
      <c r="E149" s="120">
        <v>0</v>
      </c>
      <c r="F149" s="120">
        <v>0</v>
      </c>
      <c r="G149" s="120">
        <v>0</v>
      </c>
      <c r="H149" s="120">
        <v>0</v>
      </c>
      <c r="I149" s="120">
        <v>0</v>
      </c>
      <c r="J149" s="120">
        <v>0</v>
      </c>
      <c r="K149" s="120">
        <v>0</v>
      </c>
      <c r="L149" s="120">
        <v>0</v>
      </c>
      <c r="M149" s="120">
        <v>0</v>
      </c>
      <c r="N149" s="120">
        <v>0</v>
      </c>
      <c r="O149" s="120">
        <v>0</v>
      </c>
      <c r="P149" s="120">
        <v>0</v>
      </c>
      <c r="Q149" s="120">
        <v>0</v>
      </c>
      <c r="R149" s="120">
        <v>0</v>
      </c>
      <c r="S149" s="120">
        <v>0</v>
      </c>
      <c r="T149" s="120">
        <v>0</v>
      </c>
      <c r="U149" s="120">
        <v>0</v>
      </c>
      <c r="V149" s="120">
        <v>0</v>
      </c>
      <c r="W149" s="120">
        <v>0</v>
      </c>
      <c r="X149" s="120">
        <v>0</v>
      </c>
      <c r="Y149" s="120">
        <v>0</v>
      </c>
      <c r="Z149" s="120">
        <v>0</v>
      </c>
      <c r="AA149" s="120">
        <v>0</v>
      </c>
      <c r="AB149" s="120">
        <v>0</v>
      </c>
      <c r="AC149" s="120">
        <v>2725.8220638616731</v>
      </c>
      <c r="AD149" s="120">
        <v>0</v>
      </c>
      <c r="AE149" s="120">
        <v>0</v>
      </c>
      <c r="AF149" s="120">
        <v>0</v>
      </c>
      <c r="AG149" s="120">
        <v>0</v>
      </c>
      <c r="AH149" s="120">
        <v>0</v>
      </c>
      <c r="AI149" s="120">
        <v>0</v>
      </c>
      <c r="AJ149" s="120">
        <v>0</v>
      </c>
      <c r="AK149" s="120">
        <v>0</v>
      </c>
      <c r="AL149" s="120">
        <v>0</v>
      </c>
      <c r="AM149" s="120">
        <v>0</v>
      </c>
      <c r="AN149" s="120">
        <v>0</v>
      </c>
      <c r="AO149" s="120">
        <v>0</v>
      </c>
      <c r="AP149" s="120">
        <v>0</v>
      </c>
      <c r="AQ149" s="120">
        <v>0</v>
      </c>
      <c r="AR149" s="120">
        <v>0</v>
      </c>
      <c r="AS149" s="120">
        <v>0</v>
      </c>
      <c r="AT149" s="120">
        <v>0</v>
      </c>
      <c r="AU149" s="120">
        <v>0</v>
      </c>
      <c r="AV149" s="120">
        <v>0</v>
      </c>
      <c r="AW149" s="120">
        <v>0</v>
      </c>
      <c r="AX149" s="120">
        <v>0</v>
      </c>
      <c r="AY149" s="120">
        <v>0</v>
      </c>
      <c r="AZ149" s="120">
        <v>0</v>
      </c>
      <c r="BA149" s="120">
        <v>3232.002612527077</v>
      </c>
      <c r="BB149" s="120">
        <v>0</v>
      </c>
      <c r="BC149" s="120">
        <v>0</v>
      </c>
      <c r="BD149" s="120">
        <v>0</v>
      </c>
      <c r="BE149" s="120">
        <v>0</v>
      </c>
      <c r="BF149" s="120">
        <v>0</v>
      </c>
      <c r="BG149" s="120">
        <v>0</v>
      </c>
      <c r="BH149" s="120">
        <v>0</v>
      </c>
      <c r="BI149" s="120">
        <v>0</v>
      </c>
      <c r="BJ149" s="120">
        <v>0</v>
      </c>
      <c r="BK149" s="120">
        <v>0</v>
      </c>
      <c r="BL149" s="120">
        <v>0</v>
      </c>
      <c r="BM149" s="120">
        <v>0</v>
      </c>
      <c r="BN149" s="120">
        <v>0</v>
      </c>
      <c r="BO149" s="120">
        <v>0</v>
      </c>
      <c r="BP149" s="120">
        <v>0</v>
      </c>
      <c r="BQ149" s="120">
        <v>0</v>
      </c>
      <c r="BR149" s="120">
        <v>0</v>
      </c>
      <c r="BS149" s="120">
        <v>0</v>
      </c>
      <c r="BT149" s="120">
        <v>0</v>
      </c>
      <c r="BU149" s="120">
        <v>0</v>
      </c>
      <c r="BV149" s="120">
        <v>89.303973062046069</v>
      </c>
      <c r="BW149" s="120">
        <v>0</v>
      </c>
      <c r="BX149" s="120">
        <v>0</v>
      </c>
      <c r="BY149" s="120">
        <v>0</v>
      </c>
      <c r="BZ149" s="120">
        <v>0</v>
      </c>
      <c r="CA149" s="120">
        <v>0</v>
      </c>
      <c r="CB149" s="120">
        <v>0</v>
      </c>
      <c r="CC149" s="120">
        <v>0</v>
      </c>
      <c r="CD149" s="120">
        <v>0</v>
      </c>
      <c r="CE149" s="120">
        <v>0</v>
      </c>
      <c r="CF149" s="120">
        <v>0</v>
      </c>
      <c r="CG149" s="120">
        <v>0</v>
      </c>
      <c r="CH149" s="120">
        <v>0</v>
      </c>
      <c r="CI149" s="120">
        <v>0</v>
      </c>
      <c r="CJ149" s="120">
        <v>0</v>
      </c>
      <c r="CK149" s="120">
        <v>0</v>
      </c>
      <c r="CL149" s="120">
        <v>0</v>
      </c>
      <c r="CM149" s="120">
        <v>0</v>
      </c>
      <c r="CN149" s="120">
        <v>0</v>
      </c>
      <c r="CO149" s="120">
        <v>0</v>
      </c>
      <c r="CP149" s="120">
        <v>0</v>
      </c>
      <c r="CQ149" s="120">
        <v>0</v>
      </c>
      <c r="CR149" s="120">
        <v>0</v>
      </c>
      <c r="CS149" s="120">
        <v>0</v>
      </c>
      <c r="CT149" s="120">
        <v>0</v>
      </c>
      <c r="CU149" s="120">
        <v>0</v>
      </c>
      <c r="CV149" s="120">
        <v>0</v>
      </c>
      <c r="CW149" s="120">
        <v>0</v>
      </c>
      <c r="CX149" s="120">
        <v>0</v>
      </c>
      <c r="CY149" s="120">
        <v>0</v>
      </c>
      <c r="CZ149" s="120">
        <v>0</v>
      </c>
      <c r="DA149" s="120">
        <v>0</v>
      </c>
      <c r="DB149" s="120">
        <v>0</v>
      </c>
      <c r="DC149" s="120">
        <v>0</v>
      </c>
      <c r="DD149" s="120">
        <v>0</v>
      </c>
      <c r="DE149" s="120">
        <v>0</v>
      </c>
      <c r="DF149" s="120">
        <v>0</v>
      </c>
      <c r="DG149" s="120">
        <v>0</v>
      </c>
      <c r="DH149" s="120">
        <v>0</v>
      </c>
      <c r="DI149" s="120">
        <v>0</v>
      </c>
      <c r="DJ149" s="120">
        <v>0</v>
      </c>
      <c r="DK149" s="120">
        <v>0</v>
      </c>
      <c r="DL149" s="120">
        <v>0</v>
      </c>
      <c r="DM149" s="120">
        <v>0</v>
      </c>
      <c r="DN149" s="120">
        <v>0</v>
      </c>
      <c r="DO149" s="120">
        <v>0</v>
      </c>
      <c r="DP149" s="120">
        <v>5.2481687941689739</v>
      </c>
      <c r="DQ149" s="120">
        <v>0</v>
      </c>
      <c r="DR149" s="120">
        <v>0</v>
      </c>
      <c r="DS149" s="120">
        <v>0</v>
      </c>
      <c r="DT149" s="120">
        <v>0</v>
      </c>
      <c r="DU149" s="120">
        <v>0</v>
      </c>
      <c r="DV149" s="120">
        <v>0</v>
      </c>
      <c r="DW149" s="120">
        <v>0</v>
      </c>
      <c r="DX149" s="120">
        <v>0</v>
      </c>
      <c r="DY149" s="120">
        <v>0</v>
      </c>
      <c r="DZ149" s="120">
        <v>0</v>
      </c>
      <c r="EA149" s="120">
        <v>0</v>
      </c>
      <c r="EB149" s="120">
        <v>0</v>
      </c>
      <c r="EC149" s="120">
        <v>0</v>
      </c>
      <c r="ED149" s="120">
        <f t="shared" si="2"/>
        <v>6052.3768182449649</v>
      </c>
    </row>
    <row r="150" spans="1:134">
      <c r="A150" s="120">
        <v>149</v>
      </c>
      <c r="B150" s="120">
        <v>0</v>
      </c>
      <c r="C150" s="120">
        <v>0</v>
      </c>
      <c r="D150" s="120">
        <v>0</v>
      </c>
      <c r="E150" s="120">
        <v>0</v>
      </c>
      <c r="F150" s="120">
        <v>0</v>
      </c>
      <c r="G150" s="120">
        <v>0</v>
      </c>
      <c r="H150" s="120">
        <v>0</v>
      </c>
      <c r="I150" s="120">
        <v>0</v>
      </c>
      <c r="J150" s="120">
        <v>0</v>
      </c>
      <c r="K150" s="120">
        <v>0</v>
      </c>
      <c r="L150" s="120">
        <v>0</v>
      </c>
      <c r="M150" s="120">
        <v>0</v>
      </c>
      <c r="N150" s="120">
        <v>0</v>
      </c>
      <c r="O150" s="120">
        <v>0</v>
      </c>
      <c r="P150" s="120">
        <v>0</v>
      </c>
      <c r="Q150" s="120">
        <v>0</v>
      </c>
      <c r="R150" s="120">
        <v>0</v>
      </c>
      <c r="S150" s="120">
        <v>0</v>
      </c>
      <c r="T150" s="120">
        <v>0</v>
      </c>
      <c r="U150" s="120">
        <v>0</v>
      </c>
      <c r="V150" s="120">
        <v>0</v>
      </c>
      <c r="W150" s="120">
        <v>0</v>
      </c>
      <c r="X150" s="120">
        <v>0</v>
      </c>
      <c r="Y150" s="120">
        <v>0</v>
      </c>
      <c r="Z150" s="120">
        <v>0</v>
      </c>
      <c r="AA150" s="120">
        <v>0</v>
      </c>
      <c r="AB150" s="120">
        <v>0</v>
      </c>
      <c r="AC150" s="120">
        <v>0</v>
      </c>
      <c r="AD150" s="120">
        <v>0</v>
      </c>
      <c r="AE150" s="120">
        <v>0</v>
      </c>
      <c r="AF150" s="120">
        <v>0</v>
      </c>
      <c r="AG150" s="120">
        <v>0</v>
      </c>
      <c r="AH150" s="120">
        <v>0</v>
      </c>
      <c r="AI150" s="120">
        <v>0</v>
      </c>
      <c r="AJ150" s="120">
        <v>0</v>
      </c>
      <c r="AK150" s="120">
        <v>0</v>
      </c>
      <c r="AL150" s="120">
        <v>0</v>
      </c>
      <c r="AM150" s="120">
        <v>0</v>
      </c>
      <c r="AN150" s="120">
        <v>0</v>
      </c>
      <c r="AO150" s="120">
        <v>0</v>
      </c>
      <c r="AP150" s="120">
        <v>0</v>
      </c>
      <c r="AQ150" s="120">
        <v>0</v>
      </c>
      <c r="AR150" s="120">
        <v>0</v>
      </c>
      <c r="AS150" s="120">
        <v>0</v>
      </c>
      <c r="AT150" s="120">
        <v>0</v>
      </c>
      <c r="AU150" s="120">
        <v>0</v>
      </c>
      <c r="AV150" s="120">
        <v>0</v>
      </c>
      <c r="AW150" s="120">
        <v>0</v>
      </c>
      <c r="AX150" s="120">
        <v>0</v>
      </c>
      <c r="AY150" s="120">
        <v>0</v>
      </c>
      <c r="AZ150" s="120">
        <v>0</v>
      </c>
      <c r="BA150" s="120">
        <v>0</v>
      </c>
      <c r="BB150" s="120">
        <v>0</v>
      </c>
      <c r="BC150" s="120">
        <v>0</v>
      </c>
      <c r="BD150" s="120">
        <v>0</v>
      </c>
      <c r="BE150" s="120">
        <v>0</v>
      </c>
      <c r="BF150" s="120">
        <v>0</v>
      </c>
      <c r="BG150" s="120">
        <v>0</v>
      </c>
      <c r="BH150" s="120">
        <v>0</v>
      </c>
      <c r="BI150" s="120">
        <v>0</v>
      </c>
      <c r="BJ150" s="120">
        <v>0</v>
      </c>
      <c r="BK150" s="120">
        <v>0</v>
      </c>
      <c r="BL150" s="120">
        <v>0</v>
      </c>
      <c r="BM150" s="120">
        <v>0</v>
      </c>
      <c r="BN150" s="120">
        <v>0</v>
      </c>
      <c r="BO150" s="120">
        <v>0</v>
      </c>
      <c r="BP150" s="120">
        <v>0</v>
      </c>
      <c r="BQ150" s="120">
        <v>0</v>
      </c>
      <c r="BR150" s="120">
        <v>0</v>
      </c>
      <c r="BS150" s="120">
        <v>0</v>
      </c>
      <c r="BT150" s="120">
        <v>0</v>
      </c>
      <c r="BU150" s="120">
        <v>0</v>
      </c>
      <c r="BV150" s="120">
        <v>0</v>
      </c>
      <c r="BW150" s="120">
        <v>0</v>
      </c>
      <c r="BX150" s="120">
        <v>0</v>
      </c>
      <c r="BY150" s="120">
        <v>0</v>
      </c>
      <c r="BZ150" s="120">
        <v>0</v>
      </c>
      <c r="CA150" s="120">
        <v>0</v>
      </c>
      <c r="CB150" s="120">
        <v>0</v>
      </c>
      <c r="CC150" s="120">
        <v>0</v>
      </c>
      <c r="CD150" s="120">
        <v>0</v>
      </c>
      <c r="CE150" s="120">
        <v>0</v>
      </c>
      <c r="CF150" s="120">
        <v>0</v>
      </c>
      <c r="CG150" s="120">
        <v>0</v>
      </c>
      <c r="CH150" s="120">
        <v>0</v>
      </c>
      <c r="CI150" s="120">
        <v>0</v>
      </c>
      <c r="CJ150" s="120">
        <v>0</v>
      </c>
      <c r="CK150" s="120">
        <v>0</v>
      </c>
      <c r="CL150" s="120">
        <v>0</v>
      </c>
      <c r="CM150" s="120">
        <v>0</v>
      </c>
      <c r="CN150" s="120">
        <v>0</v>
      </c>
      <c r="CO150" s="120">
        <v>0</v>
      </c>
      <c r="CP150" s="120">
        <v>0</v>
      </c>
      <c r="CQ150" s="120">
        <v>0</v>
      </c>
      <c r="CR150" s="120">
        <v>0</v>
      </c>
      <c r="CS150" s="120">
        <v>0</v>
      </c>
      <c r="CT150" s="120">
        <v>0</v>
      </c>
      <c r="CU150" s="120">
        <v>0</v>
      </c>
      <c r="CV150" s="120">
        <v>0</v>
      </c>
      <c r="CW150" s="120">
        <v>0</v>
      </c>
      <c r="CX150" s="120">
        <v>0</v>
      </c>
      <c r="CY150" s="120">
        <v>0</v>
      </c>
      <c r="CZ150" s="120">
        <v>0</v>
      </c>
      <c r="DA150" s="120">
        <v>0</v>
      </c>
      <c r="DB150" s="120">
        <v>0</v>
      </c>
      <c r="DC150" s="120">
        <v>0</v>
      </c>
      <c r="DD150" s="120">
        <v>0</v>
      </c>
      <c r="DE150" s="120">
        <v>0</v>
      </c>
      <c r="DF150" s="120">
        <v>0</v>
      </c>
      <c r="DG150" s="120">
        <v>0</v>
      </c>
      <c r="DH150" s="120">
        <v>0</v>
      </c>
      <c r="DI150" s="120">
        <v>0</v>
      </c>
      <c r="DJ150" s="120">
        <v>0</v>
      </c>
      <c r="DK150" s="120">
        <v>0</v>
      </c>
      <c r="DL150" s="120">
        <v>0</v>
      </c>
      <c r="DM150" s="120">
        <v>0</v>
      </c>
      <c r="DN150" s="120">
        <v>0</v>
      </c>
      <c r="DO150" s="120">
        <v>0</v>
      </c>
      <c r="DP150" s="120">
        <v>22.304717375218139</v>
      </c>
      <c r="DQ150" s="120">
        <v>0</v>
      </c>
      <c r="DR150" s="120">
        <v>0</v>
      </c>
      <c r="DS150" s="120">
        <v>0</v>
      </c>
      <c r="DT150" s="120">
        <v>0</v>
      </c>
      <c r="DU150" s="120">
        <v>0</v>
      </c>
      <c r="DV150" s="120">
        <v>0</v>
      </c>
      <c r="DW150" s="120">
        <v>0</v>
      </c>
      <c r="DX150" s="120">
        <v>0</v>
      </c>
      <c r="DY150" s="120">
        <v>0</v>
      </c>
      <c r="DZ150" s="120">
        <v>0</v>
      </c>
      <c r="EA150" s="120">
        <v>0</v>
      </c>
      <c r="EB150" s="120">
        <v>0</v>
      </c>
      <c r="EC150" s="120">
        <v>0</v>
      </c>
      <c r="ED150" s="120">
        <f t="shared" si="2"/>
        <v>22.304717375218139</v>
      </c>
    </row>
    <row r="151" spans="1:134">
      <c r="A151" s="120">
        <v>150</v>
      </c>
      <c r="B151" s="120">
        <v>0</v>
      </c>
      <c r="C151" s="120">
        <v>0</v>
      </c>
      <c r="D151" s="120">
        <v>0</v>
      </c>
      <c r="E151" s="120">
        <v>0</v>
      </c>
      <c r="F151" s="120">
        <v>0</v>
      </c>
      <c r="G151" s="120">
        <v>0</v>
      </c>
      <c r="H151" s="120">
        <v>0</v>
      </c>
      <c r="I151" s="120">
        <v>0</v>
      </c>
      <c r="J151" s="120">
        <v>0</v>
      </c>
      <c r="K151" s="120">
        <v>0</v>
      </c>
      <c r="L151" s="120">
        <v>0</v>
      </c>
      <c r="M151" s="120">
        <v>0</v>
      </c>
      <c r="N151" s="120">
        <v>0</v>
      </c>
      <c r="O151" s="120">
        <v>0</v>
      </c>
      <c r="P151" s="120">
        <v>0</v>
      </c>
      <c r="Q151" s="120">
        <v>0</v>
      </c>
      <c r="R151" s="120">
        <v>0</v>
      </c>
      <c r="S151" s="120">
        <v>0</v>
      </c>
      <c r="T151" s="120">
        <v>0</v>
      </c>
      <c r="U151" s="120">
        <v>0</v>
      </c>
      <c r="V151" s="120">
        <v>0</v>
      </c>
      <c r="W151" s="120">
        <v>0</v>
      </c>
      <c r="X151" s="120">
        <v>0</v>
      </c>
      <c r="Y151" s="120">
        <v>0</v>
      </c>
      <c r="Z151" s="120">
        <v>0</v>
      </c>
      <c r="AA151" s="120">
        <v>0</v>
      </c>
      <c r="AB151" s="120">
        <v>0</v>
      </c>
      <c r="AC151" s="120">
        <v>0</v>
      </c>
      <c r="AD151" s="120">
        <v>0</v>
      </c>
      <c r="AE151" s="120">
        <v>0</v>
      </c>
      <c r="AF151" s="120">
        <v>0</v>
      </c>
      <c r="AG151" s="120">
        <v>0</v>
      </c>
      <c r="AH151" s="120">
        <v>0</v>
      </c>
      <c r="AI151" s="120">
        <v>0</v>
      </c>
      <c r="AJ151" s="120">
        <v>0</v>
      </c>
      <c r="AK151" s="120">
        <v>0</v>
      </c>
      <c r="AL151" s="120">
        <v>0</v>
      </c>
      <c r="AM151" s="120">
        <v>0</v>
      </c>
      <c r="AN151" s="120">
        <v>0</v>
      </c>
      <c r="AO151" s="120">
        <v>0</v>
      </c>
      <c r="AP151" s="120">
        <v>0</v>
      </c>
      <c r="AQ151" s="120">
        <v>0</v>
      </c>
      <c r="AR151" s="120">
        <v>0</v>
      </c>
      <c r="AS151" s="120">
        <v>0</v>
      </c>
      <c r="AT151" s="120">
        <v>0</v>
      </c>
      <c r="AU151" s="120">
        <v>0</v>
      </c>
      <c r="AV151" s="120">
        <v>0</v>
      </c>
      <c r="AW151" s="120">
        <v>0</v>
      </c>
      <c r="AX151" s="120">
        <v>0</v>
      </c>
      <c r="AY151" s="120">
        <v>0</v>
      </c>
      <c r="AZ151" s="120">
        <v>0</v>
      </c>
      <c r="BA151" s="120">
        <v>4670.3622029122107</v>
      </c>
      <c r="BB151" s="120">
        <v>0</v>
      </c>
      <c r="BC151" s="120">
        <v>9123.3296012679475</v>
      </c>
      <c r="BD151" s="120">
        <v>0</v>
      </c>
      <c r="BE151" s="120">
        <v>0</v>
      </c>
      <c r="BF151" s="120">
        <v>0</v>
      </c>
      <c r="BG151" s="120">
        <v>0</v>
      </c>
      <c r="BH151" s="120">
        <v>0</v>
      </c>
      <c r="BI151" s="120">
        <v>0</v>
      </c>
      <c r="BJ151" s="120">
        <v>0</v>
      </c>
      <c r="BK151" s="120">
        <v>0</v>
      </c>
      <c r="BL151" s="120">
        <v>0</v>
      </c>
      <c r="BM151" s="120">
        <v>0</v>
      </c>
      <c r="BN151" s="120">
        <v>0</v>
      </c>
      <c r="BO151" s="120">
        <v>0</v>
      </c>
      <c r="BP151" s="120">
        <v>0</v>
      </c>
      <c r="BQ151" s="120">
        <v>0</v>
      </c>
      <c r="BR151" s="120">
        <v>0</v>
      </c>
      <c r="BS151" s="120">
        <v>0</v>
      </c>
      <c r="BT151" s="120">
        <v>8240.2691418991926</v>
      </c>
      <c r="BU151" s="120">
        <v>0</v>
      </c>
      <c r="BV151" s="120">
        <v>7929.6674904210913</v>
      </c>
      <c r="BW151" s="120">
        <v>0</v>
      </c>
      <c r="BX151" s="120">
        <v>0</v>
      </c>
      <c r="BY151" s="120">
        <v>0</v>
      </c>
      <c r="BZ151" s="120">
        <v>0</v>
      </c>
      <c r="CA151" s="120">
        <v>0</v>
      </c>
      <c r="CB151" s="120">
        <v>0</v>
      </c>
      <c r="CC151" s="120">
        <v>0</v>
      </c>
      <c r="CD151" s="120">
        <v>0</v>
      </c>
      <c r="CE151" s="120">
        <v>0</v>
      </c>
      <c r="CF151" s="120">
        <v>0</v>
      </c>
      <c r="CG151" s="120">
        <v>0</v>
      </c>
      <c r="CH151" s="120">
        <v>0</v>
      </c>
      <c r="CI151" s="120">
        <v>0</v>
      </c>
      <c r="CJ151" s="120">
        <v>0</v>
      </c>
      <c r="CK151" s="120">
        <v>0</v>
      </c>
      <c r="CL151" s="120">
        <v>0</v>
      </c>
      <c r="CM151" s="120">
        <v>0</v>
      </c>
      <c r="CN151" s="120">
        <v>0</v>
      </c>
      <c r="CO151" s="120">
        <v>0</v>
      </c>
      <c r="CP151" s="120">
        <v>0</v>
      </c>
      <c r="CQ151" s="120">
        <v>0</v>
      </c>
      <c r="CR151" s="120">
        <v>0</v>
      </c>
      <c r="CS151" s="120">
        <v>0</v>
      </c>
      <c r="CT151" s="120">
        <v>0</v>
      </c>
      <c r="CU151" s="120">
        <v>0</v>
      </c>
      <c r="CV151" s="120">
        <v>0</v>
      </c>
      <c r="CW151" s="120">
        <v>0</v>
      </c>
      <c r="CX151" s="120">
        <v>0</v>
      </c>
      <c r="CY151" s="120">
        <v>0</v>
      </c>
      <c r="CZ151" s="120">
        <v>0</v>
      </c>
      <c r="DA151" s="120">
        <v>0</v>
      </c>
      <c r="DB151" s="120">
        <v>0</v>
      </c>
      <c r="DC151" s="120">
        <v>0</v>
      </c>
      <c r="DD151" s="120">
        <v>0</v>
      </c>
      <c r="DE151" s="120">
        <v>0</v>
      </c>
      <c r="DF151" s="120">
        <v>0</v>
      </c>
      <c r="DG151" s="120">
        <v>0</v>
      </c>
      <c r="DH151" s="120">
        <v>0</v>
      </c>
      <c r="DI151" s="120">
        <v>0</v>
      </c>
      <c r="DJ151" s="120">
        <v>0</v>
      </c>
      <c r="DK151" s="120">
        <v>0</v>
      </c>
      <c r="DL151" s="120">
        <v>0</v>
      </c>
      <c r="DM151" s="120">
        <v>0</v>
      </c>
      <c r="DN151" s="120">
        <v>0</v>
      </c>
      <c r="DO151" s="120">
        <v>0</v>
      </c>
      <c r="DP151" s="120">
        <v>6.5602109927112169</v>
      </c>
      <c r="DQ151" s="120">
        <v>0</v>
      </c>
      <c r="DR151" s="120">
        <v>-3399.930476050019</v>
      </c>
      <c r="DS151" s="120">
        <v>0</v>
      </c>
      <c r="DT151" s="120">
        <v>0</v>
      </c>
      <c r="DU151" s="120">
        <v>0</v>
      </c>
      <c r="DV151" s="120">
        <v>0</v>
      </c>
      <c r="DW151" s="120">
        <v>0</v>
      </c>
      <c r="DX151" s="120">
        <v>0</v>
      </c>
      <c r="DY151" s="120">
        <v>0</v>
      </c>
      <c r="DZ151" s="120">
        <v>0</v>
      </c>
      <c r="EA151" s="120">
        <v>0</v>
      </c>
      <c r="EB151" s="120">
        <v>0</v>
      </c>
      <c r="EC151" s="120">
        <v>0</v>
      </c>
      <c r="ED151" s="120">
        <f t="shared" si="2"/>
        <v>26570.258171443133</v>
      </c>
    </row>
    <row r="152" spans="1:134">
      <c r="A152" s="120">
        <v>151</v>
      </c>
      <c r="B152" s="120">
        <v>0</v>
      </c>
      <c r="C152" s="120">
        <v>0</v>
      </c>
      <c r="D152" s="120">
        <v>0</v>
      </c>
      <c r="E152" s="120">
        <v>0</v>
      </c>
      <c r="F152" s="120">
        <v>0</v>
      </c>
      <c r="G152" s="120">
        <v>0</v>
      </c>
      <c r="H152" s="120">
        <v>0</v>
      </c>
      <c r="I152" s="120">
        <v>0</v>
      </c>
      <c r="J152" s="120">
        <v>0</v>
      </c>
      <c r="K152" s="120">
        <v>0</v>
      </c>
      <c r="L152" s="120">
        <v>0</v>
      </c>
      <c r="M152" s="120">
        <v>0</v>
      </c>
      <c r="N152" s="120">
        <v>0</v>
      </c>
      <c r="O152" s="120">
        <v>0</v>
      </c>
      <c r="P152" s="120">
        <v>0</v>
      </c>
      <c r="Q152" s="120">
        <v>0</v>
      </c>
      <c r="R152" s="120">
        <v>0</v>
      </c>
      <c r="S152" s="120">
        <v>0</v>
      </c>
      <c r="T152" s="120">
        <v>0</v>
      </c>
      <c r="U152" s="120">
        <v>0</v>
      </c>
      <c r="V152" s="120">
        <v>0</v>
      </c>
      <c r="W152" s="120">
        <v>0</v>
      </c>
      <c r="X152" s="120">
        <v>0</v>
      </c>
      <c r="Y152" s="120">
        <v>0</v>
      </c>
      <c r="Z152" s="120">
        <v>0</v>
      </c>
      <c r="AA152" s="120">
        <v>0</v>
      </c>
      <c r="AB152" s="120">
        <v>0</v>
      </c>
      <c r="AC152" s="120">
        <v>0</v>
      </c>
      <c r="AD152" s="120">
        <v>0</v>
      </c>
      <c r="AE152" s="120">
        <v>0</v>
      </c>
      <c r="AF152" s="120">
        <v>0</v>
      </c>
      <c r="AG152" s="120">
        <v>0</v>
      </c>
      <c r="AH152" s="120">
        <v>0</v>
      </c>
      <c r="AI152" s="120">
        <v>0</v>
      </c>
      <c r="AJ152" s="120">
        <v>0</v>
      </c>
      <c r="AK152" s="120">
        <v>0</v>
      </c>
      <c r="AL152" s="120">
        <v>0</v>
      </c>
      <c r="AM152" s="120">
        <v>0</v>
      </c>
      <c r="AN152" s="120">
        <v>0</v>
      </c>
      <c r="AO152" s="120">
        <v>0</v>
      </c>
      <c r="AP152" s="120">
        <v>0</v>
      </c>
      <c r="AQ152" s="120">
        <v>0</v>
      </c>
      <c r="AR152" s="120">
        <v>0</v>
      </c>
      <c r="AS152" s="120">
        <v>0</v>
      </c>
      <c r="AT152" s="120">
        <v>0</v>
      </c>
      <c r="AU152" s="120">
        <v>0</v>
      </c>
      <c r="AV152" s="120">
        <v>0</v>
      </c>
      <c r="AW152" s="120">
        <v>0</v>
      </c>
      <c r="AX152" s="120">
        <v>0</v>
      </c>
      <c r="AY152" s="120">
        <v>0</v>
      </c>
      <c r="AZ152" s="120">
        <v>0</v>
      </c>
      <c r="BA152" s="120">
        <v>0</v>
      </c>
      <c r="BB152" s="120">
        <v>0</v>
      </c>
      <c r="BC152" s="120">
        <v>0</v>
      </c>
      <c r="BD152" s="120">
        <v>0</v>
      </c>
      <c r="BE152" s="120">
        <v>0</v>
      </c>
      <c r="BF152" s="120">
        <v>0</v>
      </c>
      <c r="BG152" s="120">
        <v>0</v>
      </c>
      <c r="BH152" s="120">
        <v>0</v>
      </c>
      <c r="BI152" s="120">
        <v>0</v>
      </c>
      <c r="BJ152" s="120">
        <v>0</v>
      </c>
      <c r="BK152" s="120">
        <v>0</v>
      </c>
      <c r="BL152" s="120">
        <v>0</v>
      </c>
      <c r="BM152" s="120">
        <v>0</v>
      </c>
      <c r="BN152" s="120">
        <v>0</v>
      </c>
      <c r="BO152" s="120">
        <v>0</v>
      </c>
      <c r="BP152" s="120">
        <v>0</v>
      </c>
      <c r="BQ152" s="120">
        <v>0</v>
      </c>
      <c r="BR152" s="120">
        <v>0</v>
      </c>
      <c r="BS152" s="120">
        <v>0</v>
      </c>
      <c r="BT152" s="120">
        <v>101526.79539164899</v>
      </c>
      <c r="BU152" s="120">
        <v>0</v>
      </c>
      <c r="BV152" s="120">
        <v>0</v>
      </c>
      <c r="BW152" s="120">
        <v>0</v>
      </c>
      <c r="BX152" s="120">
        <v>0</v>
      </c>
      <c r="BY152" s="120">
        <v>0</v>
      </c>
      <c r="BZ152" s="120">
        <v>0</v>
      </c>
      <c r="CA152" s="120">
        <v>0</v>
      </c>
      <c r="CB152" s="120">
        <v>0</v>
      </c>
      <c r="CC152" s="120">
        <v>0</v>
      </c>
      <c r="CD152" s="120">
        <v>0</v>
      </c>
      <c r="CE152" s="120">
        <v>0</v>
      </c>
      <c r="CF152" s="120">
        <v>0</v>
      </c>
      <c r="CG152" s="120">
        <v>0</v>
      </c>
      <c r="CH152" s="120">
        <v>0</v>
      </c>
      <c r="CI152" s="120">
        <v>0</v>
      </c>
      <c r="CJ152" s="120">
        <v>0</v>
      </c>
      <c r="CK152" s="120">
        <v>0</v>
      </c>
      <c r="CL152" s="120">
        <v>0</v>
      </c>
      <c r="CM152" s="120">
        <v>0</v>
      </c>
      <c r="CN152" s="120">
        <v>0</v>
      </c>
      <c r="CO152" s="120">
        <v>0</v>
      </c>
      <c r="CP152" s="120">
        <v>0</v>
      </c>
      <c r="CQ152" s="120">
        <v>0</v>
      </c>
      <c r="CR152" s="120">
        <v>0</v>
      </c>
      <c r="CS152" s="120">
        <v>0</v>
      </c>
      <c r="CT152" s="120">
        <v>0</v>
      </c>
      <c r="CU152" s="120">
        <v>0</v>
      </c>
      <c r="CV152" s="120">
        <v>0</v>
      </c>
      <c r="CW152" s="120">
        <v>0</v>
      </c>
      <c r="CX152" s="120">
        <v>0</v>
      </c>
      <c r="CY152" s="120">
        <v>0</v>
      </c>
      <c r="CZ152" s="120">
        <v>0</v>
      </c>
      <c r="DA152" s="120">
        <v>0</v>
      </c>
      <c r="DB152" s="120">
        <v>0</v>
      </c>
      <c r="DC152" s="120">
        <v>0</v>
      </c>
      <c r="DD152" s="120">
        <v>0</v>
      </c>
      <c r="DE152" s="120">
        <v>0</v>
      </c>
      <c r="DF152" s="120">
        <v>0</v>
      </c>
      <c r="DG152" s="120">
        <v>0</v>
      </c>
      <c r="DH152" s="120">
        <v>0</v>
      </c>
      <c r="DI152" s="120">
        <v>0</v>
      </c>
      <c r="DJ152" s="120">
        <v>0</v>
      </c>
      <c r="DK152" s="120">
        <v>0</v>
      </c>
      <c r="DL152" s="120">
        <v>0</v>
      </c>
      <c r="DM152" s="120">
        <v>0</v>
      </c>
      <c r="DN152" s="120">
        <v>0</v>
      </c>
      <c r="DO152" s="120">
        <v>0</v>
      </c>
      <c r="DP152" s="120">
        <v>0</v>
      </c>
      <c r="DQ152" s="120">
        <v>0</v>
      </c>
      <c r="DR152" s="120">
        <v>0</v>
      </c>
      <c r="DS152" s="120">
        <v>0</v>
      </c>
      <c r="DT152" s="120">
        <v>0</v>
      </c>
      <c r="DU152" s="120">
        <v>0</v>
      </c>
      <c r="DV152" s="120">
        <v>0</v>
      </c>
      <c r="DW152" s="120">
        <v>0</v>
      </c>
      <c r="DX152" s="120">
        <v>0</v>
      </c>
      <c r="DY152" s="120">
        <v>0</v>
      </c>
      <c r="DZ152" s="120">
        <v>0</v>
      </c>
      <c r="EA152" s="120">
        <v>0</v>
      </c>
      <c r="EB152" s="120">
        <v>0</v>
      </c>
      <c r="EC152" s="120">
        <v>0</v>
      </c>
      <c r="ED152" s="120">
        <f t="shared" si="2"/>
        <v>101526.79539164899</v>
      </c>
    </row>
    <row r="153" spans="1:134">
      <c r="A153" s="120">
        <v>152</v>
      </c>
      <c r="B153" s="120">
        <v>0</v>
      </c>
      <c r="C153" s="120">
        <v>0</v>
      </c>
      <c r="D153" s="120">
        <v>0</v>
      </c>
      <c r="E153" s="120">
        <v>0</v>
      </c>
      <c r="F153" s="120">
        <v>0</v>
      </c>
      <c r="G153" s="120">
        <v>0</v>
      </c>
      <c r="H153" s="120">
        <v>0</v>
      </c>
      <c r="I153" s="120">
        <v>0</v>
      </c>
      <c r="J153" s="120">
        <v>0</v>
      </c>
      <c r="K153" s="120">
        <v>0</v>
      </c>
      <c r="L153" s="120">
        <v>0</v>
      </c>
      <c r="M153" s="120">
        <v>0</v>
      </c>
      <c r="N153" s="120">
        <v>0</v>
      </c>
      <c r="O153" s="120">
        <v>0</v>
      </c>
      <c r="P153" s="120">
        <v>0</v>
      </c>
      <c r="Q153" s="120">
        <v>0</v>
      </c>
      <c r="R153" s="120">
        <v>0</v>
      </c>
      <c r="S153" s="120">
        <v>0</v>
      </c>
      <c r="T153" s="120">
        <v>0</v>
      </c>
      <c r="U153" s="120">
        <v>0</v>
      </c>
      <c r="V153" s="120">
        <v>0</v>
      </c>
      <c r="W153" s="120">
        <v>0</v>
      </c>
      <c r="X153" s="120">
        <v>0</v>
      </c>
      <c r="Y153" s="120">
        <v>0</v>
      </c>
      <c r="Z153" s="120">
        <v>0</v>
      </c>
      <c r="AA153" s="120">
        <v>0</v>
      </c>
      <c r="AB153" s="120">
        <v>0</v>
      </c>
      <c r="AC153" s="120">
        <v>0</v>
      </c>
      <c r="AD153" s="120">
        <v>0</v>
      </c>
      <c r="AE153" s="120">
        <v>0</v>
      </c>
      <c r="AF153" s="120">
        <v>0</v>
      </c>
      <c r="AG153" s="120">
        <v>0</v>
      </c>
      <c r="AH153" s="120">
        <v>0</v>
      </c>
      <c r="AI153" s="120">
        <v>0</v>
      </c>
      <c r="AJ153" s="120">
        <v>0</v>
      </c>
      <c r="AK153" s="120">
        <v>0</v>
      </c>
      <c r="AL153" s="120">
        <v>0</v>
      </c>
      <c r="AM153" s="120">
        <v>0</v>
      </c>
      <c r="AN153" s="120">
        <v>0</v>
      </c>
      <c r="AO153" s="120">
        <v>0</v>
      </c>
      <c r="AP153" s="120">
        <v>0</v>
      </c>
      <c r="AQ153" s="120">
        <v>0</v>
      </c>
      <c r="AR153" s="120">
        <v>0</v>
      </c>
      <c r="AS153" s="120">
        <v>0</v>
      </c>
      <c r="AT153" s="120">
        <v>0</v>
      </c>
      <c r="AU153" s="120">
        <v>0</v>
      </c>
      <c r="AV153" s="120">
        <v>0</v>
      </c>
      <c r="AW153" s="120">
        <v>0</v>
      </c>
      <c r="AX153" s="120">
        <v>0</v>
      </c>
      <c r="AY153" s="120">
        <v>0</v>
      </c>
      <c r="AZ153" s="120">
        <v>0</v>
      </c>
      <c r="BA153" s="120">
        <v>0</v>
      </c>
      <c r="BB153" s="120">
        <v>0</v>
      </c>
      <c r="BC153" s="120">
        <v>0</v>
      </c>
      <c r="BD153" s="120">
        <v>0</v>
      </c>
      <c r="BE153" s="120">
        <v>0</v>
      </c>
      <c r="BF153" s="120">
        <v>0</v>
      </c>
      <c r="BG153" s="120">
        <v>0</v>
      </c>
      <c r="BH153" s="120">
        <v>0</v>
      </c>
      <c r="BI153" s="120">
        <v>0</v>
      </c>
      <c r="BJ153" s="120">
        <v>0</v>
      </c>
      <c r="BK153" s="120">
        <v>0</v>
      </c>
      <c r="BL153" s="120">
        <v>0</v>
      </c>
      <c r="BM153" s="120">
        <v>0</v>
      </c>
      <c r="BN153" s="120">
        <v>0</v>
      </c>
      <c r="BO153" s="120">
        <v>0</v>
      </c>
      <c r="BP153" s="120">
        <v>0</v>
      </c>
      <c r="BQ153" s="120">
        <v>0</v>
      </c>
      <c r="BR153" s="120">
        <v>0</v>
      </c>
      <c r="BS153" s="120">
        <v>26755.780057452659</v>
      </c>
      <c r="BT153" s="120">
        <v>0</v>
      </c>
      <c r="BU153" s="120">
        <v>0</v>
      </c>
      <c r="BV153" s="120">
        <v>0</v>
      </c>
      <c r="BW153" s="120">
        <v>0</v>
      </c>
      <c r="BX153" s="120">
        <v>0</v>
      </c>
      <c r="BY153" s="120">
        <v>0</v>
      </c>
      <c r="BZ153" s="120">
        <v>0</v>
      </c>
      <c r="CA153" s="120">
        <v>0</v>
      </c>
      <c r="CB153" s="120">
        <v>0</v>
      </c>
      <c r="CC153" s="120">
        <v>0</v>
      </c>
      <c r="CD153" s="120">
        <v>0</v>
      </c>
      <c r="CE153" s="120">
        <v>0</v>
      </c>
      <c r="CF153" s="120">
        <v>0</v>
      </c>
      <c r="CG153" s="120">
        <v>0</v>
      </c>
      <c r="CH153" s="120">
        <v>0</v>
      </c>
      <c r="CI153" s="120">
        <v>0</v>
      </c>
      <c r="CJ153" s="120">
        <v>0</v>
      </c>
      <c r="CK153" s="120">
        <v>0</v>
      </c>
      <c r="CL153" s="120">
        <v>0</v>
      </c>
      <c r="CM153" s="120">
        <v>0</v>
      </c>
      <c r="CN153" s="120">
        <v>0</v>
      </c>
      <c r="CO153" s="120">
        <v>0</v>
      </c>
      <c r="CP153" s="120">
        <v>0</v>
      </c>
      <c r="CQ153" s="120">
        <v>0</v>
      </c>
      <c r="CR153" s="120">
        <v>0</v>
      </c>
      <c r="CS153" s="120">
        <v>0</v>
      </c>
      <c r="CT153" s="120">
        <v>0</v>
      </c>
      <c r="CU153" s="120">
        <v>0</v>
      </c>
      <c r="CV153" s="120">
        <v>0</v>
      </c>
      <c r="CW153" s="120">
        <v>0</v>
      </c>
      <c r="CX153" s="120">
        <v>0</v>
      </c>
      <c r="CY153" s="120">
        <v>0</v>
      </c>
      <c r="CZ153" s="120">
        <v>0</v>
      </c>
      <c r="DA153" s="120">
        <v>0</v>
      </c>
      <c r="DB153" s="120">
        <v>0</v>
      </c>
      <c r="DC153" s="120">
        <v>0</v>
      </c>
      <c r="DD153" s="120">
        <v>0</v>
      </c>
      <c r="DE153" s="120">
        <v>0</v>
      </c>
      <c r="DF153" s="120">
        <v>0</v>
      </c>
      <c r="DG153" s="120">
        <v>0</v>
      </c>
      <c r="DH153" s="120">
        <v>0</v>
      </c>
      <c r="DI153" s="120">
        <v>0</v>
      </c>
      <c r="DJ153" s="120">
        <v>0</v>
      </c>
      <c r="DK153" s="120">
        <v>0</v>
      </c>
      <c r="DL153" s="120">
        <v>0</v>
      </c>
      <c r="DM153" s="120">
        <v>0</v>
      </c>
      <c r="DN153" s="120">
        <v>0</v>
      </c>
      <c r="DO153" s="120">
        <v>0</v>
      </c>
      <c r="DP153" s="120">
        <v>0</v>
      </c>
      <c r="DQ153" s="120">
        <v>0</v>
      </c>
      <c r="DR153" s="120">
        <v>0</v>
      </c>
      <c r="DS153" s="120">
        <v>0</v>
      </c>
      <c r="DT153" s="120">
        <v>0</v>
      </c>
      <c r="DU153" s="120">
        <v>0</v>
      </c>
      <c r="DV153" s="120">
        <v>0</v>
      </c>
      <c r="DW153" s="120">
        <v>0</v>
      </c>
      <c r="DX153" s="120">
        <v>0</v>
      </c>
      <c r="DY153" s="120">
        <v>0</v>
      </c>
      <c r="DZ153" s="120">
        <v>0</v>
      </c>
      <c r="EA153" s="120">
        <v>0</v>
      </c>
      <c r="EB153" s="120">
        <v>0</v>
      </c>
      <c r="EC153" s="120">
        <v>0</v>
      </c>
      <c r="ED153" s="120">
        <f t="shared" si="2"/>
        <v>26755.780057452659</v>
      </c>
    </row>
    <row r="154" spans="1:134">
      <c r="A154" s="120">
        <v>153</v>
      </c>
      <c r="B154" s="120">
        <v>0</v>
      </c>
      <c r="C154" s="120">
        <v>0</v>
      </c>
      <c r="D154" s="120">
        <v>0</v>
      </c>
      <c r="E154" s="120">
        <v>0</v>
      </c>
      <c r="F154" s="120">
        <v>0</v>
      </c>
      <c r="G154" s="120">
        <v>0</v>
      </c>
      <c r="H154" s="120">
        <v>0</v>
      </c>
      <c r="I154" s="120">
        <v>0</v>
      </c>
      <c r="J154" s="120">
        <v>0</v>
      </c>
      <c r="K154" s="120">
        <v>0</v>
      </c>
      <c r="L154" s="120">
        <v>0</v>
      </c>
      <c r="M154" s="120">
        <v>0</v>
      </c>
      <c r="N154" s="120">
        <v>0</v>
      </c>
      <c r="O154" s="120">
        <v>0</v>
      </c>
      <c r="P154" s="120">
        <v>0</v>
      </c>
      <c r="Q154" s="120">
        <v>0</v>
      </c>
      <c r="R154" s="120">
        <v>0</v>
      </c>
      <c r="S154" s="120">
        <v>0</v>
      </c>
      <c r="T154" s="120">
        <v>0</v>
      </c>
      <c r="U154" s="120">
        <v>0</v>
      </c>
      <c r="V154" s="120">
        <v>0</v>
      </c>
      <c r="W154" s="120">
        <v>0</v>
      </c>
      <c r="X154" s="120">
        <v>0</v>
      </c>
      <c r="Y154" s="120">
        <v>0</v>
      </c>
      <c r="Z154" s="120">
        <v>0</v>
      </c>
      <c r="AA154" s="120">
        <v>0</v>
      </c>
      <c r="AB154" s="120">
        <v>0</v>
      </c>
      <c r="AC154" s="120">
        <v>0</v>
      </c>
      <c r="AD154" s="120">
        <v>0</v>
      </c>
      <c r="AE154" s="120">
        <v>0</v>
      </c>
      <c r="AF154" s="120">
        <v>0</v>
      </c>
      <c r="AG154" s="120">
        <v>0</v>
      </c>
      <c r="AH154" s="120">
        <v>0</v>
      </c>
      <c r="AI154" s="120">
        <v>0</v>
      </c>
      <c r="AJ154" s="120">
        <v>0</v>
      </c>
      <c r="AK154" s="120">
        <v>0</v>
      </c>
      <c r="AL154" s="120">
        <v>0</v>
      </c>
      <c r="AM154" s="120">
        <v>0</v>
      </c>
      <c r="AN154" s="120">
        <v>0</v>
      </c>
      <c r="AO154" s="120">
        <v>0</v>
      </c>
      <c r="AP154" s="120">
        <v>0</v>
      </c>
      <c r="AQ154" s="120">
        <v>0</v>
      </c>
      <c r="AR154" s="120">
        <v>0</v>
      </c>
      <c r="AS154" s="120">
        <v>0</v>
      </c>
      <c r="AT154" s="120">
        <v>0</v>
      </c>
      <c r="AU154" s="120">
        <v>0</v>
      </c>
      <c r="AV154" s="120">
        <v>0</v>
      </c>
      <c r="AW154" s="120">
        <v>0</v>
      </c>
      <c r="AX154" s="120">
        <v>0</v>
      </c>
      <c r="AY154" s="120">
        <v>0</v>
      </c>
      <c r="AZ154" s="120">
        <v>0</v>
      </c>
      <c r="BA154" s="120">
        <v>0</v>
      </c>
      <c r="BB154" s="120">
        <v>0</v>
      </c>
      <c r="BC154" s="120">
        <v>0</v>
      </c>
      <c r="BD154" s="120">
        <v>0</v>
      </c>
      <c r="BE154" s="120">
        <v>0</v>
      </c>
      <c r="BF154" s="120">
        <v>0</v>
      </c>
      <c r="BG154" s="120">
        <v>0</v>
      </c>
      <c r="BH154" s="120">
        <v>0</v>
      </c>
      <c r="BI154" s="120">
        <v>0</v>
      </c>
      <c r="BJ154" s="120">
        <v>0</v>
      </c>
      <c r="BK154" s="120">
        <v>0</v>
      </c>
      <c r="BL154" s="120">
        <v>0</v>
      </c>
      <c r="BM154" s="120">
        <v>0</v>
      </c>
      <c r="BN154" s="120">
        <v>0</v>
      </c>
      <c r="BO154" s="120">
        <v>0</v>
      </c>
      <c r="BP154" s="120">
        <v>0</v>
      </c>
      <c r="BQ154" s="120">
        <v>0</v>
      </c>
      <c r="BR154" s="120">
        <v>0</v>
      </c>
      <c r="BS154" s="120">
        <v>0</v>
      </c>
      <c r="BT154" s="120">
        <v>18100.332420654951</v>
      </c>
      <c r="BU154" s="120">
        <v>0</v>
      </c>
      <c r="BV154" s="120">
        <v>0</v>
      </c>
      <c r="BW154" s="120">
        <v>0</v>
      </c>
      <c r="BX154" s="120">
        <v>0</v>
      </c>
      <c r="BY154" s="120">
        <v>0</v>
      </c>
      <c r="BZ154" s="120">
        <v>0</v>
      </c>
      <c r="CA154" s="120">
        <v>0</v>
      </c>
      <c r="CB154" s="120">
        <v>0</v>
      </c>
      <c r="CC154" s="120">
        <v>0</v>
      </c>
      <c r="CD154" s="120">
        <v>0</v>
      </c>
      <c r="CE154" s="120">
        <v>0</v>
      </c>
      <c r="CF154" s="120">
        <v>0</v>
      </c>
      <c r="CG154" s="120">
        <v>0</v>
      </c>
      <c r="CH154" s="120">
        <v>0</v>
      </c>
      <c r="CI154" s="120">
        <v>0</v>
      </c>
      <c r="CJ154" s="120">
        <v>0</v>
      </c>
      <c r="CK154" s="120">
        <v>0</v>
      </c>
      <c r="CL154" s="120">
        <v>0</v>
      </c>
      <c r="CM154" s="120">
        <v>0</v>
      </c>
      <c r="CN154" s="120">
        <v>0</v>
      </c>
      <c r="CO154" s="120">
        <v>0</v>
      </c>
      <c r="CP154" s="120">
        <v>0</v>
      </c>
      <c r="CQ154" s="120">
        <v>0</v>
      </c>
      <c r="CR154" s="120">
        <v>0</v>
      </c>
      <c r="CS154" s="120">
        <v>0</v>
      </c>
      <c r="CT154" s="120">
        <v>0</v>
      </c>
      <c r="CU154" s="120">
        <v>0</v>
      </c>
      <c r="CV154" s="120">
        <v>0</v>
      </c>
      <c r="CW154" s="120">
        <v>0</v>
      </c>
      <c r="CX154" s="120">
        <v>0</v>
      </c>
      <c r="CY154" s="120">
        <v>0</v>
      </c>
      <c r="CZ154" s="120">
        <v>0</v>
      </c>
      <c r="DA154" s="120">
        <v>0</v>
      </c>
      <c r="DB154" s="120">
        <v>0</v>
      </c>
      <c r="DC154" s="120">
        <v>0</v>
      </c>
      <c r="DD154" s="120">
        <v>0</v>
      </c>
      <c r="DE154" s="120">
        <v>0</v>
      </c>
      <c r="DF154" s="120">
        <v>0</v>
      </c>
      <c r="DG154" s="120">
        <v>0</v>
      </c>
      <c r="DH154" s="120">
        <v>0</v>
      </c>
      <c r="DI154" s="120">
        <v>0</v>
      </c>
      <c r="DJ154" s="120">
        <v>0</v>
      </c>
      <c r="DK154" s="120">
        <v>0</v>
      </c>
      <c r="DL154" s="120">
        <v>0</v>
      </c>
      <c r="DM154" s="120">
        <v>0</v>
      </c>
      <c r="DN154" s="120">
        <v>0</v>
      </c>
      <c r="DO154" s="120">
        <v>0</v>
      </c>
      <c r="DP154" s="120">
        <v>0</v>
      </c>
      <c r="DQ154" s="120">
        <v>0</v>
      </c>
      <c r="DR154" s="120">
        <v>0</v>
      </c>
      <c r="DS154" s="120">
        <v>0</v>
      </c>
      <c r="DT154" s="120">
        <v>0</v>
      </c>
      <c r="DU154" s="120">
        <v>0</v>
      </c>
      <c r="DV154" s="120">
        <v>0</v>
      </c>
      <c r="DW154" s="120">
        <v>0</v>
      </c>
      <c r="DX154" s="120">
        <v>0</v>
      </c>
      <c r="DY154" s="120">
        <v>0</v>
      </c>
      <c r="DZ154" s="120">
        <v>0</v>
      </c>
      <c r="EA154" s="120">
        <v>0</v>
      </c>
      <c r="EB154" s="120">
        <v>0</v>
      </c>
      <c r="EC154" s="120">
        <v>0</v>
      </c>
      <c r="ED154" s="120">
        <f t="shared" si="2"/>
        <v>18100.332420654951</v>
      </c>
    </row>
    <row r="155" spans="1:134">
      <c r="A155" s="120">
        <v>154</v>
      </c>
      <c r="B155" s="120">
        <v>0</v>
      </c>
      <c r="C155" s="120">
        <v>0</v>
      </c>
      <c r="D155" s="120">
        <v>0</v>
      </c>
      <c r="E155" s="120">
        <v>0</v>
      </c>
      <c r="F155" s="120">
        <v>0</v>
      </c>
      <c r="G155" s="120">
        <v>0</v>
      </c>
      <c r="H155" s="120">
        <v>0</v>
      </c>
      <c r="I155" s="120">
        <v>0</v>
      </c>
      <c r="J155" s="120">
        <v>0</v>
      </c>
      <c r="K155" s="120">
        <v>0</v>
      </c>
      <c r="L155" s="120">
        <v>0</v>
      </c>
      <c r="M155" s="120">
        <v>0</v>
      </c>
      <c r="N155" s="120">
        <v>0</v>
      </c>
      <c r="O155" s="120">
        <v>0</v>
      </c>
      <c r="P155" s="120">
        <v>0</v>
      </c>
      <c r="Q155" s="120">
        <v>0</v>
      </c>
      <c r="R155" s="120">
        <v>0</v>
      </c>
      <c r="S155" s="120">
        <v>0</v>
      </c>
      <c r="T155" s="120">
        <v>0</v>
      </c>
      <c r="U155" s="120">
        <v>0</v>
      </c>
      <c r="V155" s="120">
        <v>0</v>
      </c>
      <c r="W155" s="120">
        <v>0</v>
      </c>
      <c r="X155" s="120">
        <v>0</v>
      </c>
      <c r="Y155" s="120">
        <v>0</v>
      </c>
      <c r="Z155" s="120">
        <v>0</v>
      </c>
      <c r="AA155" s="120">
        <v>0</v>
      </c>
      <c r="AB155" s="120">
        <v>0</v>
      </c>
      <c r="AC155" s="120">
        <v>0</v>
      </c>
      <c r="AD155" s="120">
        <v>0</v>
      </c>
      <c r="AE155" s="120">
        <v>0</v>
      </c>
      <c r="AF155" s="120">
        <v>0</v>
      </c>
      <c r="AG155" s="120">
        <v>0</v>
      </c>
      <c r="AH155" s="120">
        <v>0</v>
      </c>
      <c r="AI155" s="120">
        <v>0</v>
      </c>
      <c r="AJ155" s="120">
        <v>0</v>
      </c>
      <c r="AK155" s="120">
        <v>0</v>
      </c>
      <c r="AL155" s="120">
        <v>0</v>
      </c>
      <c r="AM155" s="120">
        <v>0</v>
      </c>
      <c r="AN155" s="120">
        <v>0</v>
      </c>
      <c r="AO155" s="120">
        <v>0</v>
      </c>
      <c r="AP155" s="120">
        <v>0</v>
      </c>
      <c r="AQ155" s="120">
        <v>0</v>
      </c>
      <c r="AR155" s="120">
        <v>0</v>
      </c>
      <c r="AS155" s="120">
        <v>0</v>
      </c>
      <c r="AT155" s="120">
        <v>0</v>
      </c>
      <c r="AU155" s="120">
        <v>0</v>
      </c>
      <c r="AV155" s="120">
        <v>15651.61855903433</v>
      </c>
      <c r="AW155" s="120">
        <v>0</v>
      </c>
      <c r="AX155" s="120">
        <v>0</v>
      </c>
      <c r="AY155" s="120">
        <v>0</v>
      </c>
      <c r="AZ155" s="120">
        <v>0</v>
      </c>
      <c r="BA155" s="120">
        <v>1625</v>
      </c>
      <c r="BB155" s="120">
        <v>0</v>
      </c>
      <c r="BC155" s="120">
        <v>14540.358005558061</v>
      </c>
      <c r="BD155" s="120">
        <v>0</v>
      </c>
      <c r="BE155" s="120">
        <v>0</v>
      </c>
      <c r="BF155" s="120">
        <v>0</v>
      </c>
      <c r="BG155" s="120">
        <v>0</v>
      </c>
      <c r="BH155" s="120">
        <v>0</v>
      </c>
      <c r="BI155" s="120">
        <v>0</v>
      </c>
      <c r="BJ155" s="120">
        <v>0</v>
      </c>
      <c r="BK155" s="120">
        <v>0</v>
      </c>
      <c r="BL155" s="120">
        <v>0</v>
      </c>
      <c r="BM155" s="120">
        <v>0</v>
      </c>
      <c r="BN155" s="120">
        <v>0</v>
      </c>
      <c r="BO155" s="120">
        <v>0</v>
      </c>
      <c r="BP155" s="120">
        <v>0</v>
      </c>
      <c r="BQ155" s="120">
        <v>0</v>
      </c>
      <c r="BR155" s="120">
        <v>0</v>
      </c>
      <c r="BS155" s="120">
        <v>0</v>
      </c>
      <c r="BT155" s="120">
        <v>62568.241563954449</v>
      </c>
      <c r="BU155" s="120">
        <v>0</v>
      </c>
      <c r="BV155" s="120">
        <v>0</v>
      </c>
      <c r="BW155" s="120">
        <v>0</v>
      </c>
      <c r="BX155" s="120">
        <v>0</v>
      </c>
      <c r="BY155" s="120">
        <v>0</v>
      </c>
      <c r="BZ155" s="120">
        <v>0</v>
      </c>
      <c r="CA155" s="120">
        <v>0</v>
      </c>
      <c r="CB155" s="120">
        <v>0</v>
      </c>
      <c r="CC155" s="120">
        <v>0</v>
      </c>
      <c r="CD155" s="120">
        <v>0</v>
      </c>
      <c r="CE155" s="120">
        <v>0</v>
      </c>
      <c r="CF155" s="120">
        <v>0</v>
      </c>
      <c r="CG155" s="120">
        <v>0</v>
      </c>
      <c r="CH155" s="120">
        <v>0</v>
      </c>
      <c r="CI155" s="120">
        <v>0</v>
      </c>
      <c r="CJ155" s="120">
        <v>0</v>
      </c>
      <c r="CK155" s="120">
        <v>0</v>
      </c>
      <c r="CL155" s="120">
        <v>0</v>
      </c>
      <c r="CM155" s="120">
        <v>0</v>
      </c>
      <c r="CN155" s="120">
        <v>0</v>
      </c>
      <c r="CO155" s="120">
        <v>0</v>
      </c>
      <c r="CP155" s="120">
        <v>0</v>
      </c>
      <c r="CQ155" s="120">
        <v>0</v>
      </c>
      <c r="CR155" s="120">
        <v>0</v>
      </c>
      <c r="CS155" s="120">
        <v>0</v>
      </c>
      <c r="CT155" s="120">
        <v>0</v>
      </c>
      <c r="CU155" s="120">
        <v>0</v>
      </c>
      <c r="CV155" s="120">
        <v>0</v>
      </c>
      <c r="CW155" s="120">
        <v>0</v>
      </c>
      <c r="CX155" s="120">
        <v>0</v>
      </c>
      <c r="CY155" s="120">
        <v>0</v>
      </c>
      <c r="CZ155" s="120">
        <v>0</v>
      </c>
      <c r="DA155" s="120">
        <v>0</v>
      </c>
      <c r="DB155" s="120">
        <v>0</v>
      </c>
      <c r="DC155" s="120">
        <v>0</v>
      </c>
      <c r="DD155" s="120">
        <v>0</v>
      </c>
      <c r="DE155" s="120">
        <v>0</v>
      </c>
      <c r="DF155" s="120">
        <v>0</v>
      </c>
      <c r="DG155" s="120">
        <v>0</v>
      </c>
      <c r="DH155" s="120">
        <v>0</v>
      </c>
      <c r="DI155" s="120">
        <v>0</v>
      </c>
      <c r="DJ155" s="120">
        <v>0</v>
      </c>
      <c r="DK155" s="120">
        <v>0</v>
      </c>
      <c r="DL155" s="120">
        <v>0</v>
      </c>
      <c r="DM155" s="120">
        <v>0</v>
      </c>
      <c r="DN155" s="120">
        <v>0</v>
      </c>
      <c r="DO155" s="120">
        <v>0</v>
      </c>
      <c r="DP155" s="120">
        <v>0</v>
      </c>
      <c r="DQ155" s="120">
        <v>0</v>
      </c>
      <c r="DR155" s="120">
        <v>0</v>
      </c>
      <c r="DS155" s="120">
        <v>0</v>
      </c>
      <c r="DT155" s="120">
        <v>0</v>
      </c>
      <c r="DU155" s="120">
        <v>0</v>
      </c>
      <c r="DV155" s="120">
        <v>0</v>
      </c>
      <c r="DW155" s="120">
        <v>0</v>
      </c>
      <c r="DX155" s="120">
        <v>0</v>
      </c>
      <c r="DY155" s="120">
        <v>0</v>
      </c>
      <c r="DZ155" s="120">
        <v>0</v>
      </c>
      <c r="EA155" s="120">
        <v>0</v>
      </c>
      <c r="EB155" s="120">
        <v>0</v>
      </c>
      <c r="EC155" s="120">
        <v>0</v>
      </c>
      <c r="ED155" s="120">
        <f t="shared" si="2"/>
        <v>94385.21812854684</v>
      </c>
    </row>
    <row r="156" spans="1:134">
      <c r="A156" s="120">
        <v>155</v>
      </c>
      <c r="B156" s="120">
        <v>0</v>
      </c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0">
        <v>0</v>
      </c>
      <c r="I156" s="120">
        <v>0</v>
      </c>
      <c r="J156" s="120">
        <v>0</v>
      </c>
      <c r="K156" s="120">
        <v>0</v>
      </c>
      <c r="L156" s="120">
        <v>0</v>
      </c>
      <c r="M156" s="120">
        <v>0</v>
      </c>
      <c r="N156" s="120">
        <v>0</v>
      </c>
      <c r="O156" s="120">
        <v>0</v>
      </c>
      <c r="P156" s="120">
        <v>0</v>
      </c>
      <c r="Q156" s="120">
        <v>0</v>
      </c>
      <c r="R156" s="120">
        <v>0</v>
      </c>
      <c r="S156" s="120">
        <v>0</v>
      </c>
      <c r="T156" s="120">
        <v>0</v>
      </c>
      <c r="U156" s="120">
        <v>0</v>
      </c>
      <c r="V156" s="120">
        <v>0</v>
      </c>
      <c r="W156" s="120">
        <v>0</v>
      </c>
      <c r="X156" s="120">
        <v>0</v>
      </c>
      <c r="Y156" s="120">
        <v>0</v>
      </c>
      <c r="Z156" s="120">
        <v>0</v>
      </c>
      <c r="AA156" s="120">
        <v>0</v>
      </c>
      <c r="AB156" s="120">
        <v>0</v>
      </c>
      <c r="AC156" s="120">
        <v>0</v>
      </c>
      <c r="AD156" s="120">
        <v>0</v>
      </c>
      <c r="AE156" s="120">
        <v>0</v>
      </c>
      <c r="AF156" s="120">
        <v>0</v>
      </c>
      <c r="AG156" s="120">
        <v>0</v>
      </c>
      <c r="AH156" s="120">
        <v>0</v>
      </c>
      <c r="AI156" s="120">
        <v>0</v>
      </c>
      <c r="AJ156" s="120">
        <v>0</v>
      </c>
      <c r="AK156" s="120">
        <v>0</v>
      </c>
      <c r="AL156" s="120">
        <v>0</v>
      </c>
      <c r="AM156" s="120">
        <v>0</v>
      </c>
      <c r="AN156" s="120">
        <v>0</v>
      </c>
      <c r="AO156" s="120">
        <v>0</v>
      </c>
      <c r="AP156" s="120">
        <v>0</v>
      </c>
      <c r="AQ156" s="120">
        <v>0</v>
      </c>
      <c r="AR156" s="120">
        <v>0</v>
      </c>
      <c r="AS156" s="120">
        <v>0</v>
      </c>
      <c r="AT156" s="120">
        <v>0</v>
      </c>
      <c r="AU156" s="120">
        <v>0</v>
      </c>
      <c r="AV156" s="120">
        <v>0</v>
      </c>
      <c r="AW156" s="120">
        <v>0</v>
      </c>
      <c r="AX156" s="120">
        <v>0</v>
      </c>
      <c r="AY156" s="120">
        <v>0</v>
      </c>
      <c r="AZ156" s="120">
        <v>0</v>
      </c>
      <c r="BA156" s="120">
        <v>0</v>
      </c>
      <c r="BB156" s="120">
        <v>0</v>
      </c>
      <c r="BC156" s="120">
        <v>0</v>
      </c>
      <c r="BD156" s="120">
        <v>0</v>
      </c>
      <c r="BE156" s="120">
        <v>0</v>
      </c>
      <c r="BF156" s="120">
        <v>0</v>
      </c>
      <c r="BG156" s="120">
        <v>0</v>
      </c>
      <c r="BH156" s="120">
        <v>0</v>
      </c>
      <c r="BI156" s="120">
        <v>0</v>
      </c>
      <c r="BJ156" s="120">
        <v>0</v>
      </c>
      <c r="BK156" s="120">
        <v>0</v>
      </c>
      <c r="BL156" s="120">
        <v>0</v>
      </c>
      <c r="BM156" s="120">
        <v>0</v>
      </c>
      <c r="BN156" s="120">
        <v>0</v>
      </c>
      <c r="BO156" s="120">
        <v>0</v>
      </c>
      <c r="BP156" s="120">
        <v>0</v>
      </c>
      <c r="BQ156" s="120">
        <v>0</v>
      </c>
      <c r="BR156" s="120">
        <v>0</v>
      </c>
      <c r="BS156" s="120">
        <v>0</v>
      </c>
      <c r="BT156" s="120">
        <v>0</v>
      </c>
      <c r="BU156" s="120">
        <v>9038</v>
      </c>
      <c r="BV156" s="120">
        <v>0</v>
      </c>
      <c r="BW156" s="120">
        <v>0</v>
      </c>
      <c r="BX156" s="120">
        <v>0</v>
      </c>
      <c r="BY156" s="120">
        <v>110314</v>
      </c>
      <c r="BZ156" s="120">
        <v>0</v>
      </c>
      <c r="CA156" s="120">
        <v>0</v>
      </c>
      <c r="CB156" s="120">
        <v>0</v>
      </c>
      <c r="CC156" s="120">
        <v>0</v>
      </c>
      <c r="CD156" s="120">
        <v>0</v>
      </c>
      <c r="CE156" s="120">
        <v>0</v>
      </c>
      <c r="CF156" s="120">
        <v>0</v>
      </c>
      <c r="CG156" s="120">
        <v>0</v>
      </c>
      <c r="CH156" s="120">
        <v>0</v>
      </c>
      <c r="CI156" s="120">
        <v>0</v>
      </c>
      <c r="CJ156" s="120">
        <v>0</v>
      </c>
      <c r="CK156" s="120">
        <v>0</v>
      </c>
      <c r="CL156" s="120">
        <v>0</v>
      </c>
      <c r="CM156" s="120">
        <v>0</v>
      </c>
      <c r="CN156" s="120">
        <v>0</v>
      </c>
      <c r="CO156" s="120">
        <v>0</v>
      </c>
      <c r="CP156" s="120">
        <v>0</v>
      </c>
      <c r="CQ156" s="120">
        <v>0</v>
      </c>
      <c r="CR156" s="120">
        <v>0</v>
      </c>
      <c r="CS156" s="120">
        <v>0</v>
      </c>
      <c r="CT156" s="120">
        <v>0</v>
      </c>
      <c r="CU156" s="120">
        <v>0</v>
      </c>
      <c r="CV156" s="120">
        <v>0</v>
      </c>
      <c r="CW156" s="120">
        <v>0</v>
      </c>
      <c r="CX156" s="120">
        <v>0</v>
      </c>
      <c r="CY156" s="120">
        <v>0</v>
      </c>
      <c r="CZ156" s="120">
        <v>0</v>
      </c>
      <c r="DA156" s="120">
        <v>0</v>
      </c>
      <c r="DB156" s="120">
        <v>0</v>
      </c>
      <c r="DC156" s="120">
        <v>0</v>
      </c>
      <c r="DD156" s="120">
        <v>0</v>
      </c>
      <c r="DE156" s="120">
        <v>0</v>
      </c>
      <c r="DF156" s="120">
        <v>0</v>
      </c>
      <c r="DG156" s="120">
        <v>0</v>
      </c>
      <c r="DH156" s="120">
        <v>0</v>
      </c>
      <c r="DI156" s="120">
        <v>0</v>
      </c>
      <c r="DJ156" s="120">
        <v>0</v>
      </c>
      <c r="DK156" s="120">
        <v>0</v>
      </c>
      <c r="DL156" s="120">
        <v>0</v>
      </c>
      <c r="DM156" s="120">
        <v>0</v>
      </c>
      <c r="DN156" s="120">
        <v>0</v>
      </c>
      <c r="DO156" s="120">
        <v>0</v>
      </c>
      <c r="DP156" s="120">
        <v>0</v>
      </c>
      <c r="DQ156" s="120">
        <v>0</v>
      </c>
      <c r="DR156" s="120">
        <v>0</v>
      </c>
      <c r="DS156" s="120">
        <v>0</v>
      </c>
      <c r="DT156" s="120">
        <v>0</v>
      </c>
      <c r="DU156" s="120">
        <v>0</v>
      </c>
      <c r="DV156" s="120">
        <v>0</v>
      </c>
      <c r="DW156" s="120">
        <v>0</v>
      </c>
      <c r="DX156" s="120">
        <v>0</v>
      </c>
      <c r="DY156" s="120">
        <v>0</v>
      </c>
      <c r="DZ156" s="120">
        <v>0</v>
      </c>
      <c r="EA156" s="120">
        <v>0</v>
      </c>
      <c r="EB156" s="120">
        <v>0</v>
      </c>
      <c r="EC156" s="120">
        <v>0</v>
      </c>
      <c r="ED156" s="120">
        <f t="shared" si="2"/>
        <v>119352</v>
      </c>
    </row>
    <row r="157" spans="1:134">
      <c r="A157" s="120">
        <v>156</v>
      </c>
      <c r="B157" s="120">
        <v>0</v>
      </c>
      <c r="C157" s="120">
        <v>0</v>
      </c>
      <c r="D157" s="120">
        <v>0</v>
      </c>
      <c r="E157" s="120">
        <v>0</v>
      </c>
      <c r="F157" s="120">
        <v>0</v>
      </c>
      <c r="G157" s="120">
        <v>0</v>
      </c>
      <c r="H157" s="120">
        <v>0</v>
      </c>
      <c r="I157" s="120">
        <v>0</v>
      </c>
      <c r="J157" s="120">
        <v>0</v>
      </c>
      <c r="K157" s="120">
        <v>0</v>
      </c>
      <c r="L157" s="120">
        <v>0</v>
      </c>
      <c r="M157" s="120">
        <v>0</v>
      </c>
      <c r="N157" s="120">
        <v>0</v>
      </c>
      <c r="O157" s="120">
        <v>0</v>
      </c>
      <c r="P157" s="120">
        <v>0</v>
      </c>
      <c r="Q157" s="120">
        <v>0</v>
      </c>
      <c r="R157" s="120">
        <v>0</v>
      </c>
      <c r="S157" s="120">
        <v>0</v>
      </c>
      <c r="T157" s="120">
        <v>0</v>
      </c>
      <c r="U157" s="120">
        <v>0</v>
      </c>
      <c r="V157" s="120">
        <v>0</v>
      </c>
      <c r="W157" s="120">
        <v>0</v>
      </c>
      <c r="X157" s="120">
        <v>0</v>
      </c>
      <c r="Y157" s="120">
        <v>0</v>
      </c>
      <c r="Z157" s="120">
        <v>0</v>
      </c>
      <c r="AA157" s="120">
        <v>0</v>
      </c>
      <c r="AB157" s="120">
        <v>0</v>
      </c>
      <c r="AC157" s="120">
        <v>0</v>
      </c>
      <c r="AD157" s="120">
        <v>0</v>
      </c>
      <c r="AE157" s="120">
        <v>0</v>
      </c>
      <c r="AF157" s="120">
        <v>0</v>
      </c>
      <c r="AG157" s="120">
        <v>0</v>
      </c>
      <c r="AH157" s="120">
        <v>0</v>
      </c>
      <c r="AI157" s="120">
        <v>0</v>
      </c>
      <c r="AJ157" s="120">
        <v>0</v>
      </c>
      <c r="AK157" s="120">
        <v>0</v>
      </c>
      <c r="AL157" s="120">
        <v>0</v>
      </c>
      <c r="AM157" s="120">
        <v>0</v>
      </c>
      <c r="AN157" s="120">
        <v>0</v>
      </c>
      <c r="AO157" s="120">
        <v>0</v>
      </c>
      <c r="AP157" s="120">
        <v>0</v>
      </c>
      <c r="AQ157" s="120">
        <v>0</v>
      </c>
      <c r="AR157" s="120">
        <v>0</v>
      </c>
      <c r="AS157" s="120">
        <v>0</v>
      </c>
      <c r="AT157" s="120">
        <v>0</v>
      </c>
      <c r="AU157" s="120">
        <v>0</v>
      </c>
      <c r="AV157" s="120">
        <v>0</v>
      </c>
      <c r="AW157" s="120">
        <v>0</v>
      </c>
      <c r="AX157" s="120">
        <v>0</v>
      </c>
      <c r="AY157" s="120">
        <v>0</v>
      </c>
      <c r="AZ157" s="120">
        <v>0</v>
      </c>
      <c r="BA157" s="120">
        <v>0</v>
      </c>
      <c r="BB157" s="120">
        <v>0</v>
      </c>
      <c r="BC157" s="120">
        <v>0</v>
      </c>
      <c r="BD157" s="120">
        <v>0</v>
      </c>
      <c r="BE157" s="120">
        <v>0</v>
      </c>
      <c r="BF157" s="120">
        <v>0</v>
      </c>
      <c r="BG157" s="120">
        <v>0</v>
      </c>
      <c r="BH157" s="120">
        <v>0</v>
      </c>
      <c r="BI157" s="120">
        <v>0</v>
      </c>
      <c r="BJ157" s="120">
        <v>0</v>
      </c>
      <c r="BK157" s="120">
        <v>0</v>
      </c>
      <c r="BL157" s="120">
        <v>0</v>
      </c>
      <c r="BM157" s="120">
        <v>0</v>
      </c>
      <c r="BN157" s="120">
        <v>0</v>
      </c>
      <c r="BO157" s="120">
        <v>0</v>
      </c>
      <c r="BP157" s="120">
        <v>0</v>
      </c>
      <c r="BQ157" s="120">
        <v>0</v>
      </c>
      <c r="BR157" s="120">
        <v>0</v>
      </c>
      <c r="BS157" s="120">
        <v>0</v>
      </c>
      <c r="BT157" s="120">
        <v>0</v>
      </c>
      <c r="BU157" s="120">
        <v>8872.0237304817056</v>
      </c>
      <c r="BV157" s="120">
        <v>0</v>
      </c>
      <c r="BW157" s="120">
        <v>0</v>
      </c>
      <c r="BX157" s="120">
        <v>0</v>
      </c>
      <c r="BY157" s="120">
        <v>79816.793057651797</v>
      </c>
      <c r="BZ157" s="120">
        <v>0</v>
      </c>
      <c r="CA157" s="120">
        <v>0</v>
      </c>
      <c r="CB157" s="120">
        <v>0</v>
      </c>
      <c r="CC157" s="120">
        <v>0</v>
      </c>
      <c r="CD157" s="120">
        <v>0</v>
      </c>
      <c r="CE157" s="120">
        <v>0</v>
      </c>
      <c r="CF157" s="120">
        <v>0</v>
      </c>
      <c r="CG157" s="120">
        <v>0</v>
      </c>
      <c r="CH157" s="120">
        <v>0</v>
      </c>
      <c r="CI157" s="120">
        <v>0</v>
      </c>
      <c r="CJ157" s="120">
        <v>0</v>
      </c>
      <c r="CK157" s="120">
        <v>0</v>
      </c>
      <c r="CL157" s="120">
        <v>0</v>
      </c>
      <c r="CM157" s="120">
        <v>0</v>
      </c>
      <c r="CN157" s="120">
        <v>0</v>
      </c>
      <c r="CO157" s="120">
        <v>0</v>
      </c>
      <c r="CP157" s="120">
        <v>0</v>
      </c>
      <c r="CQ157" s="120">
        <v>0</v>
      </c>
      <c r="CR157" s="120">
        <v>0</v>
      </c>
      <c r="CS157" s="120">
        <v>0</v>
      </c>
      <c r="CT157" s="120">
        <v>0</v>
      </c>
      <c r="CU157" s="120">
        <v>0</v>
      </c>
      <c r="CV157" s="120">
        <v>0</v>
      </c>
      <c r="CW157" s="120">
        <v>0</v>
      </c>
      <c r="CX157" s="120">
        <v>0</v>
      </c>
      <c r="CY157" s="120">
        <v>0</v>
      </c>
      <c r="CZ157" s="120">
        <v>0</v>
      </c>
      <c r="DA157" s="120">
        <v>0</v>
      </c>
      <c r="DB157" s="120">
        <v>0</v>
      </c>
      <c r="DC157" s="120">
        <v>0</v>
      </c>
      <c r="DD157" s="120">
        <v>0</v>
      </c>
      <c r="DE157" s="120">
        <v>0</v>
      </c>
      <c r="DF157" s="120">
        <v>0</v>
      </c>
      <c r="DG157" s="120">
        <v>0</v>
      </c>
      <c r="DH157" s="120">
        <v>0</v>
      </c>
      <c r="DI157" s="120">
        <v>0</v>
      </c>
      <c r="DJ157" s="120">
        <v>0</v>
      </c>
      <c r="DK157" s="120">
        <v>0</v>
      </c>
      <c r="DL157" s="120">
        <v>0</v>
      </c>
      <c r="DM157" s="120">
        <v>0</v>
      </c>
      <c r="DN157" s="120">
        <v>0</v>
      </c>
      <c r="DO157" s="120">
        <v>0</v>
      </c>
      <c r="DP157" s="120">
        <v>0</v>
      </c>
      <c r="DQ157" s="120">
        <v>0</v>
      </c>
      <c r="DR157" s="120">
        <v>0</v>
      </c>
      <c r="DS157" s="120">
        <v>0</v>
      </c>
      <c r="DT157" s="120">
        <v>0</v>
      </c>
      <c r="DU157" s="120">
        <v>0</v>
      </c>
      <c r="DV157" s="120">
        <v>0</v>
      </c>
      <c r="DW157" s="120">
        <v>0</v>
      </c>
      <c r="DX157" s="120">
        <v>0</v>
      </c>
      <c r="DY157" s="120">
        <v>0</v>
      </c>
      <c r="DZ157" s="120">
        <v>0</v>
      </c>
      <c r="EA157" s="120">
        <v>0</v>
      </c>
      <c r="EB157" s="120">
        <v>0</v>
      </c>
      <c r="EC157" s="120">
        <v>0</v>
      </c>
      <c r="ED157" s="120">
        <f t="shared" si="2"/>
        <v>88688.816788133496</v>
      </c>
    </row>
    <row r="158" spans="1:134">
      <c r="A158" s="120">
        <v>157</v>
      </c>
      <c r="B158" s="120">
        <v>0</v>
      </c>
      <c r="C158" s="120">
        <v>0</v>
      </c>
      <c r="D158" s="120">
        <v>0</v>
      </c>
      <c r="E158" s="120">
        <v>0</v>
      </c>
      <c r="F158" s="120">
        <v>0</v>
      </c>
      <c r="G158" s="120">
        <v>0</v>
      </c>
      <c r="H158" s="120">
        <v>0</v>
      </c>
      <c r="I158" s="120">
        <v>0</v>
      </c>
      <c r="J158" s="120">
        <v>0</v>
      </c>
      <c r="K158" s="120">
        <v>0</v>
      </c>
      <c r="L158" s="120">
        <v>0</v>
      </c>
      <c r="M158" s="120">
        <v>0</v>
      </c>
      <c r="N158" s="120">
        <v>0</v>
      </c>
      <c r="O158" s="120">
        <v>0</v>
      </c>
      <c r="P158" s="120">
        <v>0</v>
      </c>
      <c r="Q158" s="120">
        <v>0</v>
      </c>
      <c r="R158" s="120">
        <v>0</v>
      </c>
      <c r="S158" s="120">
        <v>0</v>
      </c>
      <c r="T158" s="120">
        <v>0</v>
      </c>
      <c r="U158" s="120">
        <v>0</v>
      </c>
      <c r="V158" s="120">
        <v>0</v>
      </c>
      <c r="W158" s="120">
        <v>0</v>
      </c>
      <c r="X158" s="120">
        <v>0</v>
      </c>
      <c r="Y158" s="120">
        <v>0</v>
      </c>
      <c r="Z158" s="120">
        <v>0</v>
      </c>
      <c r="AA158" s="120">
        <v>0</v>
      </c>
      <c r="AB158" s="120">
        <v>0</v>
      </c>
      <c r="AC158" s="120">
        <v>0</v>
      </c>
      <c r="AD158" s="120">
        <v>0</v>
      </c>
      <c r="AE158" s="120">
        <v>0</v>
      </c>
      <c r="AF158" s="120">
        <v>0</v>
      </c>
      <c r="AG158" s="120">
        <v>0</v>
      </c>
      <c r="AH158" s="120">
        <v>0</v>
      </c>
      <c r="AI158" s="120">
        <v>0</v>
      </c>
      <c r="AJ158" s="120">
        <v>0</v>
      </c>
      <c r="AK158" s="120">
        <v>0</v>
      </c>
      <c r="AL158" s="120">
        <v>0</v>
      </c>
      <c r="AM158" s="120">
        <v>0</v>
      </c>
      <c r="AN158" s="120">
        <v>0</v>
      </c>
      <c r="AO158" s="120">
        <v>0</v>
      </c>
      <c r="AP158" s="120">
        <v>0</v>
      </c>
      <c r="AQ158" s="120">
        <v>0</v>
      </c>
      <c r="AR158" s="120">
        <v>0</v>
      </c>
      <c r="AS158" s="120">
        <v>0</v>
      </c>
      <c r="AT158" s="120">
        <v>0</v>
      </c>
      <c r="AU158" s="120">
        <v>0</v>
      </c>
      <c r="AV158" s="120">
        <v>0</v>
      </c>
      <c r="AW158" s="120">
        <v>0</v>
      </c>
      <c r="AX158" s="120">
        <v>0</v>
      </c>
      <c r="AY158" s="120">
        <v>0</v>
      </c>
      <c r="AZ158" s="120">
        <v>0</v>
      </c>
      <c r="BA158" s="120">
        <v>0</v>
      </c>
      <c r="BB158" s="120">
        <v>0</v>
      </c>
      <c r="BC158" s="120">
        <v>0</v>
      </c>
      <c r="BD158" s="120">
        <v>0</v>
      </c>
      <c r="BE158" s="120">
        <v>0</v>
      </c>
      <c r="BF158" s="120">
        <v>0</v>
      </c>
      <c r="BG158" s="120">
        <v>0</v>
      </c>
      <c r="BH158" s="120">
        <v>0</v>
      </c>
      <c r="BI158" s="120">
        <v>0</v>
      </c>
      <c r="BJ158" s="120">
        <v>0</v>
      </c>
      <c r="BK158" s="120">
        <v>0</v>
      </c>
      <c r="BL158" s="120">
        <v>0</v>
      </c>
      <c r="BM158" s="120">
        <v>0</v>
      </c>
      <c r="BN158" s="120">
        <v>0</v>
      </c>
      <c r="BO158" s="120">
        <v>0</v>
      </c>
      <c r="BP158" s="120">
        <v>0</v>
      </c>
      <c r="BQ158" s="120">
        <v>0</v>
      </c>
      <c r="BR158" s="120">
        <v>0</v>
      </c>
      <c r="BS158" s="120">
        <v>30650.402461541511</v>
      </c>
      <c r="BT158" s="120">
        <v>0</v>
      </c>
      <c r="BU158" s="120">
        <v>16979.464230324269</v>
      </c>
      <c r="BV158" s="120">
        <v>0</v>
      </c>
      <c r="BW158" s="120">
        <v>0</v>
      </c>
      <c r="BX158" s="120">
        <v>0</v>
      </c>
      <c r="BY158" s="120">
        <v>34211.142112303263</v>
      </c>
      <c r="BZ158" s="120">
        <v>0</v>
      </c>
      <c r="CA158" s="120">
        <v>0</v>
      </c>
      <c r="CB158" s="120">
        <v>0</v>
      </c>
      <c r="CC158" s="120">
        <v>0</v>
      </c>
      <c r="CD158" s="120">
        <v>0</v>
      </c>
      <c r="CE158" s="120">
        <v>0</v>
      </c>
      <c r="CF158" s="120">
        <v>0</v>
      </c>
      <c r="CG158" s="120">
        <v>0</v>
      </c>
      <c r="CH158" s="120">
        <v>0</v>
      </c>
      <c r="CI158" s="120">
        <v>0</v>
      </c>
      <c r="CJ158" s="120">
        <v>0</v>
      </c>
      <c r="CK158" s="120">
        <v>0</v>
      </c>
      <c r="CL158" s="120">
        <v>0</v>
      </c>
      <c r="CM158" s="120">
        <v>0</v>
      </c>
      <c r="CN158" s="120">
        <v>0</v>
      </c>
      <c r="CO158" s="120">
        <v>0</v>
      </c>
      <c r="CP158" s="120">
        <v>0</v>
      </c>
      <c r="CQ158" s="120">
        <v>0</v>
      </c>
      <c r="CR158" s="120">
        <v>0</v>
      </c>
      <c r="CS158" s="120">
        <v>0</v>
      </c>
      <c r="CT158" s="120">
        <v>0</v>
      </c>
      <c r="CU158" s="120">
        <v>0</v>
      </c>
      <c r="CV158" s="120">
        <v>0</v>
      </c>
      <c r="CW158" s="120">
        <v>0</v>
      </c>
      <c r="CX158" s="120">
        <v>0</v>
      </c>
      <c r="CY158" s="120">
        <v>0</v>
      </c>
      <c r="CZ158" s="120">
        <v>0</v>
      </c>
      <c r="DA158" s="120">
        <v>0</v>
      </c>
      <c r="DB158" s="120">
        <v>0</v>
      </c>
      <c r="DC158" s="120">
        <v>0</v>
      </c>
      <c r="DD158" s="120">
        <v>0</v>
      </c>
      <c r="DE158" s="120">
        <v>0</v>
      </c>
      <c r="DF158" s="120">
        <v>0</v>
      </c>
      <c r="DG158" s="120">
        <v>0</v>
      </c>
      <c r="DH158" s="120">
        <v>0</v>
      </c>
      <c r="DI158" s="120">
        <v>0</v>
      </c>
      <c r="DJ158" s="120">
        <v>0</v>
      </c>
      <c r="DK158" s="120">
        <v>0</v>
      </c>
      <c r="DL158" s="120">
        <v>0</v>
      </c>
      <c r="DM158" s="120">
        <v>0</v>
      </c>
      <c r="DN158" s="120">
        <v>0</v>
      </c>
      <c r="DO158" s="120">
        <v>0</v>
      </c>
      <c r="DP158" s="120">
        <v>0</v>
      </c>
      <c r="DQ158" s="120">
        <v>0</v>
      </c>
      <c r="DR158" s="120">
        <v>0</v>
      </c>
      <c r="DS158" s="120">
        <v>0</v>
      </c>
      <c r="DT158" s="120">
        <v>0</v>
      </c>
      <c r="DU158" s="120">
        <v>0</v>
      </c>
      <c r="DV158" s="120">
        <v>0</v>
      </c>
      <c r="DW158" s="120">
        <v>0</v>
      </c>
      <c r="DX158" s="120">
        <v>0</v>
      </c>
      <c r="DY158" s="120">
        <v>0</v>
      </c>
      <c r="DZ158" s="120">
        <v>0</v>
      </c>
      <c r="EA158" s="120">
        <v>0</v>
      </c>
      <c r="EB158" s="120">
        <v>0</v>
      </c>
      <c r="EC158" s="120">
        <v>0</v>
      </c>
      <c r="ED158" s="120">
        <f t="shared" si="2"/>
        <v>81841.008804169047</v>
      </c>
    </row>
    <row r="159" spans="1:134">
      <c r="A159" s="120">
        <v>158</v>
      </c>
      <c r="B159" s="120">
        <v>0</v>
      </c>
      <c r="C159" s="120">
        <v>0</v>
      </c>
      <c r="D159" s="120">
        <v>0</v>
      </c>
      <c r="E159" s="120">
        <v>0</v>
      </c>
      <c r="F159" s="120">
        <v>0</v>
      </c>
      <c r="G159" s="120">
        <v>0</v>
      </c>
      <c r="H159" s="120">
        <v>0</v>
      </c>
      <c r="I159" s="120">
        <v>0</v>
      </c>
      <c r="J159" s="120">
        <v>0</v>
      </c>
      <c r="K159" s="120">
        <v>0</v>
      </c>
      <c r="L159" s="120">
        <v>0</v>
      </c>
      <c r="M159" s="120">
        <v>0</v>
      </c>
      <c r="N159" s="120">
        <v>0</v>
      </c>
      <c r="O159" s="120">
        <v>0</v>
      </c>
      <c r="P159" s="120">
        <v>0</v>
      </c>
      <c r="Q159" s="120">
        <v>0</v>
      </c>
      <c r="R159" s="120">
        <v>0</v>
      </c>
      <c r="S159" s="120">
        <v>0</v>
      </c>
      <c r="T159" s="120">
        <v>0</v>
      </c>
      <c r="U159" s="120">
        <v>0</v>
      </c>
      <c r="V159" s="120">
        <v>0</v>
      </c>
      <c r="W159" s="120">
        <v>0</v>
      </c>
      <c r="X159" s="120">
        <v>0</v>
      </c>
      <c r="Y159" s="120">
        <v>0</v>
      </c>
      <c r="Z159" s="120">
        <v>0</v>
      </c>
      <c r="AA159" s="120">
        <v>0</v>
      </c>
      <c r="AB159" s="120">
        <v>0</v>
      </c>
      <c r="AC159" s="120">
        <v>0</v>
      </c>
      <c r="AD159" s="120">
        <v>0</v>
      </c>
      <c r="AE159" s="120">
        <v>0</v>
      </c>
      <c r="AF159" s="120">
        <v>0</v>
      </c>
      <c r="AG159" s="120">
        <v>0</v>
      </c>
      <c r="AH159" s="120">
        <v>0</v>
      </c>
      <c r="AI159" s="120">
        <v>0</v>
      </c>
      <c r="AJ159" s="120">
        <v>0</v>
      </c>
      <c r="AK159" s="120">
        <v>0</v>
      </c>
      <c r="AL159" s="120">
        <v>0</v>
      </c>
      <c r="AM159" s="120">
        <v>0</v>
      </c>
      <c r="AN159" s="120">
        <v>0</v>
      </c>
      <c r="AO159" s="120">
        <v>0</v>
      </c>
      <c r="AP159" s="120">
        <v>0</v>
      </c>
      <c r="AQ159" s="120">
        <v>0</v>
      </c>
      <c r="AR159" s="120">
        <v>0</v>
      </c>
      <c r="AS159" s="120">
        <v>0</v>
      </c>
      <c r="AT159" s="120">
        <v>0</v>
      </c>
      <c r="AU159" s="120">
        <v>0</v>
      </c>
      <c r="AV159" s="120">
        <v>0</v>
      </c>
      <c r="AW159" s="120">
        <v>0</v>
      </c>
      <c r="AX159" s="120">
        <v>0</v>
      </c>
      <c r="AY159" s="120">
        <v>0</v>
      </c>
      <c r="AZ159" s="120">
        <v>0</v>
      </c>
      <c r="BA159" s="120">
        <v>0</v>
      </c>
      <c r="BB159" s="120">
        <v>0</v>
      </c>
      <c r="BC159" s="120">
        <v>0</v>
      </c>
      <c r="BD159" s="120">
        <v>0</v>
      </c>
      <c r="BE159" s="120">
        <v>0</v>
      </c>
      <c r="BF159" s="120">
        <v>0</v>
      </c>
      <c r="BG159" s="120">
        <v>0</v>
      </c>
      <c r="BH159" s="120">
        <v>0</v>
      </c>
      <c r="BI159" s="120">
        <v>0</v>
      </c>
      <c r="BJ159" s="120">
        <v>0</v>
      </c>
      <c r="BK159" s="120">
        <v>0</v>
      </c>
      <c r="BL159" s="120">
        <v>0</v>
      </c>
      <c r="BM159" s="120">
        <v>0</v>
      </c>
      <c r="BN159" s="120">
        <v>0</v>
      </c>
      <c r="BO159" s="120">
        <v>0</v>
      </c>
      <c r="BP159" s="120">
        <v>0</v>
      </c>
      <c r="BQ159" s="120">
        <v>0</v>
      </c>
      <c r="BR159" s="120">
        <v>0</v>
      </c>
      <c r="BS159" s="120">
        <v>0</v>
      </c>
      <c r="BT159" s="120">
        <v>0</v>
      </c>
      <c r="BU159" s="120">
        <v>0</v>
      </c>
      <c r="BV159" s="120">
        <v>24537.579892518661</v>
      </c>
      <c r="BW159" s="120">
        <v>0</v>
      </c>
      <c r="BX159" s="120">
        <v>0</v>
      </c>
      <c r="BY159" s="120">
        <v>0</v>
      </c>
      <c r="BZ159" s="120">
        <v>0</v>
      </c>
      <c r="CA159" s="120">
        <v>0</v>
      </c>
      <c r="CB159" s="120">
        <v>0</v>
      </c>
      <c r="CC159" s="120">
        <v>0</v>
      </c>
      <c r="CD159" s="120">
        <v>0</v>
      </c>
      <c r="CE159" s="120">
        <v>0</v>
      </c>
      <c r="CF159" s="120">
        <v>0</v>
      </c>
      <c r="CG159" s="120">
        <v>0</v>
      </c>
      <c r="CH159" s="120">
        <v>0</v>
      </c>
      <c r="CI159" s="120">
        <v>0</v>
      </c>
      <c r="CJ159" s="120">
        <v>0</v>
      </c>
      <c r="CK159" s="120">
        <v>0</v>
      </c>
      <c r="CL159" s="120">
        <v>0</v>
      </c>
      <c r="CM159" s="120">
        <v>0</v>
      </c>
      <c r="CN159" s="120">
        <v>0</v>
      </c>
      <c r="CO159" s="120">
        <v>0</v>
      </c>
      <c r="CP159" s="120">
        <v>0</v>
      </c>
      <c r="CQ159" s="120">
        <v>0</v>
      </c>
      <c r="CR159" s="120">
        <v>0</v>
      </c>
      <c r="CS159" s="120">
        <v>0</v>
      </c>
      <c r="CT159" s="120">
        <v>0</v>
      </c>
      <c r="CU159" s="120">
        <v>0</v>
      </c>
      <c r="CV159" s="120">
        <v>0</v>
      </c>
      <c r="CW159" s="120">
        <v>0</v>
      </c>
      <c r="CX159" s="120">
        <v>0</v>
      </c>
      <c r="CY159" s="120">
        <v>0</v>
      </c>
      <c r="CZ159" s="120">
        <v>0</v>
      </c>
      <c r="DA159" s="120">
        <v>0</v>
      </c>
      <c r="DB159" s="120">
        <v>0</v>
      </c>
      <c r="DC159" s="120">
        <v>0</v>
      </c>
      <c r="DD159" s="120">
        <v>0</v>
      </c>
      <c r="DE159" s="120">
        <v>0</v>
      </c>
      <c r="DF159" s="120">
        <v>0</v>
      </c>
      <c r="DG159" s="120">
        <v>0</v>
      </c>
      <c r="DH159" s="120">
        <v>0</v>
      </c>
      <c r="DI159" s="120">
        <v>0</v>
      </c>
      <c r="DJ159" s="120">
        <v>0</v>
      </c>
      <c r="DK159" s="120">
        <v>0</v>
      </c>
      <c r="DL159" s="120">
        <v>0</v>
      </c>
      <c r="DM159" s="120">
        <v>0</v>
      </c>
      <c r="DN159" s="120">
        <v>0</v>
      </c>
      <c r="DO159" s="120">
        <v>0</v>
      </c>
      <c r="DP159" s="120">
        <v>0</v>
      </c>
      <c r="DQ159" s="120">
        <v>0</v>
      </c>
      <c r="DR159" s="120">
        <v>0</v>
      </c>
      <c r="DS159" s="120">
        <v>0</v>
      </c>
      <c r="DT159" s="120">
        <v>0</v>
      </c>
      <c r="DU159" s="120">
        <v>0</v>
      </c>
      <c r="DV159" s="120">
        <v>0</v>
      </c>
      <c r="DW159" s="120">
        <v>0</v>
      </c>
      <c r="DX159" s="120">
        <v>0</v>
      </c>
      <c r="DY159" s="120">
        <v>0</v>
      </c>
      <c r="DZ159" s="120">
        <v>0</v>
      </c>
      <c r="EA159" s="120">
        <v>0</v>
      </c>
      <c r="EB159" s="120">
        <v>0</v>
      </c>
      <c r="EC159" s="120">
        <v>0</v>
      </c>
      <c r="ED159" s="120">
        <f t="shared" si="2"/>
        <v>24537.579892518661</v>
      </c>
    </row>
    <row r="160" spans="1:134">
      <c r="A160" s="120">
        <v>159</v>
      </c>
      <c r="B160" s="120">
        <v>0</v>
      </c>
      <c r="C160" s="120">
        <v>0</v>
      </c>
      <c r="D160" s="120">
        <v>0</v>
      </c>
      <c r="E160" s="120">
        <v>0</v>
      </c>
      <c r="F160" s="120">
        <v>0</v>
      </c>
      <c r="G160" s="120">
        <v>0</v>
      </c>
      <c r="H160" s="120">
        <v>0</v>
      </c>
      <c r="I160" s="120">
        <v>0</v>
      </c>
      <c r="J160" s="120">
        <v>0</v>
      </c>
      <c r="K160" s="120">
        <v>0</v>
      </c>
      <c r="L160" s="120">
        <v>0</v>
      </c>
      <c r="M160" s="120">
        <v>0</v>
      </c>
      <c r="N160" s="120">
        <v>0</v>
      </c>
      <c r="O160" s="120">
        <v>0</v>
      </c>
      <c r="P160" s="120">
        <v>0</v>
      </c>
      <c r="Q160" s="120">
        <v>0</v>
      </c>
      <c r="R160" s="120">
        <v>0</v>
      </c>
      <c r="S160" s="120">
        <v>0</v>
      </c>
      <c r="T160" s="120">
        <v>0</v>
      </c>
      <c r="U160" s="120">
        <v>0</v>
      </c>
      <c r="V160" s="120">
        <v>0</v>
      </c>
      <c r="W160" s="120">
        <v>0</v>
      </c>
      <c r="X160" s="120">
        <v>0</v>
      </c>
      <c r="Y160" s="120">
        <v>0</v>
      </c>
      <c r="Z160" s="120">
        <v>0</v>
      </c>
      <c r="AA160" s="120">
        <v>0</v>
      </c>
      <c r="AB160" s="120">
        <v>0</v>
      </c>
      <c r="AC160" s="120">
        <v>0</v>
      </c>
      <c r="AD160" s="120">
        <v>0</v>
      </c>
      <c r="AE160" s="120">
        <v>0</v>
      </c>
      <c r="AF160" s="120">
        <v>0</v>
      </c>
      <c r="AG160" s="120">
        <v>0</v>
      </c>
      <c r="AH160" s="120">
        <v>0</v>
      </c>
      <c r="AI160" s="120">
        <v>0</v>
      </c>
      <c r="AJ160" s="120">
        <v>0</v>
      </c>
      <c r="AK160" s="120">
        <v>0</v>
      </c>
      <c r="AL160" s="120">
        <v>0</v>
      </c>
      <c r="AM160" s="120">
        <v>0</v>
      </c>
      <c r="AN160" s="120">
        <v>0</v>
      </c>
      <c r="AO160" s="120">
        <v>0</v>
      </c>
      <c r="AP160" s="120">
        <v>0</v>
      </c>
      <c r="AQ160" s="120">
        <v>0</v>
      </c>
      <c r="AR160" s="120">
        <v>0</v>
      </c>
      <c r="AS160" s="120">
        <v>0</v>
      </c>
      <c r="AT160" s="120">
        <v>0</v>
      </c>
      <c r="AU160" s="120">
        <v>0</v>
      </c>
      <c r="AV160" s="120">
        <v>0</v>
      </c>
      <c r="AW160" s="120">
        <v>0</v>
      </c>
      <c r="AX160" s="120">
        <v>0</v>
      </c>
      <c r="AY160" s="120">
        <v>0</v>
      </c>
      <c r="AZ160" s="120">
        <v>0</v>
      </c>
      <c r="BA160" s="120">
        <v>0</v>
      </c>
      <c r="BB160" s="120">
        <v>0</v>
      </c>
      <c r="BC160" s="120">
        <v>0</v>
      </c>
      <c r="BD160" s="120">
        <v>0</v>
      </c>
      <c r="BE160" s="120">
        <v>0</v>
      </c>
      <c r="BF160" s="120">
        <v>0</v>
      </c>
      <c r="BG160" s="120">
        <v>0</v>
      </c>
      <c r="BH160" s="120">
        <v>0</v>
      </c>
      <c r="BI160" s="120">
        <v>0</v>
      </c>
      <c r="BJ160" s="120">
        <v>0</v>
      </c>
      <c r="BK160" s="120">
        <v>0</v>
      </c>
      <c r="BL160" s="120">
        <v>0</v>
      </c>
      <c r="BM160" s="120">
        <v>0</v>
      </c>
      <c r="BN160" s="120">
        <v>0</v>
      </c>
      <c r="BO160" s="120">
        <v>0</v>
      </c>
      <c r="BP160" s="120">
        <v>0</v>
      </c>
      <c r="BQ160" s="120">
        <v>0</v>
      </c>
      <c r="BR160" s="120">
        <v>0</v>
      </c>
      <c r="BS160" s="120">
        <v>0</v>
      </c>
      <c r="BT160" s="120">
        <v>0</v>
      </c>
      <c r="BU160" s="120">
        <v>0</v>
      </c>
      <c r="BV160" s="120">
        <v>0</v>
      </c>
      <c r="BW160" s="120">
        <v>0</v>
      </c>
      <c r="BX160" s="120">
        <v>0</v>
      </c>
      <c r="BY160" s="120">
        <v>0</v>
      </c>
      <c r="BZ160" s="120">
        <v>0</v>
      </c>
      <c r="CA160" s="120">
        <v>0</v>
      </c>
      <c r="CB160" s="120">
        <v>0</v>
      </c>
      <c r="CC160" s="120">
        <v>0</v>
      </c>
      <c r="CD160" s="120">
        <v>0</v>
      </c>
      <c r="CE160" s="120">
        <v>0</v>
      </c>
      <c r="CF160" s="120">
        <v>0</v>
      </c>
      <c r="CG160" s="120">
        <v>0</v>
      </c>
      <c r="CH160" s="120">
        <v>0</v>
      </c>
      <c r="CI160" s="120">
        <v>0</v>
      </c>
      <c r="CJ160" s="120">
        <v>0</v>
      </c>
      <c r="CK160" s="120">
        <v>0</v>
      </c>
      <c r="CL160" s="120">
        <v>0</v>
      </c>
      <c r="CM160" s="120">
        <v>0</v>
      </c>
      <c r="CN160" s="120">
        <v>0</v>
      </c>
      <c r="CO160" s="120">
        <v>0</v>
      </c>
      <c r="CP160" s="120">
        <v>0</v>
      </c>
      <c r="CQ160" s="120">
        <v>0</v>
      </c>
      <c r="CR160" s="120">
        <v>0</v>
      </c>
      <c r="CS160" s="120">
        <v>0</v>
      </c>
      <c r="CT160" s="120">
        <v>0</v>
      </c>
      <c r="CU160" s="120">
        <v>0</v>
      </c>
      <c r="CV160" s="120">
        <v>0</v>
      </c>
      <c r="CW160" s="120">
        <v>0</v>
      </c>
      <c r="CX160" s="120">
        <v>0</v>
      </c>
      <c r="CY160" s="120">
        <v>0</v>
      </c>
      <c r="CZ160" s="120">
        <v>0</v>
      </c>
      <c r="DA160" s="120">
        <v>0</v>
      </c>
      <c r="DB160" s="120">
        <v>0</v>
      </c>
      <c r="DC160" s="120">
        <v>0</v>
      </c>
      <c r="DD160" s="120">
        <v>0</v>
      </c>
      <c r="DE160" s="120">
        <v>0</v>
      </c>
      <c r="DF160" s="120">
        <v>0</v>
      </c>
      <c r="DG160" s="120">
        <v>0</v>
      </c>
      <c r="DH160" s="120">
        <v>0</v>
      </c>
      <c r="DI160" s="120">
        <v>0</v>
      </c>
      <c r="DJ160" s="120">
        <v>0</v>
      </c>
      <c r="DK160" s="120">
        <v>0</v>
      </c>
      <c r="DL160" s="120">
        <v>0</v>
      </c>
      <c r="DM160" s="120">
        <v>0</v>
      </c>
      <c r="DN160" s="120">
        <v>0</v>
      </c>
      <c r="DO160" s="120">
        <v>0</v>
      </c>
      <c r="DP160" s="120">
        <v>0</v>
      </c>
      <c r="DQ160" s="120">
        <v>0</v>
      </c>
      <c r="DR160" s="120">
        <v>0</v>
      </c>
      <c r="DS160" s="120">
        <v>0</v>
      </c>
      <c r="DT160" s="120">
        <v>0</v>
      </c>
      <c r="DU160" s="120">
        <v>777077</v>
      </c>
      <c r="DV160" s="120">
        <v>0</v>
      </c>
      <c r="DW160" s="120">
        <v>0</v>
      </c>
      <c r="DX160" s="120">
        <v>552586</v>
      </c>
      <c r="DY160" s="120">
        <v>0</v>
      </c>
      <c r="DZ160" s="120">
        <v>0</v>
      </c>
      <c r="EA160" s="120">
        <v>0</v>
      </c>
      <c r="EB160" s="120">
        <v>0</v>
      </c>
      <c r="EC160" s="120">
        <v>0</v>
      </c>
      <c r="ED160" s="120">
        <f t="shared" si="2"/>
        <v>1329663</v>
      </c>
    </row>
    <row r="161" spans="1:134">
      <c r="A161" s="120">
        <v>160</v>
      </c>
      <c r="B161" s="120">
        <v>0</v>
      </c>
      <c r="C161" s="120">
        <v>0</v>
      </c>
      <c r="D161" s="120">
        <v>0</v>
      </c>
      <c r="E161" s="120">
        <v>0</v>
      </c>
      <c r="F161" s="120">
        <v>0</v>
      </c>
      <c r="G161" s="120">
        <v>0</v>
      </c>
      <c r="H161" s="120">
        <v>0</v>
      </c>
      <c r="I161" s="120">
        <v>0</v>
      </c>
      <c r="J161" s="120">
        <v>0</v>
      </c>
      <c r="K161" s="120">
        <v>0</v>
      </c>
      <c r="L161" s="120">
        <v>0</v>
      </c>
      <c r="M161" s="120">
        <v>0</v>
      </c>
      <c r="N161" s="120">
        <v>0</v>
      </c>
      <c r="O161" s="120">
        <v>0</v>
      </c>
      <c r="P161" s="120">
        <v>0</v>
      </c>
      <c r="Q161" s="120">
        <v>0</v>
      </c>
      <c r="R161" s="120">
        <v>0</v>
      </c>
      <c r="S161" s="120">
        <v>0</v>
      </c>
      <c r="T161" s="120">
        <v>0</v>
      </c>
      <c r="U161" s="120">
        <v>0</v>
      </c>
      <c r="V161" s="120">
        <v>0</v>
      </c>
      <c r="W161" s="120">
        <v>0</v>
      </c>
      <c r="X161" s="120">
        <v>0</v>
      </c>
      <c r="Y161" s="120">
        <v>0</v>
      </c>
      <c r="Z161" s="120">
        <v>0</v>
      </c>
      <c r="AA161" s="120">
        <v>0</v>
      </c>
      <c r="AB161" s="120">
        <v>0</v>
      </c>
      <c r="AC161" s="120">
        <v>0</v>
      </c>
      <c r="AD161" s="120">
        <v>0</v>
      </c>
      <c r="AE161" s="120">
        <v>0</v>
      </c>
      <c r="AF161" s="120">
        <v>0</v>
      </c>
      <c r="AG161" s="120">
        <v>0</v>
      </c>
      <c r="AH161" s="120">
        <v>0</v>
      </c>
      <c r="AI161" s="120">
        <v>0</v>
      </c>
      <c r="AJ161" s="120">
        <v>0</v>
      </c>
      <c r="AK161" s="120">
        <v>0</v>
      </c>
      <c r="AL161" s="120">
        <v>0</v>
      </c>
      <c r="AM161" s="120">
        <v>0</v>
      </c>
      <c r="AN161" s="120">
        <v>0</v>
      </c>
      <c r="AO161" s="120">
        <v>0</v>
      </c>
      <c r="AP161" s="120">
        <v>0</v>
      </c>
      <c r="AQ161" s="120">
        <v>0</v>
      </c>
      <c r="AR161" s="120">
        <v>0</v>
      </c>
      <c r="AS161" s="120">
        <v>0</v>
      </c>
      <c r="AT161" s="120">
        <v>0</v>
      </c>
      <c r="AU161" s="120">
        <v>0</v>
      </c>
      <c r="AV161" s="120">
        <v>0</v>
      </c>
      <c r="AW161" s="120">
        <v>0</v>
      </c>
      <c r="AX161" s="120">
        <v>0</v>
      </c>
      <c r="AY161" s="120">
        <v>0</v>
      </c>
      <c r="AZ161" s="120">
        <v>0</v>
      </c>
      <c r="BA161" s="120">
        <v>0</v>
      </c>
      <c r="BB161" s="120">
        <v>0</v>
      </c>
      <c r="BC161" s="120">
        <v>0</v>
      </c>
      <c r="BD161" s="120">
        <v>0</v>
      </c>
      <c r="BE161" s="120">
        <v>0</v>
      </c>
      <c r="BF161" s="120">
        <v>0</v>
      </c>
      <c r="BG161" s="120">
        <v>0</v>
      </c>
      <c r="BH161" s="120">
        <v>181.7576631426669</v>
      </c>
      <c r="BI161" s="120">
        <v>0</v>
      </c>
      <c r="BJ161" s="120">
        <v>0</v>
      </c>
      <c r="BK161" s="120">
        <v>0</v>
      </c>
      <c r="BL161" s="120">
        <v>0</v>
      </c>
      <c r="BM161" s="120">
        <v>0</v>
      </c>
      <c r="BN161" s="120">
        <v>6380.4310543341189</v>
      </c>
      <c r="BO161" s="120">
        <v>0</v>
      </c>
      <c r="BP161" s="120">
        <v>0</v>
      </c>
      <c r="BQ161" s="120">
        <v>0</v>
      </c>
      <c r="BR161" s="120">
        <v>0</v>
      </c>
      <c r="BS161" s="120">
        <v>0</v>
      </c>
      <c r="BT161" s="120">
        <v>0</v>
      </c>
      <c r="BU161" s="120">
        <v>0</v>
      </c>
      <c r="BV161" s="120">
        <v>0</v>
      </c>
      <c r="BW161" s="120">
        <v>0</v>
      </c>
      <c r="BX161" s="120">
        <v>0</v>
      </c>
      <c r="BY161" s="120">
        <v>0</v>
      </c>
      <c r="BZ161" s="120">
        <v>0</v>
      </c>
      <c r="CA161" s="120">
        <v>0</v>
      </c>
      <c r="CB161" s="120">
        <v>0</v>
      </c>
      <c r="CC161" s="120">
        <v>0</v>
      </c>
      <c r="CD161" s="120">
        <v>0</v>
      </c>
      <c r="CE161" s="120">
        <v>0</v>
      </c>
      <c r="CF161" s="120">
        <v>0</v>
      </c>
      <c r="CG161" s="120">
        <v>0</v>
      </c>
      <c r="CH161" s="120">
        <v>0</v>
      </c>
      <c r="CI161" s="120">
        <v>0</v>
      </c>
      <c r="CJ161" s="120">
        <v>0</v>
      </c>
      <c r="CK161" s="120">
        <v>0</v>
      </c>
      <c r="CL161" s="120">
        <v>0</v>
      </c>
      <c r="CM161" s="120">
        <v>0</v>
      </c>
      <c r="CN161" s="120">
        <v>0</v>
      </c>
      <c r="CO161" s="120">
        <v>0</v>
      </c>
      <c r="CP161" s="120">
        <v>0</v>
      </c>
      <c r="CQ161" s="120">
        <v>0</v>
      </c>
      <c r="CR161" s="120">
        <v>0</v>
      </c>
      <c r="CS161" s="120">
        <v>0</v>
      </c>
      <c r="CT161" s="120">
        <v>0</v>
      </c>
      <c r="CU161" s="120">
        <v>0</v>
      </c>
      <c r="CV161" s="120">
        <v>0</v>
      </c>
      <c r="CW161" s="120">
        <v>0</v>
      </c>
      <c r="CX161" s="120">
        <v>0</v>
      </c>
      <c r="CY161" s="120">
        <v>0</v>
      </c>
      <c r="CZ161" s="120">
        <v>0</v>
      </c>
      <c r="DA161" s="120">
        <v>0</v>
      </c>
      <c r="DB161" s="120">
        <v>0</v>
      </c>
      <c r="DC161" s="120">
        <v>0</v>
      </c>
      <c r="DD161" s="120">
        <v>0</v>
      </c>
      <c r="DE161" s="120">
        <v>0</v>
      </c>
      <c r="DF161" s="120">
        <v>0</v>
      </c>
      <c r="DG161" s="120">
        <v>0</v>
      </c>
      <c r="DH161" s="120">
        <v>0</v>
      </c>
      <c r="DI161" s="120">
        <v>0</v>
      </c>
      <c r="DJ161" s="120">
        <v>0</v>
      </c>
      <c r="DK161" s="120">
        <v>0</v>
      </c>
      <c r="DL161" s="120">
        <v>0</v>
      </c>
      <c r="DM161" s="120">
        <v>0</v>
      </c>
      <c r="DN161" s="120">
        <v>0</v>
      </c>
      <c r="DO161" s="120">
        <v>0</v>
      </c>
      <c r="DP161" s="120">
        <v>550.85483026425629</v>
      </c>
      <c r="DQ161" s="120">
        <v>0</v>
      </c>
      <c r="DR161" s="120">
        <v>-300.16364134906792</v>
      </c>
      <c r="DS161" s="120">
        <v>0</v>
      </c>
      <c r="DT161" s="120">
        <v>0</v>
      </c>
      <c r="DU161" s="120">
        <v>0</v>
      </c>
      <c r="DV161" s="120">
        <v>0</v>
      </c>
      <c r="DW161" s="120">
        <v>0</v>
      </c>
      <c r="DX161" s="120">
        <v>0</v>
      </c>
      <c r="DY161" s="120">
        <v>0</v>
      </c>
      <c r="DZ161" s="120">
        <v>0</v>
      </c>
      <c r="EA161" s="120">
        <v>0</v>
      </c>
      <c r="EB161" s="120">
        <v>0</v>
      </c>
      <c r="EC161" s="120">
        <v>0</v>
      </c>
      <c r="ED161" s="120">
        <f t="shared" si="2"/>
        <v>6812.8799063919751</v>
      </c>
    </row>
    <row r="162" spans="1:134">
      <c r="A162" s="120">
        <v>161</v>
      </c>
      <c r="B162" s="120">
        <v>0</v>
      </c>
      <c r="C162" s="120">
        <v>0</v>
      </c>
      <c r="D162" s="120">
        <v>0</v>
      </c>
      <c r="E162" s="120">
        <v>0</v>
      </c>
      <c r="F162" s="120">
        <v>0</v>
      </c>
      <c r="G162" s="120">
        <v>0</v>
      </c>
      <c r="H162" s="120">
        <v>0</v>
      </c>
      <c r="I162" s="120">
        <v>0</v>
      </c>
      <c r="J162" s="120">
        <v>0</v>
      </c>
      <c r="K162" s="120">
        <v>0</v>
      </c>
      <c r="L162" s="120">
        <v>0</v>
      </c>
      <c r="M162" s="120">
        <v>0</v>
      </c>
      <c r="N162" s="120">
        <v>0</v>
      </c>
      <c r="O162" s="120">
        <v>0</v>
      </c>
      <c r="P162" s="120">
        <v>0</v>
      </c>
      <c r="Q162" s="120">
        <v>0</v>
      </c>
      <c r="R162" s="120">
        <v>0</v>
      </c>
      <c r="S162" s="120">
        <v>0</v>
      </c>
      <c r="T162" s="120">
        <v>0</v>
      </c>
      <c r="U162" s="120">
        <v>0</v>
      </c>
      <c r="V162" s="120">
        <v>0</v>
      </c>
      <c r="W162" s="120">
        <v>0</v>
      </c>
      <c r="X162" s="120">
        <v>0</v>
      </c>
      <c r="Y162" s="120">
        <v>0</v>
      </c>
      <c r="Z162" s="120">
        <v>0</v>
      </c>
      <c r="AA162" s="120">
        <v>0</v>
      </c>
      <c r="AB162" s="120">
        <v>0</v>
      </c>
      <c r="AC162" s="120">
        <v>0</v>
      </c>
      <c r="AD162" s="120">
        <v>0</v>
      </c>
      <c r="AE162" s="120">
        <v>0</v>
      </c>
      <c r="AF162" s="120">
        <v>0</v>
      </c>
      <c r="AG162" s="120">
        <v>0</v>
      </c>
      <c r="AH162" s="120">
        <v>0</v>
      </c>
      <c r="AI162" s="120">
        <v>0</v>
      </c>
      <c r="AJ162" s="120">
        <v>0</v>
      </c>
      <c r="AK162" s="120">
        <v>0</v>
      </c>
      <c r="AL162" s="120">
        <v>0</v>
      </c>
      <c r="AM162" s="120">
        <v>0</v>
      </c>
      <c r="AN162" s="120">
        <v>0</v>
      </c>
      <c r="AO162" s="120">
        <v>0</v>
      </c>
      <c r="AP162" s="120">
        <v>0</v>
      </c>
      <c r="AQ162" s="120">
        <v>0</v>
      </c>
      <c r="AR162" s="120">
        <v>0</v>
      </c>
      <c r="AS162" s="120">
        <v>0</v>
      </c>
      <c r="AT162" s="120">
        <v>0</v>
      </c>
      <c r="AU162" s="120">
        <v>0</v>
      </c>
      <c r="AV162" s="120">
        <v>0</v>
      </c>
      <c r="AW162" s="120">
        <v>0</v>
      </c>
      <c r="AX162" s="120">
        <v>0</v>
      </c>
      <c r="AY162" s="120">
        <v>0</v>
      </c>
      <c r="AZ162" s="120">
        <v>0</v>
      </c>
      <c r="BA162" s="120">
        <v>0</v>
      </c>
      <c r="BB162" s="120">
        <v>0</v>
      </c>
      <c r="BC162" s="120">
        <v>0</v>
      </c>
      <c r="BD162" s="120">
        <v>0</v>
      </c>
      <c r="BE162" s="120">
        <v>0</v>
      </c>
      <c r="BF162" s="120">
        <v>0</v>
      </c>
      <c r="BG162" s="120">
        <v>0</v>
      </c>
      <c r="BH162" s="120">
        <v>0</v>
      </c>
      <c r="BI162" s="120">
        <v>0</v>
      </c>
      <c r="BJ162" s="120">
        <v>0</v>
      </c>
      <c r="BK162" s="120">
        <v>0</v>
      </c>
      <c r="BL162" s="120">
        <v>0</v>
      </c>
      <c r="BM162" s="120">
        <v>0</v>
      </c>
      <c r="BN162" s="120">
        <v>0</v>
      </c>
      <c r="BO162" s="120">
        <v>0</v>
      </c>
      <c r="BP162" s="120">
        <v>0</v>
      </c>
      <c r="BQ162" s="120">
        <v>0</v>
      </c>
      <c r="BR162" s="120">
        <v>0</v>
      </c>
      <c r="BS162" s="120">
        <v>0</v>
      </c>
      <c r="BT162" s="120">
        <v>0</v>
      </c>
      <c r="BU162" s="120">
        <v>0</v>
      </c>
      <c r="BV162" s="120">
        <v>0</v>
      </c>
      <c r="BW162" s="120">
        <v>0</v>
      </c>
      <c r="BX162" s="120">
        <v>0</v>
      </c>
      <c r="BY162" s="120">
        <v>0</v>
      </c>
      <c r="BZ162" s="120">
        <v>0</v>
      </c>
      <c r="CA162" s="120">
        <v>0</v>
      </c>
      <c r="CB162" s="120">
        <v>0</v>
      </c>
      <c r="CC162" s="120">
        <v>0</v>
      </c>
      <c r="CD162" s="120">
        <v>0</v>
      </c>
      <c r="CE162" s="120">
        <v>0</v>
      </c>
      <c r="CF162" s="120">
        <v>0</v>
      </c>
      <c r="CG162" s="120">
        <v>0</v>
      </c>
      <c r="CH162" s="120">
        <v>0</v>
      </c>
      <c r="CI162" s="120">
        <v>0</v>
      </c>
      <c r="CJ162" s="120">
        <v>0</v>
      </c>
      <c r="CK162" s="120">
        <v>0</v>
      </c>
      <c r="CL162" s="120">
        <v>0</v>
      </c>
      <c r="CM162" s="120">
        <v>0</v>
      </c>
      <c r="CN162" s="120">
        <v>0</v>
      </c>
      <c r="CO162" s="120">
        <v>0</v>
      </c>
      <c r="CP162" s="120">
        <v>0</v>
      </c>
      <c r="CQ162" s="120">
        <v>0</v>
      </c>
      <c r="CR162" s="120">
        <v>0</v>
      </c>
      <c r="CS162" s="120">
        <v>0</v>
      </c>
      <c r="CT162" s="120">
        <v>0</v>
      </c>
      <c r="CU162" s="120">
        <v>0</v>
      </c>
      <c r="CV162" s="120">
        <v>0</v>
      </c>
      <c r="CW162" s="120">
        <v>0</v>
      </c>
      <c r="CX162" s="120">
        <v>0</v>
      </c>
      <c r="CY162" s="120">
        <v>0</v>
      </c>
      <c r="CZ162" s="120">
        <v>0</v>
      </c>
      <c r="DA162" s="120">
        <v>0</v>
      </c>
      <c r="DB162" s="120">
        <v>0</v>
      </c>
      <c r="DC162" s="120">
        <v>0</v>
      </c>
      <c r="DD162" s="120">
        <v>0</v>
      </c>
      <c r="DE162" s="120">
        <v>0</v>
      </c>
      <c r="DF162" s="120">
        <v>0</v>
      </c>
      <c r="DG162" s="120">
        <v>0</v>
      </c>
      <c r="DH162" s="120">
        <v>0</v>
      </c>
      <c r="DI162" s="120">
        <v>0</v>
      </c>
      <c r="DJ162" s="120">
        <v>0</v>
      </c>
      <c r="DK162" s="120">
        <v>0</v>
      </c>
      <c r="DL162" s="120">
        <v>0</v>
      </c>
      <c r="DM162" s="120">
        <v>0</v>
      </c>
      <c r="DN162" s="120">
        <v>0</v>
      </c>
      <c r="DO162" s="120">
        <v>0</v>
      </c>
      <c r="DP162" s="120">
        <v>0</v>
      </c>
      <c r="DQ162" s="120">
        <v>0</v>
      </c>
      <c r="DR162" s="120">
        <v>0</v>
      </c>
      <c r="DS162" s="120">
        <v>0</v>
      </c>
      <c r="DT162" s="120">
        <v>0</v>
      </c>
      <c r="DU162" s="120">
        <v>0</v>
      </c>
      <c r="DV162" s="120">
        <v>0</v>
      </c>
      <c r="DW162" s="120">
        <v>0</v>
      </c>
      <c r="DX162" s="120">
        <v>0</v>
      </c>
      <c r="DY162" s="120">
        <v>0</v>
      </c>
      <c r="DZ162" s="120">
        <v>0</v>
      </c>
      <c r="EA162" s="120">
        <v>1161493.888797747</v>
      </c>
      <c r="EB162" s="120">
        <v>0</v>
      </c>
      <c r="EC162" s="120">
        <v>0</v>
      </c>
      <c r="ED162" s="120">
        <f t="shared" si="2"/>
        <v>1161493.888797747</v>
      </c>
    </row>
    <row r="163" spans="1:134">
      <c r="A163" s="120">
        <v>162</v>
      </c>
      <c r="B163" s="120">
        <v>0</v>
      </c>
      <c r="C163" s="120">
        <v>0</v>
      </c>
      <c r="D163" s="120">
        <v>0</v>
      </c>
      <c r="E163" s="120">
        <v>0</v>
      </c>
      <c r="F163" s="120">
        <v>0</v>
      </c>
      <c r="G163" s="120">
        <v>0</v>
      </c>
      <c r="H163" s="120">
        <v>0</v>
      </c>
      <c r="I163" s="120">
        <v>0</v>
      </c>
      <c r="J163" s="120">
        <v>0</v>
      </c>
      <c r="K163" s="120">
        <v>0</v>
      </c>
      <c r="L163" s="120">
        <v>0</v>
      </c>
      <c r="M163" s="120">
        <v>0</v>
      </c>
      <c r="N163" s="120">
        <v>0</v>
      </c>
      <c r="O163" s="120">
        <v>0</v>
      </c>
      <c r="P163" s="120">
        <v>0</v>
      </c>
      <c r="Q163" s="120">
        <v>0</v>
      </c>
      <c r="R163" s="120">
        <v>0</v>
      </c>
      <c r="S163" s="120">
        <v>0</v>
      </c>
      <c r="T163" s="120">
        <v>0</v>
      </c>
      <c r="U163" s="120">
        <v>0</v>
      </c>
      <c r="V163" s="120">
        <v>0</v>
      </c>
      <c r="W163" s="120">
        <v>0</v>
      </c>
      <c r="X163" s="120">
        <v>0</v>
      </c>
      <c r="Y163" s="120">
        <v>0</v>
      </c>
      <c r="Z163" s="120">
        <v>0</v>
      </c>
      <c r="AA163" s="120">
        <v>0</v>
      </c>
      <c r="AB163" s="120">
        <v>0</v>
      </c>
      <c r="AC163" s="120">
        <v>0</v>
      </c>
      <c r="AD163" s="120">
        <v>0</v>
      </c>
      <c r="AE163" s="120">
        <v>0</v>
      </c>
      <c r="AF163" s="120">
        <v>0</v>
      </c>
      <c r="AG163" s="120">
        <v>0</v>
      </c>
      <c r="AH163" s="120">
        <v>0</v>
      </c>
      <c r="AI163" s="120">
        <v>0</v>
      </c>
      <c r="AJ163" s="120">
        <v>0</v>
      </c>
      <c r="AK163" s="120">
        <v>0</v>
      </c>
      <c r="AL163" s="120">
        <v>0</v>
      </c>
      <c r="AM163" s="120">
        <v>0</v>
      </c>
      <c r="AN163" s="120">
        <v>0</v>
      </c>
      <c r="AO163" s="120">
        <v>0</v>
      </c>
      <c r="AP163" s="120">
        <v>0</v>
      </c>
      <c r="AQ163" s="120">
        <v>0</v>
      </c>
      <c r="AR163" s="120">
        <v>0</v>
      </c>
      <c r="AS163" s="120">
        <v>0</v>
      </c>
      <c r="AT163" s="120">
        <v>0</v>
      </c>
      <c r="AU163" s="120">
        <v>0</v>
      </c>
      <c r="AV163" s="120">
        <v>0</v>
      </c>
      <c r="AW163" s="120">
        <v>0</v>
      </c>
      <c r="AX163" s="120">
        <v>0</v>
      </c>
      <c r="AY163" s="120">
        <v>0</v>
      </c>
      <c r="AZ163" s="120">
        <v>0</v>
      </c>
      <c r="BA163" s="120">
        <v>0</v>
      </c>
      <c r="BB163" s="120">
        <v>0</v>
      </c>
      <c r="BC163" s="120">
        <v>0</v>
      </c>
      <c r="BD163" s="120">
        <v>0</v>
      </c>
      <c r="BE163" s="120">
        <v>0</v>
      </c>
      <c r="BF163" s="120">
        <v>0</v>
      </c>
      <c r="BG163" s="120">
        <v>0</v>
      </c>
      <c r="BH163" s="120">
        <v>0</v>
      </c>
      <c r="BI163" s="120">
        <v>0</v>
      </c>
      <c r="BJ163" s="120">
        <v>0</v>
      </c>
      <c r="BK163" s="120">
        <v>0</v>
      </c>
      <c r="BL163" s="120">
        <v>0</v>
      </c>
      <c r="BM163" s="120">
        <v>0</v>
      </c>
      <c r="BN163" s="120">
        <v>0</v>
      </c>
      <c r="BO163" s="120">
        <v>0</v>
      </c>
      <c r="BP163" s="120">
        <v>0</v>
      </c>
      <c r="BQ163" s="120">
        <v>0</v>
      </c>
      <c r="BR163" s="120">
        <v>0</v>
      </c>
      <c r="BS163" s="120">
        <v>0</v>
      </c>
      <c r="BT163" s="120">
        <v>0</v>
      </c>
      <c r="BU163" s="120">
        <v>0</v>
      </c>
      <c r="BV163" s="120">
        <v>0</v>
      </c>
      <c r="BW163" s="120">
        <v>0</v>
      </c>
      <c r="BX163" s="120">
        <v>0</v>
      </c>
      <c r="BY163" s="120">
        <v>0</v>
      </c>
      <c r="BZ163" s="120">
        <v>0</v>
      </c>
      <c r="CA163" s="120">
        <v>0</v>
      </c>
      <c r="CB163" s="120">
        <v>0</v>
      </c>
      <c r="CC163" s="120">
        <v>0</v>
      </c>
      <c r="CD163" s="120">
        <v>0</v>
      </c>
      <c r="CE163" s="120">
        <v>0</v>
      </c>
      <c r="CF163" s="120">
        <v>0</v>
      </c>
      <c r="CG163" s="120">
        <v>0</v>
      </c>
      <c r="CH163" s="120">
        <v>0</v>
      </c>
      <c r="CI163" s="120">
        <v>0</v>
      </c>
      <c r="CJ163" s="120">
        <v>0</v>
      </c>
      <c r="CK163" s="120">
        <v>0</v>
      </c>
      <c r="CL163" s="120">
        <v>0</v>
      </c>
      <c r="CM163" s="120">
        <v>0</v>
      </c>
      <c r="CN163" s="120">
        <v>0</v>
      </c>
      <c r="CO163" s="120">
        <v>0</v>
      </c>
      <c r="CP163" s="120">
        <v>0</v>
      </c>
      <c r="CQ163" s="120">
        <v>0</v>
      </c>
      <c r="CR163" s="120">
        <v>0</v>
      </c>
      <c r="CS163" s="120">
        <v>0</v>
      </c>
      <c r="CT163" s="120">
        <v>0</v>
      </c>
      <c r="CU163" s="120">
        <v>0</v>
      </c>
      <c r="CV163" s="120">
        <v>0</v>
      </c>
      <c r="CW163" s="120">
        <v>0</v>
      </c>
      <c r="CX163" s="120">
        <v>0</v>
      </c>
      <c r="CY163" s="120">
        <v>0</v>
      </c>
      <c r="CZ163" s="120">
        <v>0</v>
      </c>
      <c r="DA163" s="120">
        <v>0</v>
      </c>
      <c r="DB163" s="120">
        <v>0</v>
      </c>
      <c r="DC163" s="120">
        <v>0</v>
      </c>
      <c r="DD163" s="120">
        <v>0</v>
      </c>
      <c r="DE163" s="120">
        <v>0</v>
      </c>
      <c r="DF163" s="120">
        <v>0</v>
      </c>
      <c r="DG163" s="120">
        <v>0</v>
      </c>
      <c r="DH163" s="120">
        <v>0</v>
      </c>
      <c r="DI163" s="120">
        <v>0</v>
      </c>
      <c r="DJ163" s="120">
        <v>0</v>
      </c>
      <c r="DK163" s="120">
        <v>0</v>
      </c>
      <c r="DL163" s="120">
        <v>0</v>
      </c>
      <c r="DM163" s="120">
        <v>0</v>
      </c>
      <c r="DN163" s="120">
        <v>0</v>
      </c>
      <c r="DO163" s="120">
        <v>0</v>
      </c>
      <c r="DP163" s="120">
        <v>0</v>
      </c>
      <c r="DQ163" s="120">
        <v>0</v>
      </c>
      <c r="DR163" s="120">
        <v>0</v>
      </c>
      <c r="DS163" s="120">
        <v>0</v>
      </c>
      <c r="DT163" s="120">
        <v>0</v>
      </c>
      <c r="DU163" s="120">
        <v>0</v>
      </c>
      <c r="DV163" s="120">
        <v>0</v>
      </c>
      <c r="DW163" s="120">
        <v>0</v>
      </c>
      <c r="DX163" s="120">
        <v>0</v>
      </c>
      <c r="DY163" s="120">
        <v>0</v>
      </c>
      <c r="DZ163" s="120">
        <v>0</v>
      </c>
      <c r="EA163" s="120">
        <v>95849.839000744294</v>
      </c>
      <c r="EB163" s="120">
        <v>0</v>
      </c>
      <c r="EC163" s="120">
        <v>0</v>
      </c>
      <c r="ED163" s="120">
        <f t="shared" si="2"/>
        <v>95849.839000744294</v>
      </c>
    </row>
    <row r="164" spans="1:134">
      <c r="A164" s="120">
        <v>163</v>
      </c>
      <c r="B164" s="120">
        <v>0</v>
      </c>
      <c r="C164" s="120">
        <v>0</v>
      </c>
      <c r="D164" s="120">
        <v>0</v>
      </c>
      <c r="E164" s="120">
        <v>0</v>
      </c>
      <c r="F164" s="120">
        <v>0</v>
      </c>
      <c r="G164" s="120">
        <v>0</v>
      </c>
      <c r="H164" s="120">
        <v>0</v>
      </c>
      <c r="I164" s="120">
        <v>0</v>
      </c>
      <c r="J164" s="120">
        <v>0</v>
      </c>
      <c r="K164" s="120">
        <v>0</v>
      </c>
      <c r="L164" s="120">
        <v>0</v>
      </c>
      <c r="M164" s="120">
        <v>0</v>
      </c>
      <c r="N164" s="120">
        <v>0</v>
      </c>
      <c r="O164" s="120">
        <v>0</v>
      </c>
      <c r="P164" s="120">
        <v>0</v>
      </c>
      <c r="Q164" s="120">
        <v>0</v>
      </c>
      <c r="R164" s="120">
        <v>0</v>
      </c>
      <c r="S164" s="120">
        <v>0</v>
      </c>
      <c r="T164" s="120">
        <v>0</v>
      </c>
      <c r="U164" s="120">
        <v>0</v>
      </c>
      <c r="V164" s="120">
        <v>0</v>
      </c>
      <c r="W164" s="120">
        <v>0</v>
      </c>
      <c r="X164" s="120">
        <v>0</v>
      </c>
      <c r="Y164" s="120">
        <v>0</v>
      </c>
      <c r="Z164" s="120">
        <v>0</v>
      </c>
      <c r="AA164" s="120">
        <v>0</v>
      </c>
      <c r="AB164" s="120">
        <v>0</v>
      </c>
      <c r="AC164" s="120">
        <v>0</v>
      </c>
      <c r="AD164" s="120">
        <v>0</v>
      </c>
      <c r="AE164" s="120">
        <v>0</v>
      </c>
      <c r="AF164" s="120">
        <v>0</v>
      </c>
      <c r="AG164" s="120">
        <v>0</v>
      </c>
      <c r="AH164" s="120">
        <v>0</v>
      </c>
      <c r="AI164" s="120">
        <v>0</v>
      </c>
      <c r="AJ164" s="120">
        <v>0</v>
      </c>
      <c r="AK164" s="120">
        <v>0</v>
      </c>
      <c r="AL164" s="120">
        <v>0</v>
      </c>
      <c r="AM164" s="120">
        <v>40964.863415041647</v>
      </c>
      <c r="AN164" s="120">
        <v>0</v>
      </c>
      <c r="AO164" s="120">
        <v>0</v>
      </c>
      <c r="AP164" s="120">
        <v>0</v>
      </c>
      <c r="AQ164" s="120">
        <v>0</v>
      </c>
      <c r="AR164" s="120">
        <v>0</v>
      </c>
      <c r="AS164" s="120">
        <v>0</v>
      </c>
      <c r="AT164" s="120">
        <v>0</v>
      </c>
      <c r="AU164" s="120">
        <v>0</v>
      </c>
      <c r="AV164" s="120">
        <v>16280.38144096567</v>
      </c>
      <c r="AW164" s="120">
        <v>0</v>
      </c>
      <c r="AX164" s="120">
        <v>0</v>
      </c>
      <c r="AY164" s="120">
        <v>0</v>
      </c>
      <c r="AZ164" s="120">
        <v>0</v>
      </c>
      <c r="BA164" s="120">
        <v>0</v>
      </c>
      <c r="BB164" s="120">
        <v>37868.706046317158</v>
      </c>
      <c r="BC164" s="120">
        <v>0</v>
      </c>
      <c r="BD164" s="120">
        <v>0</v>
      </c>
      <c r="BE164" s="120">
        <v>0</v>
      </c>
      <c r="BF164" s="120">
        <v>0</v>
      </c>
      <c r="BG164" s="120">
        <v>0</v>
      </c>
      <c r="BH164" s="120">
        <v>0</v>
      </c>
      <c r="BI164" s="120">
        <v>0</v>
      </c>
      <c r="BJ164" s="120">
        <v>0</v>
      </c>
      <c r="BK164" s="120">
        <v>0</v>
      </c>
      <c r="BL164" s="120">
        <v>0</v>
      </c>
      <c r="BM164" s="120">
        <v>0</v>
      </c>
      <c r="BN164" s="120">
        <v>0</v>
      </c>
      <c r="BO164" s="120">
        <v>0</v>
      </c>
      <c r="BP164" s="120">
        <v>0</v>
      </c>
      <c r="BQ164" s="120">
        <v>0</v>
      </c>
      <c r="BR164" s="120">
        <v>0</v>
      </c>
      <c r="BS164" s="120">
        <v>0</v>
      </c>
      <c r="BT164" s="120">
        <v>0</v>
      </c>
      <c r="BU164" s="120">
        <v>0</v>
      </c>
      <c r="BV164" s="120">
        <v>0</v>
      </c>
      <c r="BW164" s="120">
        <v>0</v>
      </c>
      <c r="BX164" s="120">
        <v>0</v>
      </c>
      <c r="BY164" s="120">
        <v>0</v>
      </c>
      <c r="BZ164" s="120">
        <v>0</v>
      </c>
      <c r="CA164" s="120">
        <v>0</v>
      </c>
      <c r="CB164" s="120">
        <v>0</v>
      </c>
      <c r="CC164" s="120">
        <v>0</v>
      </c>
      <c r="CD164" s="120">
        <v>0</v>
      </c>
      <c r="CE164" s="120">
        <v>0</v>
      </c>
      <c r="CF164" s="120">
        <v>0</v>
      </c>
      <c r="CG164" s="120">
        <v>0</v>
      </c>
      <c r="CH164" s="120">
        <v>0</v>
      </c>
      <c r="CI164" s="120">
        <v>0</v>
      </c>
      <c r="CJ164" s="120">
        <v>0</v>
      </c>
      <c r="CK164" s="120">
        <v>0</v>
      </c>
      <c r="CL164" s="120">
        <v>0</v>
      </c>
      <c r="CM164" s="120">
        <v>0</v>
      </c>
      <c r="CN164" s="120">
        <v>0</v>
      </c>
      <c r="CO164" s="120">
        <v>0</v>
      </c>
      <c r="CP164" s="120">
        <v>0</v>
      </c>
      <c r="CQ164" s="120">
        <v>0</v>
      </c>
      <c r="CR164" s="120">
        <v>0</v>
      </c>
      <c r="CS164" s="120">
        <v>0</v>
      </c>
      <c r="CT164" s="120">
        <v>0</v>
      </c>
      <c r="CU164" s="120">
        <v>0</v>
      </c>
      <c r="CV164" s="120">
        <v>0</v>
      </c>
      <c r="CW164" s="120">
        <v>0</v>
      </c>
      <c r="CX164" s="120">
        <v>0</v>
      </c>
      <c r="CY164" s="120">
        <v>0</v>
      </c>
      <c r="CZ164" s="120">
        <v>0</v>
      </c>
      <c r="DA164" s="120">
        <v>0</v>
      </c>
      <c r="DB164" s="120">
        <v>0</v>
      </c>
      <c r="DC164" s="120">
        <v>0</v>
      </c>
      <c r="DD164" s="120">
        <v>0</v>
      </c>
      <c r="DE164" s="120">
        <v>0</v>
      </c>
      <c r="DF164" s="120">
        <v>0</v>
      </c>
      <c r="DG164" s="120">
        <v>0</v>
      </c>
      <c r="DH164" s="120">
        <v>0</v>
      </c>
      <c r="DI164" s="120">
        <v>0</v>
      </c>
      <c r="DJ164" s="120">
        <v>0</v>
      </c>
      <c r="DK164" s="120">
        <v>0</v>
      </c>
      <c r="DL164" s="120">
        <v>0</v>
      </c>
      <c r="DM164" s="120">
        <v>0</v>
      </c>
      <c r="DN164" s="120">
        <v>0</v>
      </c>
      <c r="DO164" s="120">
        <v>0</v>
      </c>
      <c r="DP164" s="120">
        <v>0</v>
      </c>
      <c r="DQ164" s="120">
        <v>0</v>
      </c>
      <c r="DR164" s="120">
        <v>0</v>
      </c>
      <c r="DS164" s="120">
        <v>0</v>
      </c>
      <c r="DT164" s="120">
        <v>0</v>
      </c>
      <c r="DU164" s="120">
        <v>0</v>
      </c>
      <c r="DV164" s="120">
        <v>0</v>
      </c>
      <c r="DW164" s="120">
        <v>0</v>
      </c>
      <c r="DX164" s="120">
        <v>0</v>
      </c>
      <c r="DY164" s="120">
        <v>0</v>
      </c>
      <c r="DZ164" s="120">
        <v>0</v>
      </c>
      <c r="EA164" s="120">
        <v>1166476.272201509</v>
      </c>
      <c r="EB164" s="120">
        <v>0</v>
      </c>
      <c r="EC164" s="120">
        <v>0</v>
      </c>
      <c r="ED164" s="120">
        <f t="shared" si="2"/>
        <v>1261590.2231038334</v>
      </c>
    </row>
    <row r="165" spans="1:134">
      <c r="A165" s="120">
        <v>164</v>
      </c>
      <c r="B165" s="120">
        <v>0</v>
      </c>
      <c r="C165" s="120">
        <v>0</v>
      </c>
      <c r="D165" s="120">
        <v>0</v>
      </c>
      <c r="E165" s="120">
        <v>0</v>
      </c>
      <c r="F165" s="120">
        <v>0</v>
      </c>
      <c r="G165" s="120">
        <v>0</v>
      </c>
      <c r="H165" s="120">
        <v>0</v>
      </c>
      <c r="I165" s="120">
        <v>0</v>
      </c>
      <c r="J165" s="120">
        <v>0</v>
      </c>
      <c r="K165" s="120">
        <v>0</v>
      </c>
      <c r="L165" s="120">
        <v>0</v>
      </c>
      <c r="M165" s="120">
        <v>0</v>
      </c>
      <c r="N165" s="120">
        <v>0</v>
      </c>
      <c r="O165" s="120">
        <v>0</v>
      </c>
      <c r="P165" s="120">
        <v>0</v>
      </c>
      <c r="Q165" s="120">
        <v>0</v>
      </c>
      <c r="R165" s="120">
        <v>0</v>
      </c>
      <c r="S165" s="120">
        <v>0</v>
      </c>
      <c r="T165" s="120">
        <v>0</v>
      </c>
      <c r="U165" s="120">
        <v>0</v>
      </c>
      <c r="V165" s="120">
        <v>0</v>
      </c>
      <c r="W165" s="120">
        <v>0</v>
      </c>
      <c r="X165" s="120">
        <v>0</v>
      </c>
      <c r="Y165" s="120">
        <v>0</v>
      </c>
      <c r="Z165" s="120">
        <v>0</v>
      </c>
      <c r="AA165" s="120">
        <v>0</v>
      </c>
      <c r="AB165" s="120">
        <v>0</v>
      </c>
      <c r="AC165" s="120">
        <v>0</v>
      </c>
      <c r="AD165" s="120">
        <v>0</v>
      </c>
      <c r="AE165" s="120">
        <v>0</v>
      </c>
      <c r="AF165" s="120">
        <v>0</v>
      </c>
      <c r="AG165" s="120">
        <v>0</v>
      </c>
      <c r="AH165" s="120">
        <v>0</v>
      </c>
      <c r="AI165" s="120">
        <v>0</v>
      </c>
      <c r="AJ165" s="120">
        <v>2171627</v>
      </c>
      <c r="AK165" s="120">
        <v>24227.601216545019</v>
      </c>
      <c r="AL165" s="120">
        <v>0</v>
      </c>
      <c r="AM165" s="120">
        <v>0</v>
      </c>
      <c r="AN165" s="120">
        <v>0</v>
      </c>
      <c r="AO165" s="120">
        <v>0</v>
      </c>
      <c r="AP165" s="120">
        <v>0</v>
      </c>
      <c r="AQ165" s="120">
        <v>0</v>
      </c>
      <c r="AR165" s="120">
        <v>0</v>
      </c>
      <c r="AS165" s="120">
        <v>0</v>
      </c>
      <c r="AT165" s="120">
        <v>0</v>
      </c>
      <c r="AU165" s="120">
        <v>0</v>
      </c>
      <c r="AV165" s="120">
        <v>0</v>
      </c>
      <c r="AW165" s="120">
        <v>0</v>
      </c>
      <c r="AX165" s="120">
        <v>0</v>
      </c>
      <c r="AY165" s="120">
        <v>0</v>
      </c>
      <c r="AZ165" s="120">
        <v>0</v>
      </c>
      <c r="BA165" s="120">
        <v>0</v>
      </c>
      <c r="BB165" s="120">
        <v>0</v>
      </c>
      <c r="BC165" s="120">
        <v>0</v>
      </c>
      <c r="BD165" s="120">
        <v>0</v>
      </c>
      <c r="BE165" s="120">
        <v>0</v>
      </c>
      <c r="BF165" s="120">
        <v>0</v>
      </c>
      <c r="BG165" s="120">
        <v>0</v>
      </c>
      <c r="BH165" s="120">
        <v>0</v>
      </c>
      <c r="BI165" s="120">
        <v>0</v>
      </c>
      <c r="BJ165" s="120">
        <v>0</v>
      </c>
      <c r="BK165" s="120">
        <v>0</v>
      </c>
      <c r="BL165" s="120">
        <v>0</v>
      </c>
      <c r="BM165" s="120">
        <v>0</v>
      </c>
      <c r="BN165" s="120">
        <v>0</v>
      </c>
      <c r="BO165" s="120">
        <v>0</v>
      </c>
      <c r="BP165" s="120">
        <v>0</v>
      </c>
      <c r="BQ165" s="120">
        <v>0</v>
      </c>
      <c r="BR165" s="120">
        <v>0</v>
      </c>
      <c r="BS165" s="120">
        <v>0</v>
      </c>
      <c r="BT165" s="120">
        <v>0</v>
      </c>
      <c r="BU165" s="120">
        <v>0</v>
      </c>
      <c r="BV165" s="120">
        <v>0</v>
      </c>
      <c r="BW165" s="120">
        <v>0</v>
      </c>
      <c r="BX165" s="120">
        <v>0</v>
      </c>
      <c r="BY165" s="120">
        <v>0</v>
      </c>
      <c r="BZ165" s="120">
        <v>0</v>
      </c>
      <c r="CA165" s="120">
        <v>0</v>
      </c>
      <c r="CB165" s="120">
        <v>0</v>
      </c>
      <c r="CC165" s="120">
        <v>0</v>
      </c>
      <c r="CD165" s="120">
        <v>0</v>
      </c>
      <c r="CE165" s="120">
        <v>0</v>
      </c>
      <c r="CF165" s="120">
        <v>0</v>
      </c>
      <c r="CG165" s="120">
        <v>0</v>
      </c>
      <c r="CH165" s="120">
        <v>0</v>
      </c>
      <c r="CI165" s="120">
        <v>0</v>
      </c>
      <c r="CJ165" s="120">
        <v>0</v>
      </c>
      <c r="CK165" s="120">
        <v>0</v>
      </c>
      <c r="CL165" s="120">
        <v>0</v>
      </c>
      <c r="CM165" s="120">
        <v>0</v>
      </c>
      <c r="CN165" s="120">
        <v>0</v>
      </c>
      <c r="CO165" s="120">
        <v>0</v>
      </c>
      <c r="CP165" s="120">
        <v>0</v>
      </c>
      <c r="CQ165" s="120">
        <v>0</v>
      </c>
      <c r="CR165" s="120">
        <v>0</v>
      </c>
      <c r="CS165" s="120">
        <v>0</v>
      </c>
      <c r="CT165" s="120">
        <v>0</v>
      </c>
      <c r="CU165" s="120">
        <v>0</v>
      </c>
      <c r="CV165" s="120">
        <v>0</v>
      </c>
      <c r="CW165" s="120">
        <v>0</v>
      </c>
      <c r="CX165" s="120">
        <v>0</v>
      </c>
      <c r="CY165" s="120">
        <v>0</v>
      </c>
      <c r="CZ165" s="120">
        <v>0</v>
      </c>
      <c r="DA165" s="120">
        <v>0</v>
      </c>
      <c r="DB165" s="120">
        <v>0</v>
      </c>
      <c r="DC165" s="120">
        <v>0</v>
      </c>
      <c r="DD165" s="120">
        <v>0</v>
      </c>
      <c r="DE165" s="120">
        <v>0</v>
      </c>
      <c r="DF165" s="120">
        <v>0</v>
      </c>
      <c r="DG165" s="120">
        <v>0</v>
      </c>
      <c r="DH165" s="120">
        <v>0</v>
      </c>
      <c r="DI165" s="120">
        <v>0</v>
      </c>
      <c r="DJ165" s="120">
        <v>0</v>
      </c>
      <c r="DK165" s="120">
        <v>0</v>
      </c>
      <c r="DL165" s="120">
        <v>0</v>
      </c>
      <c r="DM165" s="120">
        <v>0</v>
      </c>
      <c r="DN165" s="120">
        <v>0</v>
      </c>
      <c r="DO165" s="120">
        <v>0</v>
      </c>
      <c r="DP165" s="120">
        <v>0</v>
      </c>
      <c r="DQ165" s="120">
        <v>0</v>
      </c>
      <c r="DR165" s="120">
        <v>0</v>
      </c>
      <c r="DS165" s="120">
        <v>0</v>
      </c>
      <c r="DT165" s="120">
        <v>0</v>
      </c>
      <c r="DU165" s="120">
        <v>0</v>
      </c>
      <c r="DV165" s="120">
        <v>0</v>
      </c>
      <c r="DW165" s="120">
        <v>0</v>
      </c>
      <c r="DX165" s="120">
        <v>0</v>
      </c>
      <c r="DY165" s="120">
        <v>0</v>
      </c>
      <c r="DZ165" s="120">
        <v>0</v>
      </c>
      <c r="EA165" s="120">
        <v>0</v>
      </c>
      <c r="EB165" s="120">
        <v>0</v>
      </c>
      <c r="EC165" s="120">
        <v>0</v>
      </c>
      <c r="ED165" s="120">
        <f t="shared" si="2"/>
        <v>2195854.6012165449</v>
      </c>
    </row>
    <row r="166" spans="1:134">
      <c r="A166" s="120">
        <v>165</v>
      </c>
      <c r="B166" s="120">
        <v>0</v>
      </c>
      <c r="C166" s="120">
        <v>249048</v>
      </c>
      <c r="D166" s="120">
        <v>3611.9516494320469</v>
      </c>
      <c r="E166" s="120">
        <v>26181.362236479628</v>
      </c>
      <c r="F166" s="120">
        <v>15.8041310292663</v>
      </c>
      <c r="G166" s="120">
        <v>-427.17779937292579</v>
      </c>
      <c r="H166" s="120">
        <v>204.89063203347729</v>
      </c>
      <c r="I166" s="120">
        <v>213.4938459224374</v>
      </c>
      <c r="J166" s="120">
        <v>-131.0023329584935</v>
      </c>
      <c r="K166" s="120">
        <v>4306.3384339698887</v>
      </c>
      <c r="L166" s="120">
        <v>0</v>
      </c>
      <c r="M166" s="120">
        <v>102.1489898989899</v>
      </c>
      <c r="N166" s="120">
        <v>15833.372429140891</v>
      </c>
      <c r="O166" s="120">
        <v>1.0571432013686419</v>
      </c>
      <c r="P166" s="120">
        <v>318.34485267369962</v>
      </c>
      <c r="Q166" s="120">
        <v>0</v>
      </c>
      <c r="R166" s="120">
        <v>0</v>
      </c>
      <c r="S166" s="120">
        <v>-1241.784632819544</v>
      </c>
      <c r="T166" s="120">
        <v>0</v>
      </c>
      <c r="U166" s="120">
        <v>0</v>
      </c>
      <c r="V166" s="120">
        <v>4712.0254184091173</v>
      </c>
      <c r="W166" s="120">
        <v>-183.6285543845695</v>
      </c>
      <c r="X166" s="120">
        <v>280.98690298800091</v>
      </c>
      <c r="Y166" s="120">
        <v>-47.26549188730602</v>
      </c>
      <c r="Z166" s="120">
        <v>0</v>
      </c>
      <c r="AA166" s="120">
        <v>0</v>
      </c>
      <c r="AB166" s="120">
        <v>0</v>
      </c>
      <c r="AC166" s="120">
        <v>18830.140916121109</v>
      </c>
      <c r="AD166" s="120">
        <v>6.2157672592307609</v>
      </c>
      <c r="AE166" s="120">
        <v>0</v>
      </c>
      <c r="AF166" s="120">
        <v>0</v>
      </c>
      <c r="AG166" s="120">
        <v>24.592615859055989</v>
      </c>
      <c r="AH166" s="120">
        <v>0</v>
      </c>
      <c r="AI166" s="120">
        <v>0</v>
      </c>
      <c r="AJ166" s="120">
        <v>0</v>
      </c>
      <c r="AK166" s="120">
        <v>0</v>
      </c>
      <c r="AL166" s="120">
        <v>0</v>
      </c>
      <c r="AM166" s="120">
        <v>0</v>
      </c>
      <c r="AN166" s="120">
        <v>0</v>
      </c>
      <c r="AO166" s="120">
        <v>0</v>
      </c>
      <c r="AP166" s="120">
        <v>0</v>
      </c>
      <c r="AQ166" s="120">
        <v>0</v>
      </c>
      <c r="AR166" s="120">
        <v>0</v>
      </c>
      <c r="AS166" s="120">
        <v>0</v>
      </c>
      <c r="AT166" s="120">
        <v>0</v>
      </c>
      <c r="AU166" s="120">
        <v>0</v>
      </c>
      <c r="AV166" s="120">
        <v>0</v>
      </c>
      <c r="AW166" s="120">
        <v>0</v>
      </c>
      <c r="AX166" s="120">
        <v>0</v>
      </c>
      <c r="AY166" s="120">
        <v>0</v>
      </c>
      <c r="AZ166" s="120">
        <v>0</v>
      </c>
      <c r="BA166" s="120">
        <v>0</v>
      </c>
      <c r="BB166" s="120">
        <v>0</v>
      </c>
      <c r="BC166" s="120">
        <v>0</v>
      </c>
      <c r="BD166" s="120">
        <v>0</v>
      </c>
      <c r="BE166" s="120">
        <v>0</v>
      </c>
      <c r="BF166" s="120">
        <v>0</v>
      </c>
      <c r="BG166" s="120">
        <v>0</v>
      </c>
      <c r="BH166" s="120">
        <v>0</v>
      </c>
      <c r="BI166" s="120">
        <v>0</v>
      </c>
      <c r="BJ166" s="120">
        <v>0</v>
      </c>
      <c r="BK166" s="120">
        <v>0</v>
      </c>
      <c r="BL166" s="120">
        <v>0</v>
      </c>
      <c r="BM166" s="120">
        <v>0</v>
      </c>
      <c r="BN166" s="120">
        <v>27.49339327814025</v>
      </c>
      <c r="BO166" s="120">
        <v>0</v>
      </c>
      <c r="BP166" s="120">
        <v>0</v>
      </c>
      <c r="BQ166" s="120">
        <v>0</v>
      </c>
      <c r="BR166" s="120">
        <v>0</v>
      </c>
      <c r="BS166" s="120">
        <v>0</v>
      </c>
      <c r="BT166" s="120">
        <v>0</v>
      </c>
      <c r="BU166" s="120">
        <v>0</v>
      </c>
      <c r="BV166" s="120">
        <v>0</v>
      </c>
      <c r="BW166" s="120">
        <v>0</v>
      </c>
      <c r="BX166" s="120">
        <v>0</v>
      </c>
      <c r="BY166" s="120">
        <v>0</v>
      </c>
      <c r="BZ166" s="120">
        <v>-28723.477177319259</v>
      </c>
      <c r="CA166" s="120">
        <v>-24268.754578252581</v>
      </c>
      <c r="CB166" s="120">
        <v>-138417.3046386179</v>
      </c>
      <c r="CC166" s="120">
        <v>2118.7239604684751</v>
      </c>
      <c r="CD166" s="120">
        <v>70.463550045523945</v>
      </c>
      <c r="CE166" s="120">
        <v>0</v>
      </c>
      <c r="CF166" s="120">
        <v>120.84103071343429</v>
      </c>
      <c r="CG166" s="120">
        <v>3.860858396660602</v>
      </c>
      <c r="CH166" s="120">
        <v>9.2353047567372037</v>
      </c>
      <c r="CI166" s="120">
        <v>0</v>
      </c>
      <c r="CJ166" s="120">
        <v>0</v>
      </c>
      <c r="CK166" s="120">
        <v>-271.18852046522028</v>
      </c>
      <c r="CL166" s="120">
        <v>-1137.4645436638209</v>
      </c>
      <c r="CM166" s="120">
        <v>-2263.3410835709592</v>
      </c>
      <c r="CN166" s="120">
        <v>0</v>
      </c>
      <c r="CO166" s="120">
        <v>0</v>
      </c>
      <c r="CP166" s="120">
        <v>-124072</v>
      </c>
      <c r="CQ166" s="120">
        <v>2649.1398909744348</v>
      </c>
      <c r="CR166" s="120">
        <v>-12709.76207227375</v>
      </c>
      <c r="CS166" s="120">
        <v>-12088.456309337271</v>
      </c>
      <c r="CT166" s="120">
        <v>270.78182778658208</v>
      </c>
      <c r="CU166" s="120">
        <v>1.1630730204747239</v>
      </c>
      <c r="CV166" s="120">
        <v>928.60329396811949</v>
      </c>
      <c r="CW166" s="120">
        <v>-1652.052369077307</v>
      </c>
      <c r="CX166" s="120">
        <v>4007.6442478811691</v>
      </c>
      <c r="CY166" s="120">
        <v>-449.60816616487938</v>
      </c>
      <c r="CZ166" s="120">
        <v>137.65640469068481</v>
      </c>
      <c r="DA166" s="120">
        <v>50.079146786415947</v>
      </c>
      <c r="DB166" s="120">
        <v>2848.329098945464</v>
      </c>
      <c r="DC166" s="120">
        <v>-2657</v>
      </c>
      <c r="DD166" s="120">
        <v>0</v>
      </c>
      <c r="DE166" s="120">
        <v>-4201.2665146709978</v>
      </c>
      <c r="DF166" s="120">
        <v>-10823.238780596639</v>
      </c>
      <c r="DG166" s="120">
        <v>-16012.44559145902</v>
      </c>
      <c r="DH166" s="120">
        <v>0</v>
      </c>
      <c r="DI166" s="120">
        <v>0</v>
      </c>
      <c r="DJ166" s="120">
        <v>-3797</v>
      </c>
      <c r="DK166" s="120">
        <v>0</v>
      </c>
      <c r="DL166" s="120">
        <v>-1272.6964994643511</v>
      </c>
      <c r="DM166" s="120">
        <v>-558.1840861090036</v>
      </c>
      <c r="DN166" s="120">
        <v>4134.8028174386227</v>
      </c>
      <c r="DO166" s="120">
        <v>-711.89198759106455</v>
      </c>
      <c r="DP166" s="120">
        <v>54989.390615528981</v>
      </c>
      <c r="DQ166" s="120">
        <v>-22782.86883623328</v>
      </c>
      <c r="DR166" s="120">
        <v>-23297.896762856421</v>
      </c>
      <c r="DS166" s="120">
        <v>-73.498555390074088</v>
      </c>
      <c r="DT166" s="120">
        <v>-100.05454711635601</v>
      </c>
      <c r="DU166" s="120">
        <v>0</v>
      </c>
      <c r="DV166" s="120">
        <v>-4.2987947046038331</v>
      </c>
      <c r="DW166" s="120">
        <v>0</v>
      </c>
      <c r="DX166" s="120">
        <v>0</v>
      </c>
      <c r="DY166" s="120">
        <v>1.099890725377684</v>
      </c>
      <c r="DZ166" s="120">
        <v>-20.89792378217599</v>
      </c>
      <c r="EA166" s="120">
        <v>0</v>
      </c>
      <c r="EB166" s="120">
        <v>-17035.733345950841</v>
      </c>
      <c r="EC166" s="120">
        <v>0</v>
      </c>
      <c r="ED166" s="120">
        <f t="shared" si="2"/>
        <v>-55373.206126266974</v>
      </c>
    </row>
    <row r="167" spans="1:134">
      <c r="A167" s="120">
        <v>166</v>
      </c>
      <c r="B167" s="120">
        <v>0</v>
      </c>
      <c r="C167" s="120">
        <v>0</v>
      </c>
      <c r="D167" s="120">
        <v>0</v>
      </c>
      <c r="E167" s="120">
        <v>0</v>
      </c>
      <c r="F167" s="120">
        <v>0</v>
      </c>
      <c r="G167" s="120">
        <v>0</v>
      </c>
      <c r="H167" s="120">
        <v>0</v>
      </c>
      <c r="I167" s="120">
        <v>0</v>
      </c>
      <c r="J167" s="120">
        <v>0</v>
      </c>
      <c r="K167" s="120">
        <v>0</v>
      </c>
      <c r="L167" s="120">
        <v>0</v>
      </c>
      <c r="M167" s="120">
        <v>0</v>
      </c>
      <c r="N167" s="120">
        <v>0</v>
      </c>
      <c r="O167" s="120">
        <v>0</v>
      </c>
      <c r="P167" s="120">
        <v>0</v>
      </c>
      <c r="Q167" s="120">
        <v>0</v>
      </c>
      <c r="R167" s="120">
        <v>0</v>
      </c>
      <c r="S167" s="120">
        <v>0</v>
      </c>
      <c r="T167" s="120">
        <v>0</v>
      </c>
      <c r="U167" s="120">
        <v>0</v>
      </c>
      <c r="V167" s="120">
        <v>0</v>
      </c>
      <c r="W167" s="120">
        <v>0</v>
      </c>
      <c r="X167" s="120">
        <v>0</v>
      </c>
      <c r="Y167" s="120">
        <v>0</v>
      </c>
      <c r="Z167" s="120">
        <v>0</v>
      </c>
      <c r="AA167" s="120">
        <v>0</v>
      </c>
      <c r="AB167" s="120">
        <v>0</v>
      </c>
      <c r="AC167" s="120">
        <v>0</v>
      </c>
      <c r="AD167" s="120">
        <v>0</v>
      </c>
      <c r="AE167" s="120">
        <v>0</v>
      </c>
      <c r="AF167" s="120">
        <v>0</v>
      </c>
      <c r="AG167" s="120">
        <v>0</v>
      </c>
      <c r="AH167" s="120">
        <v>12026</v>
      </c>
      <c r="AI167" s="120">
        <v>0</v>
      </c>
      <c r="AJ167" s="120">
        <v>0</v>
      </c>
      <c r="AK167" s="120">
        <v>0</v>
      </c>
      <c r="AL167" s="120">
        <v>0</v>
      </c>
      <c r="AM167" s="120">
        <v>0</v>
      </c>
      <c r="AN167" s="120">
        <v>0</v>
      </c>
      <c r="AO167" s="120">
        <v>0</v>
      </c>
      <c r="AP167" s="120">
        <v>0</v>
      </c>
      <c r="AQ167" s="120">
        <v>0</v>
      </c>
      <c r="AR167" s="120">
        <v>0</v>
      </c>
      <c r="AS167" s="120">
        <v>0</v>
      </c>
      <c r="AT167" s="120">
        <v>0</v>
      </c>
      <c r="AU167" s="120">
        <v>0</v>
      </c>
      <c r="AV167" s="120">
        <v>0</v>
      </c>
      <c r="AW167" s="120">
        <v>0</v>
      </c>
      <c r="AX167" s="120">
        <v>0</v>
      </c>
      <c r="AY167" s="120">
        <v>0</v>
      </c>
      <c r="AZ167" s="120">
        <v>0</v>
      </c>
      <c r="BA167" s="120">
        <v>0</v>
      </c>
      <c r="BB167" s="120">
        <v>0</v>
      </c>
      <c r="BC167" s="120">
        <v>0</v>
      </c>
      <c r="BD167" s="120">
        <v>0</v>
      </c>
      <c r="BE167" s="120">
        <v>0</v>
      </c>
      <c r="BF167" s="120">
        <v>0</v>
      </c>
      <c r="BG167" s="120">
        <v>0</v>
      </c>
      <c r="BH167" s="120">
        <v>0</v>
      </c>
      <c r="BI167" s="120">
        <v>0</v>
      </c>
      <c r="BJ167" s="120">
        <v>0</v>
      </c>
      <c r="BK167" s="120">
        <v>0</v>
      </c>
      <c r="BL167" s="120">
        <v>0</v>
      </c>
      <c r="BM167" s="120">
        <v>0</v>
      </c>
      <c r="BN167" s="120">
        <v>0</v>
      </c>
      <c r="BO167" s="120">
        <v>0</v>
      </c>
      <c r="BP167" s="120">
        <v>0</v>
      </c>
      <c r="BQ167" s="120">
        <v>0</v>
      </c>
      <c r="BR167" s="120">
        <v>0</v>
      </c>
      <c r="BS167" s="120">
        <v>0</v>
      </c>
      <c r="BT167" s="120">
        <v>0</v>
      </c>
      <c r="BU167" s="120">
        <v>0</v>
      </c>
      <c r="BV167" s="120">
        <v>0</v>
      </c>
      <c r="BW167" s="120">
        <v>137852</v>
      </c>
      <c r="BX167" s="120">
        <v>-177197</v>
      </c>
      <c r="BY167" s="120">
        <v>0</v>
      </c>
      <c r="BZ167" s="120">
        <v>0</v>
      </c>
      <c r="CA167" s="120">
        <v>0</v>
      </c>
      <c r="CB167" s="120">
        <v>0</v>
      </c>
      <c r="CC167" s="120">
        <v>0</v>
      </c>
      <c r="CD167" s="120">
        <v>0</v>
      </c>
      <c r="CE167" s="120">
        <v>0</v>
      </c>
      <c r="CF167" s="120">
        <v>0</v>
      </c>
      <c r="CG167" s="120">
        <v>0</v>
      </c>
      <c r="CH167" s="120">
        <v>0</v>
      </c>
      <c r="CI167" s="120">
        <v>0</v>
      </c>
      <c r="CJ167" s="120">
        <v>0</v>
      </c>
      <c r="CK167" s="120">
        <v>0</v>
      </c>
      <c r="CL167" s="120">
        <v>0</v>
      </c>
      <c r="CM167" s="120">
        <v>0</v>
      </c>
      <c r="CN167" s="120">
        <v>0</v>
      </c>
      <c r="CO167" s="120">
        <v>0</v>
      </c>
      <c r="CP167" s="120">
        <v>0</v>
      </c>
      <c r="CQ167" s="120">
        <v>0</v>
      </c>
      <c r="CR167" s="120">
        <v>0</v>
      </c>
      <c r="CS167" s="120">
        <v>0</v>
      </c>
      <c r="CT167" s="120">
        <v>0</v>
      </c>
      <c r="CU167" s="120">
        <v>0</v>
      </c>
      <c r="CV167" s="120">
        <v>0</v>
      </c>
      <c r="CW167" s="120">
        <v>0</v>
      </c>
      <c r="CX167" s="120">
        <v>0</v>
      </c>
      <c r="CY167" s="120">
        <v>0</v>
      </c>
      <c r="CZ167" s="120">
        <v>0</v>
      </c>
      <c r="DA167" s="120">
        <v>0</v>
      </c>
      <c r="DB167" s="120">
        <v>0</v>
      </c>
      <c r="DC167" s="120">
        <v>0</v>
      </c>
      <c r="DD167" s="120">
        <v>0</v>
      </c>
      <c r="DE167" s="120">
        <v>0</v>
      </c>
      <c r="DF167" s="120">
        <v>0</v>
      </c>
      <c r="DG167" s="120">
        <v>0</v>
      </c>
      <c r="DH167" s="120">
        <v>15949.74678923628</v>
      </c>
      <c r="DI167" s="120">
        <v>0</v>
      </c>
      <c r="DJ167" s="120">
        <v>0</v>
      </c>
      <c r="DK167" s="120">
        <v>0</v>
      </c>
      <c r="DL167" s="120">
        <v>0</v>
      </c>
      <c r="DM167" s="120">
        <v>0</v>
      </c>
      <c r="DN167" s="120">
        <v>0</v>
      </c>
      <c r="DO167" s="120">
        <v>0</v>
      </c>
      <c r="DP167" s="120">
        <v>163192.12292849409</v>
      </c>
      <c r="DQ167" s="120">
        <v>0</v>
      </c>
      <c r="DR167" s="120">
        <v>-297153.14781108371</v>
      </c>
      <c r="DS167" s="120">
        <v>-270.05268389183402</v>
      </c>
      <c r="DT167" s="120">
        <v>0</v>
      </c>
      <c r="DU167" s="120">
        <v>0</v>
      </c>
      <c r="DV167" s="120">
        <v>0</v>
      </c>
      <c r="DW167" s="120">
        <v>0</v>
      </c>
      <c r="DX167" s="120">
        <v>0</v>
      </c>
      <c r="DY167" s="120">
        <v>0</v>
      </c>
      <c r="DZ167" s="120">
        <v>0</v>
      </c>
      <c r="EA167" s="120">
        <v>0</v>
      </c>
      <c r="EB167" s="120">
        <v>0</v>
      </c>
      <c r="EC167" s="120">
        <v>0</v>
      </c>
      <c r="ED167" s="120">
        <f>SUM(B167:EC167)</f>
        <v>-145600.33077724517</v>
      </c>
    </row>
    <row r="168" spans="1:134">
      <c r="ED168" s="405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99046-549B-4E73-A381-00C3C4D56BAD}">
  <sheetPr codeName="Sheet30"/>
  <dimension ref="A1:AM383"/>
  <sheetViews>
    <sheetView view="pageLayout" zoomScaleNormal="100" workbookViewId="0">
      <selection activeCell="S5" sqref="S5"/>
    </sheetView>
  </sheetViews>
  <sheetFormatPr defaultColWidth="9.140625" defaultRowHeight="14.45"/>
  <cols>
    <col min="1" max="1" width="46" style="27" customWidth="1"/>
    <col min="2" max="2" width="7.85546875" style="27" customWidth="1"/>
    <col min="3" max="3" width="12" style="27" customWidth="1"/>
    <col min="4" max="4" width="56.140625" style="27" customWidth="1"/>
    <col min="5" max="5" width="5.42578125" style="27" customWidth="1"/>
    <col min="6" max="8" width="16.42578125" style="27" customWidth="1"/>
    <col min="9" max="9" width="5.85546875" style="27" customWidth="1"/>
    <col min="10" max="10" width="5.42578125" style="27" customWidth="1"/>
    <col min="11" max="11" width="14.7109375" style="27" bestFit="1" customWidth="1"/>
    <col min="12" max="12" width="5.42578125" style="27" customWidth="1"/>
    <col min="13" max="13" width="6.85546875" style="27" customWidth="1"/>
    <col min="14" max="14" width="10" style="27" customWidth="1"/>
    <col min="15" max="15" width="7.85546875" style="27" customWidth="1"/>
    <col min="16" max="17" width="9" style="27" customWidth="1"/>
    <col min="18" max="18" width="9.140625" style="27" customWidth="1"/>
    <col min="19" max="19" width="10" style="27" bestFit="1" customWidth="1"/>
    <col min="20" max="16384" width="9.140625" style="27"/>
  </cols>
  <sheetData>
    <row r="1" spans="1:39">
      <c r="A1" s="194" t="s">
        <v>3607</v>
      </c>
    </row>
    <row r="2" spans="1:39">
      <c r="A2" s="194" t="s">
        <v>3608</v>
      </c>
      <c r="B2" s="195">
        <v>63</v>
      </c>
    </row>
    <row r="3" spans="1:39">
      <c r="A3" s="194"/>
      <c r="B3" s="195"/>
      <c r="F3" s="27">
        <v>1</v>
      </c>
      <c r="G3" s="27">
        <v>2</v>
      </c>
      <c r="H3" s="27">
        <v>3</v>
      </c>
      <c r="I3" s="27">
        <v>4</v>
      </c>
      <c r="J3" s="27">
        <v>5</v>
      </c>
      <c r="K3" s="27">
        <v>6</v>
      </c>
      <c r="L3" s="27">
        <v>7</v>
      </c>
    </row>
    <row r="4" spans="1:39">
      <c r="A4" s="194" t="s">
        <v>3609</v>
      </c>
      <c r="B4" s="194" t="s">
        <v>2254</v>
      </c>
      <c r="C4" s="194" t="s">
        <v>3610</v>
      </c>
      <c r="D4" s="194" t="s">
        <v>1857</v>
      </c>
      <c r="E4" s="194" t="s">
        <v>3611</v>
      </c>
      <c r="F4" s="194" t="s">
        <v>3612</v>
      </c>
      <c r="G4" s="194" t="s">
        <v>3613</v>
      </c>
      <c r="H4" s="194" t="s">
        <v>3614</v>
      </c>
      <c r="I4" s="194" t="s">
        <v>3615</v>
      </c>
      <c r="J4" s="194" t="s">
        <v>3616</v>
      </c>
      <c r="K4" s="194" t="s">
        <v>3617</v>
      </c>
      <c r="L4" s="194" t="s">
        <v>3618</v>
      </c>
      <c r="M4" s="194" t="s">
        <v>3619</v>
      </c>
      <c r="N4" s="194" t="s">
        <v>3620</v>
      </c>
      <c r="O4" s="194" t="s">
        <v>3621</v>
      </c>
      <c r="P4" s="194" t="s">
        <v>3622</v>
      </c>
      <c r="Q4" s="194" t="s">
        <v>3623</v>
      </c>
      <c r="S4" s="194" t="s">
        <v>3624</v>
      </c>
      <c r="T4" s="27" t="s">
        <v>3625</v>
      </c>
    </row>
    <row r="5" spans="1:39">
      <c r="A5" s="196" t="s">
        <v>3626</v>
      </c>
      <c r="B5" s="196" t="s">
        <v>34</v>
      </c>
      <c r="C5" s="196" t="s">
        <v>1782</v>
      </c>
      <c r="D5" s="196" t="s">
        <v>3627</v>
      </c>
      <c r="E5" s="195">
        <v>2025</v>
      </c>
      <c r="F5" s="42">
        <f>SUMIFS($AL$5:$AL$383,$AI$5:$AI$383,F$3,$AG$5:$AG$383,$C5,$AK$5:$AK$383,$B5)</f>
        <v>541596737</v>
      </c>
      <c r="G5" s="42">
        <f t="shared" ref="G5:Q20" si="0">SUMIFS($AL$5:$AL$383,$AI$5:$AI$383,G$3,$AG$5:$AG$383,$C5,$AK$5:$AK$383,$B5)</f>
        <v>438100413</v>
      </c>
      <c r="H5" s="42">
        <f t="shared" si="0"/>
        <v>516722317</v>
      </c>
      <c r="I5" s="42">
        <f t="shared" si="0"/>
        <v>464831536</v>
      </c>
      <c r="J5" s="42">
        <f t="shared" si="0"/>
        <v>521843789</v>
      </c>
      <c r="K5" s="42">
        <f t="shared" si="0"/>
        <v>482054080</v>
      </c>
      <c r="L5" s="42">
        <f t="shared" si="0"/>
        <v>0</v>
      </c>
      <c r="M5" s="42">
        <f t="shared" si="0"/>
        <v>0</v>
      </c>
      <c r="N5" s="42">
        <f t="shared" si="0"/>
        <v>0</v>
      </c>
      <c r="O5" s="42">
        <f t="shared" si="0"/>
        <v>0</v>
      </c>
      <c r="P5" s="42">
        <f t="shared" si="0"/>
        <v>0</v>
      </c>
      <c r="Q5" s="42">
        <f t="shared" si="0"/>
        <v>0</v>
      </c>
      <c r="S5" s="27">
        <f>IFERROR(AVERAGEIFS('USMCA Imports'!$L$4:$L$63,'USMCA Imports'!$B$4:$B$63,'Full Imports'!B5,'USMCA Imports'!$C$4:$C$63,'Full Imports'!C5),0)</f>
        <v>222685</v>
      </c>
      <c r="T5" s="197">
        <f>1-S5/K5</f>
        <v>0.99953804975574523</v>
      </c>
      <c r="AF5" s="223" t="s">
        <v>3626</v>
      </c>
      <c r="AG5" s="223" t="s">
        <v>1782</v>
      </c>
      <c r="AH5" s="116">
        <v>2025</v>
      </c>
      <c r="AI5" s="116">
        <v>1</v>
      </c>
      <c r="AJ5" s="223" t="s">
        <v>3627</v>
      </c>
      <c r="AK5" s="223" t="s">
        <v>34</v>
      </c>
      <c r="AL5" s="60">
        <v>541596737</v>
      </c>
      <c r="AM5" s="60"/>
    </row>
    <row r="6" spans="1:39">
      <c r="A6" s="196" t="s">
        <v>3626</v>
      </c>
      <c r="B6" s="196" t="s">
        <v>34</v>
      </c>
      <c r="C6" s="196" t="s">
        <v>3628</v>
      </c>
      <c r="D6" s="196" t="s">
        <v>3629</v>
      </c>
      <c r="E6" s="195">
        <v>2025</v>
      </c>
      <c r="F6" s="42">
        <f t="shared" ref="F6:Q37" si="1">SUMIFS($AL$5:$AL$383,$AI$5:$AI$383,F$3,$AG$5:$AG$383,$C6,$AK$5:$AK$383,$B6)</f>
        <v>329070496</v>
      </c>
      <c r="G6" s="42">
        <f t="shared" si="0"/>
        <v>330346313</v>
      </c>
      <c r="H6" s="42">
        <f t="shared" si="0"/>
        <v>373726182</v>
      </c>
      <c r="I6" s="42">
        <f t="shared" si="0"/>
        <v>196098200</v>
      </c>
      <c r="J6" s="42">
        <f t="shared" si="0"/>
        <v>205418665</v>
      </c>
      <c r="K6" s="42">
        <f t="shared" si="0"/>
        <v>253764441</v>
      </c>
      <c r="L6" s="42">
        <f t="shared" si="0"/>
        <v>0</v>
      </c>
      <c r="M6" s="42">
        <f t="shared" si="0"/>
        <v>0</v>
      </c>
      <c r="N6" s="42">
        <f t="shared" si="0"/>
        <v>0</v>
      </c>
      <c r="O6" s="42">
        <f t="shared" si="0"/>
        <v>0</v>
      </c>
      <c r="P6" s="42">
        <f t="shared" si="0"/>
        <v>0</v>
      </c>
      <c r="Q6" s="42">
        <f t="shared" si="0"/>
        <v>0</v>
      </c>
      <c r="S6" s="27">
        <f>IFERROR(AVERAGEIFS('USMCA Imports'!$L$4:$L$63,'USMCA Imports'!$B$4:$B$63,'Full Imports'!B6,'USMCA Imports'!$C$4:$C$63,'Full Imports'!C6),0)</f>
        <v>118308</v>
      </c>
      <c r="T6" s="197">
        <f t="shared" ref="T6:T67" si="2">1-S6/K6</f>
        <v>0.99953378810863414</v>
      </c>
      <c r="AF6" s="223" t="s">
        <v>3626</v>
      </c>
      <c r="AG6" s="223" t="s">
        <v>1782</v>
      </c>
      <c r="AH6" s="116">
        <v>2025</v>
      </c>
      <c r="AI6" s="116">
        <v>2</v>
      </c>
      <c r="AJ6" s="223" t="s">
        <v>3627</v>
      </c>
      <c r="AK6" s="223" t="s">
        <v>34</v>
      </c>
      <c r="AL6" s="60">
        <v>438100413</v>
      </c>
      <c r="AM6" s="60"/>
    </row>
    <row r="7" spans="1:39">
      <c r="A7" s="196" t="s">
        <v>3626</v>
      </c>
      <c r="B7" s="196" t="s">
        <v>34</v>
      </c>
      <c r="C7" s="196" t="s">
        <v>3630</v>
      </c>
      <c r="D7" s="196" t="s">
        <v>3631</v>
      </c>
      <c r="E7" s="195">
        <v>2025</v>
      </c>
      <c r="F7" s="42">
        <f t="shared" si="1"/>
        <v>9393554</v>
      </c>
      <c r="G7" s="42">
        <f t="shared" si="0"/>
        <v>10782571</v>
      </c>
      <c r="H7" s="42">
        <f t="shared" si="0"/>
        <v>15609043</v>
      </c>
      <c r="I7" s="42">
        <f t="shared" si="0"/>
        <v>10665848</v>
      </c>
      <c r="J7" s="42">
        <f t="shared" si="0"/>
        <v>8824610</v>
      </c>
      <c r="K7" s="42">
        <f t="shared" si="0"/>
        <v>14423299</v>
      </c>
      <c r="L7" s="42">
        <f t="shared" si="0"/>
        <v>0</v>
      </c>
      <c r="M7" s="42">
        <f t="shared" si="0"/>
        <v>0</v>
      </c>
      <c r="N7" s="42">
        <f t="shared" si="0"/>
        <v>0</v>
      </c>
      <c r="O7" s="42">
        <f t="shared" si="0"/>
        <v>0</v>
      </c>
      <c r="P7" s="42">
        <f t="shared" si="0"/>
        <v>0</v>
      </c>
      <c r="Q7" s="42">
        <f t="shared" si="0"/>
        <v>0</v>
      </c>
      <c r="S7" s="27">
        <f>IFERROR(AVERAGEIFS('USMCA Imports'!$L$4:$L$63,'USMCA Imports'!$B$4:$B$63,'Full Imports'!B7,'USMCA Imports'!$C$4:$C$63,'Full Imports'!C7),0)</f>
        <v>54002</v>
      </c>
      <c r="T7" s="197">
        <f t="shared" si="2"/>
        <v>0.99625591898219679</v>
      </c>
      <c r="AF7" s="223" t="s">
        <v>3626</v>
      </c>
      <c r="AG7" s="223" t="s">
        <v>1782</v>
      </c>
      <c r="AH7" s="116">
        <v>2025</v>
      </c>
      <c r="AI7" s="116">
        <v>3</v>
      </c>
      <c r="AJ7" s="223" t="s">
        <v>3627</v>
      </c>
      <c r="AK7" s="223" t="s">
        <v>34</v>
      </c>
      <c r="AL7" s="60">
        <v>516722317</v>
      </c>
      <c r="AM7" s="60"/>
    </row>
    <row r="8" spans="1:39">
      <c r="A8" s="196" t="s">
        <v>3626</v>
      </c>
      <c r="B8" s="196" t="s">
        <v>34</v>
      </c>
      <c r="C8" s="196" t="s">
        <v>3632</v>
      </c>
      <c r="D8" s="196" t="s">
        <v>3633</v>
      </c>
      <c r="E8" s="195">
        <v>2025</v>
      </c>
      <c r="F8" s="42">
        <f t="shared" si="1"/>
        <v>169234710</v>
      </c>
      <c r="G8" s="42">
        <f t="shared" si="0"/>
        <v>88515963</v>
      </c>
      <c r="H8" s="42">
        <f t="shared" si="0"/>
        <v>100395515</v>
      </c>
      <c r="I8" s="42">
        <f t="shared" si="0"/>
        <v>338463493</v>
      </c>
      <c r="J8" s="42">
        <f t="shared" si="0"/>
        <v>579854981</v>
      </c>
      <c r="K8" s="42">
        <f t="shared" si="0"/>
        <v>681445712</v>
      </c>
      <c r="L8" s="42">
        <f t="shared" si="0"/>
        <v>0</v>
      </c>
      <c r="M8" s="42">
        <f t="shared" si="0"/>
        <v>0</v>
      </c>
      <c r="N8" s="42">
        <f t="shared" si="0"/>
        <v>0</v>
      </c>
      <c r="O8" s="42">
        <f t="shared" si="0"/>
        <v>0</v>
      </c>
      <c r="P8" s="42">
        <f t="shared" si="0"/>
        <v>0</v>
      </c>
      <c r="Q8" s="42">
        <f t="shared" si="0"/>
        <v>0</v>
      </c>
      <c r="S8" s="27">
        <f>IFERROR(AVERAGEIFS('USMCA Imports'!$L$4:$L$63,'USMCA Imports'!$B$4:$B$63,'Full Imports'!B8,'USMCA Imports'!$C$4:$C$63,'Full Imports'!C8),0)</f>
        <v>348359</v>
      </c>
      <c r="T8" s="197">
        <f t="shared" si="2"/>
        <v>0.99948879420052761</v>
      </c>
      <c r="AF8" s="223" t="s">
        <v>3626</v>
      </c>
      <c r="AG8" s="223" t="s">
        <v>1782</v>
      </c>
      <c r="AH8" s="116">
        <v>2025</v>
      </c>
      <c r="AI8" s="116">
        <v>4</v>
      </c>
      <c r="AJ8" s="223" t="s">
        <v>3627</v>
      </c>
      <c r="AK8" s="223" t="s">
        <v>34</v>
      </c>
      <c r="AL8" s="60">
        <v>464831536</v>
      </c>
      <c r="AM8" s="60"/>
    </row>
    <row r="9" spans="1:39">
      <c r="A9" s="196" t="s">
        <v>3626</v>
      </c>
      <c r="B9" s="196" t="s">
        <v>34</v>
      </c>
      <c r="C9" s="196" t="s">
        <v>3634</v>
      </c>
      <c r="D9" s="196" t="s">
        <v>3635</v>
      </c>
      <c r="E9" s="195">
        <v>2025</v>
      </c>
      <c r="F9" s="42">
        <f t="shared" si="1"/>
        <v>4029900</v>
      </c>
      <c r="G9" s="42">
        <f t="shared" si="0"/>
        <v>3951038</v>
      </c>
      <c r="H9" s="42">
        <f t="shared" si="0"/>
        <v>3805740</v>
      </c>
      <c r="I9" s="42">
        <f t="shared" si="0"/>
        <v>2747580</v>
      </c>
      <c r="J9" s="42">
        <f t="shared" si="0"/>
        <v>3054987</v>
      </c>
      <c r="K9" s="42">
        <f t="shared" si="0"/>
        <v>3916437</v>
      </c>
      <c r="L9" s="42">
        <f t="shared" si="0"/>
        <v>0</v>
      </c>
      <c r="M9" s="42">
        <f t="shared" si="0"/>
        <v>0</v>
      </c>
      <c r="N9" s="42">
        <f t="shared" si="0"/>
        <v>0</v>
      </c>
      <c r="O9" s="42">
        <f t="shared" si="0"/>
        <v>0</v>
      </c>
      <c r="P9" s="42">
        <f t="shared" si="0"/>
        <v>0</v>
      </c>
      <c r="Q9" s="42">
        <f t="shared" si="0"/>
        <v>0</v>
      </c>
      <c r="S9" s="27">
        <f>IFERROR(AVERAGEIFS('USMCA Imports'!$L$4:$L$63,'USMCA Imports'!$B$4:$B$63,'Full Imports'!B9,'USMCA Imports'!$C$4:$C$63,'Full Imports'!C9),0)</f>
        <v>0</v>
      </c>
      <c r="T9" s="197">
        <f t="shared" si="2"/>
        <v>1</v>
      </c>
      <c r="AF9" s="223" t="s">
        <v>3626</v>
      </c>
      <c r="AG9" s="223" t="s">
        <v>1782</v>
      </c>
      <c r="AH9" s="116">
        <v>2025</v>
      </c>
      <c r="AI9" s="116">
        <v>5</v>
      </c>
      <c r="AJ9" s="223" t="s">
        <v>3627</v>
      </c>
      <c r="AK9" s="223" t="s">
        <v>34</v>
      </c>
      <c r="AL9" s="60">
        <v>521843789</v>
      </c>
      <c r="AM9" s="60"/>
    </row>
    <row r="10" spans="1:39">
      <c r="A10" s="196" t="s">
        <v>3626</v>
      </c>
      <c r="B10" s="196" t="s">
        <v>34</v>
      </c>
      <c r="C10" s="196" t="s">
        <v>3636</v>
      </c>
      <c r="D10" s="196" t="s">
        <v>3637</v>
      </c>
      <c r="E10" s="195">
        <v>2025</v>
      </c>
      <c r="F10" s="42">
        <f t="shared" si="1"/>
        <v>9703673523</v>
      </c>
      <c r="G10" s="42">
        <f t="shared" si="0"/>
        <v>9230025664</v>
      </c>
      <c r="H10" s="42">
        <f t="shared" si="0"/>
        <v>8599927807</v>
      </c>
      <c r="I10" s="42">
        <f t="shared" si="0"/>
        <v>8205909751</v>
      </c>
      <c r="J10" s="42">
        <f t="shared" si="0"/>
        <v>7519956241</v>
      </c>
      <c r="K10" s="42">
        <f t="shared" si="0"/>
        <v>7002887045</v>
      </c>
      <c r="L10" s="42">
        <f t="shared" si="0"/>
        <v>0</v>
      </c>
      <c r="M10" s="42">
        <f t="shared" si="0"/>
        <v>0</v>
      </c>
      <c r="N10" s="42">
        <f t="shared" si="0"/>
        <v>0</v>
      </c>
      <c r="O10" s="42">
        <f t="shared" si="0"/>
        <v>0</v>
      </c>
      <c r="P10" s="42">
        <f t="shared" si="0"/>
        <v>0</v>
      </c>
      <c r="Q10" s="42">
        <f t="shared" si="0"/>
        <v>0</v>
      </c>
      <c r="S10" s="27">
        <f>IFERROR(AVERAGEIFS('USMCA Imports'!$L$4:$L$63,'USMCA Imports'!$B$4:$B$63,'Full Imports'!B10,'USMCA Imports'!$C$4:$C$63,'Full Imports'!C10),0)</f>
        <v>49218556</v>
      </c>
      <c r="T10" s="197">
        <f t="shared" si="2"/>
        <v>0.99297167644091278</v>
      </c>
      <c r="AF10" s="223" t="s">
        <v>3626</v>
      </c>
      <c r="AG10" s="223" t="s">
        <v>1782</v>
      </c>
      <c r="AH10" s="116">
        <v>2025</v>
      </c>
      <c r="AI10" s="116">
        <v>6</v>
      </c>
      <c r="AJ10" s="223" t="s">
        <v>3627</v>
      </c>
      <c r="AK10" s="223" t="s">
        <v>34</v>
      </c>
      <c r="AL10" s="60">
        <v>482054080</v>
      </c>
      <c r="AM10" s="60"/>
    </row>
    <row r="11" spans="1:39">
      <c r="A11" s="196" t="s">
        <v>3626</v>
      </c>
      <c r="B11" s="196" t="s">
        <v>34</v>
      </c>
      <c r="C11" s="196" t="s">
        <v>3638</v>
      </c>
      <c r="D11" s="196" t="s">
        <v>3639</v>
      </c>
      <c r="E11" s="195">
        <v>2025</v>
      </c>
      <c r="F11" s="42">
        <f t="shared" si="1"/>
        <v>113445739</v>
      </c>
      <c r="G11" s="42">
        <f t="shared" si="0"/>
        <v>88207699</v>
      </c>
      <c r="H11" s="42">
        <f t="shared" si="0"/>
        <v>139907085</v>
      </c>
      <c r="I11" s="42">
        <f t="shared" si="0"/>
        <v>100734456</v>
      </c>
      <c r="J11" s="42">
        <f t="shared" si="0"/>
        <v>86745619</v>
      </c>
      <c r="K11" s="42">
        <f t="shared" si="0"/>
        <v>105609095</v>
      </c>
      <c r="L11" s="42">
        <f t="shared" si="0"/>
        <v>0</v>
      </c>
      <c r="M11" s="42">
        <f t="shared" si="0"/>
        <v>0</v>
      </c>
      <c r="N11" s="42">
        <f t="shared" si="0"/>
        <v>0</v>
      </c>
      <c r="O11" s="42">
        <f t="shared" si="0"/>
        <v>0</v>
      </c>
      <c r="P11" s="42">
        <f t="shared" si="0"/>
        <v>0</v>
      </c>
      <c r="Q11" s="42">
        <f t="shared" si="0"/>
        <v>0</v>
      </c>
      <c r="S11" s="27">
        <f>IFERROR(AVERAGEIFS('USMCA Imports'!$L$4:$L$63,'USMCA Imports'!$B$4:$B$63,'Full Imports'!B11,'USMCA Imports'!$C$4:$C$63,'Full Imports'!C11),0)</f>
        <v>3946470</v>
      </c>
      <c r="T11" s="197">
        <f t="shared" si="2"/>
        <v>0.96263134344631962</v>
      </c>
      <c r="AF11" s="223" t="s">
        <v>3626</v>
      </c>
      <c r="AG11" s="223" t="s">
        <v>1782</v>
      </c>
      <c r="AH11" s="116">
        <v>2025</v>
      </c>
      <c r="AI11" s="116">
        <v>1</v>
      </c>
      <c r="AJ11" s="223" t="s">
        <v>3627</v>
      </c>
      <c r="AK11" s="223" t="s">
        <v>35</v>
      </c>
      <c r="AL11" s="60">
        <v>2270277421</v>
      </c>
      <c r="AM11" s="60"/>
    </row>
    <row r="12" spans="1:39">
      <c r="A12" s="196" t="s">
        <v>3626</v>
      </c>
      <c r="B12" s="196" t="s">
        <v>34</v>
      </c>
      <c r="C12" s="196" t="s">
        <v>3640</v>
      </c>
      <c r="D12" s="196" t="s">
        <v>3641</v>
      </c>
      <c r="E12" s="195">
        <v>2025</v>
      </c>
      <c r="F12" s="42">
        <f t="shared" si="1"/>
        <v>2483960379</v>
      </c>
      <c r="G12" s="42">
        <f t="shared" si="0"/>
        <v>2235641897</v>
      </c>
      <c r="H12" s="42">
        <f t="shared" si="0"/>
        <v>2582472460</v>
      </c>
      <c r="I12" s="42">
        <f t="shared" si="0"/>
        <v>2020461265</v>
      </c>
      <c r="J12" s="42">
        <f t="shared" si="0"/>
        <v>2194032775</v>
      </c>
      <c r="K12" s="42">
        <f t="shared" si="0"/>
        <v>2247720014</v>
      </c>
      <c r="L12" s="42">
        <f t="shared" si="0"/>
        <v>0</v>
      </c>
      <c r="M12" s="42">
        <f t="shared" si="0"/>
        <v>0</v>
      </c>
      <c r="N12" s="42">
        <f t="shared" si="0"/>
        <v>0</v>
      </c>
      <c r="O12" s="42">
        <f t="shared" si="0"/>
        <v>0</v>
      </c>
      <c r="P12" s="42">
        <f t="shared" si="0"/>
        <v>0</v>
      </c>
      <c r="Q12" s="42">
        <f t="shared" si="0"/>
        <v>0</v>
      </c>
      <c r="S12" s="27">
        <f>IFERROR(AVERAGEIFS('USMCA Imports'!$L$4:$L$63,'USMCA Imports'!$B$4:$B$63,'Full Imports'!B12,'USMCA Imports'!$C$4:$C$63,'Full Imports'!C12),0)</f>
        <v>59661744</v>
      </c>
      <c r="T12" s="197">
        <f t="shared" si="2"/>
        <v>0.97345677236115047</v>
      </c>
      <c r="AF12" s="223" t="s">
        <v>3626</v>
      </c>
      <c r="AG12" s="223" t="s">
        <v>1782</v>
      </c>
      <c r="AH12" s="116">
        <v>2025</v>
      </c>
      <c r="AI12" s="116">
        <v>2</v>
      </c>
      <c r="AJ12" s="223" t="s">
        <v>3627</v>
      </c>
      <c r="AK12" s="223" t="s">
        <v>35</v>
      </c>
      <c r="AL12" s="60">
        <v>1861091338</v>
      </c>
      <c r="AM12" s="60"/>
    </row>
    <row r="13" spans="1:39">
      <c r="A13" s="196" t="s">
        <v>3626</v>
      </c>
      <c r="B13" s="196" t="s">
        <v>34</v>
      </c>
      <c r="C13" s="196" t="s">
        <v>3642</v>
      </c>
      <c r="D13" s="196" t="s">
        <v>3643</v>
      </c>
      <c r="E13" s="195">
        <v>2025</v>
      </c>
      <c r="F13" s="42">
        <f t="shared" si="1"/>
        <v>120665433</v>
      </c>
      <c r="G13" s="42">
        <f t="shared" si="0"/>
        <v>124884919</v>
      </c>
      <c r="H13" s="42">
        <f t="shared" si="0"/>
        <v>132230164</v>
      </c>
      <c r="I13" s="42">
        <f t="shared" si="0"/>
        <v>127217118</v>
      </c>
      <c r="J13" s="42">
        <f t="shared" si="0"/>
        <v>124364121</v>
      </c>
      <c r="K13" s="42">
        <f t="shared" si="0"/>
        <v>137356211</v>
      </c>
      <c r="L13" s="42">
        <f t="shared" si="0"/>
        <v>0</v>
      </c>
      <c r="M13" s="42">
        <f t="shared" si="0"/>
        <v>0</v>
      </c>
      <c r="N13" s="42">
        <f t="shared" si="0"/>
        <v>0</v>
      </c>
      <c r="O13" s="42">
        <f t="shared" si="0"/>
        <v>0</v>
      </c>
      <c r="P13" s="42">
        <f t="shared" si="0"/>
        <v>0</v>
      </c>
      <c r="Q13" s="42">
        <f t="shared" si="0"/>
        <v>0</v>
      </c>
      <c r="S13" s="27">
        <f>IFERROR(AVERAGEIFS('USMCA Imports'!$L$4:$L$63,'USMCA Imports'!$B$4:$B$63,'Full Imports'!B13,'USMCA Imports'!$C$4:$C$63,'Full Imports'!C13),0)</f>
        <v>5139969</v>
      </c>
      <c r="T13" s="197">
        <f t="shared" si="2"/>
        <v>0.96257927499179485</v>
      </c>
      <c r="AF13" s="223" t="s">
        <v>3626</v>
      </c>
      <c r="AG13" s="223" t="s">
        <v>1782</v>
      </c>
      <c r="AH13" s="116">
        <v>2025</v>
      </c>
      <c r="AI13" s="116">
        <v>3</v>
      </c>
      <c r="AJ13" s="223" t="s">
        <v>3627</v>
      </c>
      <c r="AK13" s="223" t="s">
        <v>35</v>
      </c>
      <c r="AL13" s="60">
        <v>2004911898</v>
      </c>
      <c r="AM13" s="60"/>
    </row>
    <row r="14" spans="1:39">
      <c r="A14" s="196" t="s">
        <v>3626</v>
      </c>
      <c r="B14" s="196" t="s">
        <v>34</v>
      </c>
      <c r="C14" s="196" t="s">
        <v>3644</v>
      </c>
      <c r="D14" s="196" t="s">
        <v>3645</v>
      </c>
      <c r="E14" s="195">
        <v>2025</v>
      </c>
      <c r="F14" s="42">
        <f t="shared" si="1"/>
        <v>58251977</v>
      </c>
      <c r="G14" s="42">
        <f t="shared" si="0"/>
        <v>47847440</v>
      </c>
      <c r="H14" s="42">
        <f t="shared" si="0"/>
        <v>65661398</v>
      </c>
      <c r="I14" s="42">
        <f t="shared" si="0"/>
        <v>47324465</v>
      </c>
      <c r="J14" s="42">
        <f t="shared" si="0"/>
        <v>56222752</v>
      </c>
      <c r="K14" s="42">
        <f t="shared" si="0"/>
        <v>53588638</v>
      </c>
      <c r="L14" s="42">
        <f t="shared" si="0"/>
        <v>0</v>
      </c>
      <c r="M14" s="42">
        <f t="shared" si="0"/>
        <v>0</v>
      </c>
      <c r="N14" s="42">
        <f t="shared" si="0"/>
        <v>0</v>
      </c>
      <c r="O14" s="42">
        <f t="shared" si="0"/>
        <v>0</v>
      </c>
      <c r="P14" s="42">
        <f t="shared" si="0"/>
        <v>0</v>
      </c>
      <c r="Q14" s="42">
        <f t="shared" si="0"/>
        <v>0</v>
      </c>
      <c r="S14" s="27">
        <f>IFERROR(AVERAGEIFS('USMCA Imports'!$L$4:$L$63,'USMCA Imports'!$B$4:$B$63,'Full Imports'!B14,'USMCA Imports'!$C$4:$C$63,'Full Imports'!C14),0)</f>
        <v>3555096</v>
      </c>
      <c r="T14" s="197">
        <f>1-S14/K14</f>
        <v>0.93365951939289815</v>
      </c>
      <c r="U14" s="27">
        <f>S14/K14</f>
        <v>6.634048060710182E-2</v>
      </c>
      <c r="AF14" s="223" t="s">
        <v>3626</v>
      </c>
      <c r="AG14" s="223" t="s">
        <v>1782</v>
      </c>
      <c r="AH14" s="116">
        <v>2025</v>
      </c>
      <c r="AI14" s="116">
        <v>4</v>
      </c>
      <c r="AJ14" s="223" t="s">
        <v>3627</v>
      </c>
      <c r="AK14" s="223" t="s">
        <v>35</v>
      </c>
      <c r="AL14" s="60">
        <v>1687599045</v>
      </c>
      <c r="AM14" s="60"/>
    </row>
    <row r="15" spans="1:39">
      <c r="A15" s="196" t="s">
        <v>3626</v>
      </c>
      <c r="B15" s="196" t="s">
        <v>34</v>
      </c>
      <c r="C15" s="196" t="s">
        <v>3646</v>
      </c>
      <c r="D15" s="196" t="s">
        <v>3647</v>
      </c>
      <c r="E15" s="195">
        <v>2025</v>
      </c>
      <c r="F15" s="42">
        <f t="shared" si="1"/>
        <v>22906663</v>
      </c>
      <c r="G15" s="42">
        <f t="shared" si="0"/>
        <v>26127058</v>
      </c>
      <c r="H15" s="42">
        <f t="shared" si="0"/>
        <v>26726911</v>
      </c>
      <c r="I15" s="42">
        <f t="shared" si="0"/>
        <v>19518427</v>
      </c>
      <c r="J15" s="42">
        <f t="shared" si="0"/>
        <v>19862405</v>
      </c>
      <c r="K15" s="42">
        <f t="shared" si="0"/>
        <v>19072099</v>
      </c>
      <c r="L15" s="42">
        <f t="shared" si="0"/>
        <v>0</v>
      </c>
      <c r="M15" s="42">
        <f t="shared" si="0"/>
        <v>0</v>
      </c>
      <c r="N15" s="42">
        <f t="shared" si="0"/>
        <v>0</v>
      </c>
      <c r="O15" s="42">
        <f t="shared" si="0"/>
        <v>0</v>
      </c>
      <c r="P15" s="42">
        <f t="shared" si="0"/>
        <v>0</v>
      </c>
      <c r="Q15" s="42">
        <f t="shared" si="0"/>
        <v>0</v>
      </c>
      <c r="S15" s="27">
        <f>IFERROR(AVERAGEIFS('USMCA Imports'!$L$4:$L$63,'USMCA Imports'!$B$4:$B$63,'Full Imports'!B15,'USMCA Imports'!$C$4:$C$63,'Full Imports'!C15),0)</f>
        <v>3209733</v>
      </c>
      <c r="T15" s="197">
        <f t="shared" si="2"/>
        <v>0.83170530941560239</v>
      </c>
      <c r="AF15" s="223" t="s">
        <v>3626</v>
      </c>
      <c r="AG15" s="223" t="s">
        <v>1782</v>
      </c>
      <c r="AH15" s="116">
        <v>2025</v>
      </c>
      <c r="AI15" s="116">
        <v>5</v>
      </c>
      <c r="AJ15" s="223" t="s">
        <v>3627</v>
      </c>
      <c r="AK15" s="223" t="s">
        <v>35</v>
      </c>
      <c r="AL15" s="60">
        <v>1732581536</v>
      </c>
      <c r="AM15" s="60"/>
    </row>
    <row r="16" spans="1:39">
      <c r="A16" s="196" t="s">
        <v>3626</v>
      </c>
      <c r="B16" s="196" t="s">
        <v>34</v>
      </c>
      <c r="C16" s="196" t="s">
        <v>3648</v>
      </c>
      <c r="D16" s="196" t="s">
        <v>3649</v>
      </c>
      <c r="E16" s="195">
        <v>2025</v>
      </c>
      <c r="F16" s="42">
        <f t="shared" si="1"/>
        <v>64177409</v>
      </c>
      <c r="G16" s="42">
        <f t="shared" si="0"/>
        <v>53777736</v>
      </c>
      <c r="H16" s="42">
        <f t="shared" si="0"/>
        <v>43692982</v>
      </c>
      <c r="I16" s="42">
        <f t="shared" si="0"/>
        <v>46616985</v>
      </c>
      <c r="J16" s="42">
        <f t="shared" si="0"/>
        <v>61882465</v>
      </c>
      <c r="K16" s="42">
        <f t="shared" si="0"/>
        <v>40586300</v>
      </c>
      <c r="L16" s="42">
        <f t="shared" si="0"/>
        <v>0</v>
      </c>
      <c r="M16" s="42">
        <f t="shared" si="0"/>
        <v>0</v>
      </c>
      <c r="N16" s="42">
        <f t="shared" si="0"/>
        <v>0</v>
      </c>
      <c r="O16" s="42">
        <f t="shared" si="0"/>
        <v>0</v>
      </c>
      <c r="P16" s="42">
        <f t="shared" si="0"/>
        <v>0</v>
      </c>
      <c r="Q16" s="42">
        <f t="shared" si="0"/>
        <v>0</v>
      </c>
      <c r="S16" s="27">
        <f>IFERROR(AVERAGEIFS('USMCA Imports'!$L$4:$L$63,'USMCA Imports'!$B$4:$B$63,'Full Imports'!B16,'USMCA Imports'!$C$4:$C$63,'Full Imports'!C16),0)</f>
        <v>11299724</v>
      </c>
      <c r="T16" s="197">
        <f t="shared" si="2"/>
        <v>0.72158772787861913</v>
      </c>
      <c r="AF16" s="223" t="s">
        <v>3626</v>
      </c>
      <c r="AG16" s="223" t="s">
        <v>1782</v>
      </c>
      <c r="AH16" s="116">
        <v>2025</v>
      </c>
      <c r="AI16" s="116">
        <v>6</v>
      </c>
      <c r="AJ16" s="223" t="s">
        <v>3627</v>
      </c>
      <c r="AK16" s="223" t="s">
        <v>35</v>
      </c>
      <c r="AL16" s="60">
        <v>1437483233</v>
      </c>
      <c r="AM16" s="60"/>
    </row>
    <row r="17" spans="1:39">
      <c r="A17" s="196" t="s">
        <v>3626</v>
      </c>
      <c r="B17" s="196" t="s">
        <v>34</v>
      </c>
      <c r="C17" s="196" t="s">
        <v>3650</v>
      </c>
      <c r="D17" s="196" t="s">
        <v>3651</v>
      </c>
      <c r="E17" s="195">
        <v>2025</v>
      </c>
      <c r="F17" s="42">
        <f t="shared" si="1"/>
        <v>12124839</v>
      </c>
      <c r="G17" s="42">
        <f t="shared" si="0"/>
        <v>12432070</v>
      </c>
      <c r="H17" s="42">
        <f t="shared" si="0"/>
        <v>14160851</v>
      </c>
      <c r="I17" s="42">
        <f t="shared" si="0"/>
        <v>11756961</v>
      </c>
      <c r="J17" s="42">
        <f t="shared" si="0"/>
        <v>11563502</v>
      </c>
      <c r="K17" s="42">
        <f t="shared" si="0"/>
        <v>13058660</v>
      </c>
      <c r="L17" s="42">
        <f t="shared" si="0"/>
        <v>0</v>
      </c>
      <c r="M17" s="42">
        <f t="shared" si="0"/>
        <v>0</v>
      </c>
      <c r="N17" s="42">
        <f t="shared" si="0"/>
        <v>0</v>
      </c>
      <c r="O17" s="42">
        <f t="shared" si="0"/>
        <v>0</v>
      </c>
      <c r="P17" s="42">
        <f t="shared" si="0"/>
        <v>0</v>
      </c>
      <c r="Q17" s="42">
        <f t="shared" si="0"/>
        <v>0</v>
      </c>
      <c r="S17" s="27">
        <f>IFERROR(AVERAGEIFS('USMCA Imports'!$L$4:$L$63,'USMCA Imports'!$B$4:$B$63,'Full Imports'!B17,'USMCA Imports'!$C$4:$C$63,'Full Imports'!C17),0)</f>
        <v>721381</v>
      </c>
      <c r="T17" s="197">
        <f t="shared" si="2"/>
        <v>0.94475842084869355</v>
      </c>
      <c r="AF17" s="223" t="s">
        <v>3626</v>
      </c>
      <c r="AG17" s="223" t="s">
        <v>3628</v>
      </c>
      <c r="AH17" s="116">
        <v>2025</v>
      </c>
      <c r="AI17" s="116">
        <v>1</v>
      </c>
      <c r="AJ17" s="223" t="s">
        <v>3629</v>
      </c>
      <c r="AK17" s="223" t="s">
        <v>34</v>
      </c>
      <c r="AL17" s="60">
        <v>329070496</v>
      </c>
      <c r="AM17" s="60"/>
    </row>
    <row r="18" spans="1:39">
      <c r="A18" s="196" t="s">
        <v>3626</v>
      </c>
      <c r="B18" s="196" t="s">
        <v>34</v>
      </c>
      <c r="C18" s="196" t="s">
        <v>3652</v>
      </c>
      <c r="D18" s="196" t="s">
        <v>3653</v>
      </c>
      <c r="E18" s="195">
        <v>2025</v>
      </c>
      <c r="F18" s="42">
        <f t="shared" si="1"/>
        <v>976217764</v>
      </c>
      <c r="G18" s="42">
        <f t="shared" si="0"/>
        <v>852731922</v>
      </c>
      <c r="H18" s="42">
        <f t="shared" si="0"/>
        <v>1125113498</v>
      </c>
      <c r="I18" s="42">
        <f t="shared" si="0"/>
        <v>884817352</v>
      </c>
      <c r="J18" s="42">
        <f t="shared" si="0"/>
        <v>898641332</v>
      </c>
      <c r="K18" s="42">
        <f t="shared" si="0"/>
        <v>862798597</v>
      </c>
      <c r="L18" s="42">
        <f t="shared" si="0"/>
        <v>0</v>
      </c>
      <c r="M18" s="42">
        <f t="shared" si="0"/>
        <v>0</v>
      </c>
      <c r="N18" s="42">
        <f t="shared" si="0"/>
        <v>0</v>
      </c>
      <c r="O18" s="42">
        <f t="shared" si="0"/>
        <v>0</v>
      </c>
      <c r="P18" s="42">
        <f t="shared" si="0"/>
        <v>0</v>
      </c>
      <c r="Q18" s="42">
        <f t="shared" si="0"/>
        <v>0</v>
      </c>
      <c r="S18" s="27">
        <f>IFERROR(AVERAGEIFS('USMCA Imports'!$L$4:$L$63,'USMCA Imports'!$B$4:$B$63,'Full Imports'!B18,'USMCA Imports'!$C$4:$C$63,'Full Imports'!C18),0)</f>
        <v>1170471</v>
      </c>
      <c r="T18" s="197">
        <f t="shared" si="2"/>
        <v>0.99864340182741396</v>
      </c>
      <c r="AF18" s="223" t="s">
        <v>3626</v>
      </c>
      <c r="AG18" s="223" t="s">
        <v>3628</v>
      </c>
      <c r="AH18" s="116">
        <v>2025</v>
      </c>
      <c r="AI18" s="116">
        <v>2</v>
      </c>
      <c r="AJ18" s="223" t="s">
        <v>3629</v>
      </c>
      <c r="AK18" s="223" t="s">
        <v>34</v>
      </c>
      <c r="AL18" s="60">
        <v>330346313</v>
      </c>
      <c r="AM18" s="60"/>
    </row>
    <row r="19" spans="1:39">
      <c r="A19" s="196" t="s">
        <v>3626</v>
      </c>
      <c r="B19" s="196" t="s">
        <v>34</v>
      </c>
      <c r="C19" s="196" t="s">
        <v>3654</v>
      </c>
      <c r="D19" s="196" t="s">
        <v>3655</v>
      </c>
      <c r="E19" s="195">
        <v>2025</v>
      </c>
      <c r="F19" s="42">
        <f t="shared" si="1"/>
        <v>857989600</v>
      </c>
      <c r="G19" s="42">
        <f t="shared" si="0"/>
        <v>750406679</v>
      </c>
      <c r="H19" s="42">
        <f t="shared" si="0"/>
        <v>893768050</v>
      </c>
      <c r="I19" s="42">
        <f t="shared" si="0"/>
        <v>710850052</v>
      </c>
      <c r="J19" s="42">
        <f t="shared" si="0"/>
        <v>721698634</v>
      </c>
      <c r="K19" s="42">
        <f t="shared" si="0"/>
        <v>722630322</v>
      </c>
      <c r="L19" s="42">
        <f t="shared" si="0"/>
        <v>0</v>
      </c>
      <c r="M19" s="42">
        <f t="shared" si="0"/>
        <v>0</v>
      </c>
      <c r="N19" s="42">
        <f t="shared" si="0"/>
        <v>0</v>
      </c>
      <c r="O19" s="42">
        <f t="shared" si="0"/>
        <v>0</v>
      </c>
      <c r="P19" s="42">
        <f t="shared" si="0"/>
        <v>0</v>
      </c>
      <c r="Q19" s="42">
        <f t="shared" si="0"/>
        <v>0</v>
      </c>
      <c r="S19" s="27">
        <f>IFERROR(AVERAGEIFS('USMCA Imports'!$L$4:$L$63,'USMCA Imports'!$B$4:$B$63,'Full Imports'!B19,'USMCA Imports'!$C$4:$C$63,'Full Imports'!C19),0)</f>
        <v>8993475</v>
      </c>
      <c r="T19" s="197">
        <f t="shared" si="2"/>
        <v>0.98755452860722881</v>
      </c>
      <c r="AF19" s="223" t="s">
        <v>3626</v>
      </c>
      <c r="AG19" s="223" t="s">
        <v>3628</v>
      </c>
      <c r="AH19" s="116">
        <v>2025</v>
      </c>
      <c r="AI19" s="116">
        <v>3</v>
      </c>
      <c r="AJ19" s="223" t="s">
        <v>3629</v>
      </c>
      <c r="AK19" s="223" t="s">
        <v>34</v>
      </c>
      <c r="AL19" s="60">
        <v>373726182</v>
      </c>
      <c r="AM19" s="60"/>
    </row>
    <row r="20" spans="1:39">
      <c r="A20" s="196" t="s">
        <v>3626</v>
      </c>
      <c r="B20" s="196" t="s">
        <v>34</v>
      </c>
      <c r="C20" s="196" t="s">
        <v>3656</v>
      </c>
      <c r="D20" s="196" t="s">
        <v>3657</v>
      </c>
      <c r="E20" s="195">
        <v>2025</v>
      </c>
      <c r="F20" s="42">
        <f t="shared" si="1"/>
        <v>59566933</v>
      </c>
      <c r="G20" s="42">
        <f t="shared" si="0"/>
        <v>61828281</v>
      </c>
      <c r="H20" s="42">
        <f t="shared" si="0"/>
        <v>72242085</v>
      </c>
      <c r="I20" s="42">
        <f t="shared" si="0"/>
        <v>51224958</v>
      </c>
      <c r="J20" s="42">
        <f t="shared" si="0"/>
        <v>55630716</v>
      </c>
      <c r="K20" s="42">
        <f t="shared" si="0"/>
        <v>56880346</v>
      </c>
      <c r="L20" s="42">
        <f t="shared" si="0"/>
        <v>0</v>
      </c>
      <c r="M20" s="42">
        <f t="shared" si="0"/>
        <v>0</v>
      </c>
      <c r="N20" s="42">
        <f t="shared" si="0"/>
        <v>0</v>
      </c>
      <c r="O20" s="42">
        <f t="shared" si="0"/>
        <v>0</v>
      </c>
      <c r="P20" s="42">
        <f t="shared" si="0"/>
        <v>0</v>
      </c>
      <c r="Q20" s="42">
        <f t="shared" si="0"/>
        <v>0</v>
      </c>
      <c r="S20" s="27">
        <f>IFERROR(AVERAGEIFS('USMCA Imports'!$L$4:$L$63,'USMCA Imports'!$B$4:$B$63,'Full Imports'!B20,'USMCA Imports'!$C$4:$C$63,'Full Imports'!C20),0)</f>
        <v>0</v>
      </c>
      <c r="T20" s="197">
        <f t="shared" si="2"/>
        <v>1</v>
      </c>
      <c r="AF20" s="223" t="s">
        <v>3626</v>
      </c>
      <c r="AG20" s="223" t="s">
        <v>3628</v>
      </c>
      <c r="AH20" s="116">
        <v>2025</v>
      </c>
      <c r="AI20" s="116">
        <v>4</v>
      </c>
      <c r="AJ20" s="223" t="s">
        <v>3629</v>
      </c>
      <c r="AK20" s="223" t="s">
        <v>34</v>
      </c>
      <c r="AL20" s="60">
        <v>196098200</v>
      </c>
      <c r="AM20" s="60"/>
    </row>
    <row r="21" spans="1:39">
      <c r="A21" s="196" t="s">
        <v>3626</v>
      </c>
      <c r="B21" s="196" t="s">
        <v>34</v>
      </c>
      <c r="C21" s="196" t="s">
        <v>3658</v>
      </c>
      <c r="D21" s="196" t="s">
        <v>3659</v>
      </c>
      <c r="E21" s="195">
        <v>2025</v>
      </c>
      <c r="F21" s="42">
        <f t="shared" si="1"/>
        <v>1484046145</v>
      </c>
      <c r="G21" s="42">
        <f t="shared" si="1"/>
        <v>1214261948</v>
      </c>
      <c r="H21" s="42">
        <f t="shared" si="1"/>
        <v>1180140657</v>
      </c>
      <c r="I21" s="42">
        <f t="shared" si="1"/>
        <v>960801593</v>
      </c>
      <c r="J21" s="42">
        <f t="shared" si="1"/>
        <v>1026550917</v>
      </c>
      <c r="K21" s="42">
        <f t="shared" si="1"/>
        <v>1112353964</v>
      </c>
      <c r="L21" s="42">
        <f t="shared" si="1"/>
        <v>0</v>
      </c>
      <c r="M21" s="42">
        <f t="shared" si="1"/>
        <v>0</v>
      </c>
      <c r="N21" s="42">
        <f t="shared" si="1"/>
        <v>0</v>
      </c>
      <c r="O21" s="42">
        <f t="shared" si="1"/>
        <v>0</v>
      </c>
      <c r="P21" s="42">
        <f t="shared" si="1"/>
        <v>0</v>
      </c>
      <c r="Q21" s="42">
        <f t="shared" si="1"/>
        <v>0</v>
      </c>
      <c r="S21" s="27">
        <f>IFERROR(AVERAGEIFS('USMCA Imports'!$L$4:$L$63,'USMCA Imports'!$B$4:$B$63,'Full Imports'!B21,'USMCA Imports'!$C$4:$C$63,'Full Imports'!C21),0)</f>
        <v>32554032</v>
      </c>
      <c r="T21" s="197">
        <f t="shared" si="2"/>
        <v>0.97073410707960583</v>
      </c>
      <c r="AF21" s="223" t="s">
        <v>3626</v>
      </c>
      <c r="AG21" s="223" t="s">
        <v>3628</v>
      </c>
      <c r="AH21" s="116">
        <v>2025</v>
      </c>
      <c r="AI21" s="116">
        <v>5</v>
      </c>
      <c r="AJ21" s="223" t="s">
        <v>3629</v>
      </c>
      <c r="AK21" s="223" t="s">
        <v>34</v>
      </c>
      <c r="AL21" s="60">
        <v>205418665</v>
      </c>
      <c r="AM21" s="60"/>
    </row>
    <row r="22" spans="1:39">
      <c r="A22" s="196" t="s">
        <v>3626</v>
      </c>
      <c r="B22" s="196" t="s">
        <v>34</v>
      </c>
      <c r="C22" s="196" t="s">
        <v>3660</v>
      </c>
      <c r="D22" s="196" t="s">
        <v>3661</v>
      </c>
      <c r="E22" s="195">
        <v>2025</v>
      </c>
      <c r="F22" s="42">
        <f t="shared" si="1"/>
        <v>2605724117</v>
      </c>
      <c r="G22" s="42">
        <f t="shared" si="1"/>
        <v>2322397532</v>
      </c>
      <c r="H22" s="42">
        <f t="shared" si="1"/>
        <v>2501974673</v>
      </c>
      <c r="I22" s="42">
        <f t="shared" si="1"/>
        <v>2106985105</v>
      </c>
      <c r="J22" s="42">
        <f t="shared" si="1"/>
        <v>1850975232</v>
      </c>
      <c r="K22" s="42">
        <f t="shared" si="1"/>
        <v>1945457175</v>
      </c>
      <c r="L22" s="42">
        <f t="shared" si="1"/>
        <v>0</v>
      </c>
      <c r="M22" s="42">
        <f t="shared" si="1"/>
        <v>0</v>
      </c>
      <c r="N22" s="42">
        <f t="shared" si="1"/>
        <v>0</v>
      </c>
      <c r="O22" s="42">
        <f t="shared" si="1"/>
        <v>0</v>
      </c>
      <c r="P22" s="42">
        <f t="shared" si="1"/>
        <v>0</v>
      </c>
      <c r="Q22" s="42">
        <f t="shared" si="1"/>
        <v>0</v>
      </c>
      <c r="S22" s="27">
        <f>IFERROR(AVERAGEIFS('USMCA Imports'!$L$4:$L$63,'USMCA Imports'!$B$4:$B$63,'Full Imports'!B22,'USMCA Imports'!$C$4:$C$63,'Full Imports'!C22),0)</f>
        <v>52063776</v>
      </c>
      <c r="T22" s="197">
        <f t="shared" si="2"/>
        <v>0.97323828215339669</v>
      </c>
      <c r="AF22" s="223" t="s">
        <v>3626</v>
      </c>
      <c r="AG22" s="223" t="s">
        <v>3628</v>
      </c>
      <c r="AH22" s="116">
        <v>2025</v>
      </c>
      <c r="AI22" s="116">
        <v>6</v>
      </c>
      <c r="AJ22" s="223" t="s">
        <v>3629</v>
      </c>
      <c r="AK22" s="223" t="s">
        <v>34</v>
      </c>
      <c r="AL22" s="60">
        <v>253764441</v>
      </c>
      <c r="AM22" s="60"/>
    </row>
    <row r="23" spans="1:39">
      <c r="A23" s="196" t="s">
        <v>3626</v>
      </c>
      <c r="B23" s="196" t="s">
        <v>34</v>
      </c>
      <c r="C23" s="196" t="s">
        <v>3662</v>
      </c>
      <c r="D23" s="196" t="s">
        <v>3663</v>
      </c>
      <c r="E23" s="195">
        <v>2025</v>
      </c>
      <c r="F23" s="42">
        <f t="shared" si="1"/>
        <v>888029040</v>
      </c>
      <c r="G23" s="42">
        <f t="shared" si="1"/>
        <v>844324336</v>
      </c>
      <c r="H23" s="42">
        <f t="shared" si="1"/>
        <v>993312138</v>
      </c>
      <c r="I23" s="42">
        <f t="shared" si="1"/>
        <v>816920019</v>
      </c>
      <c r="J23" s="42">
        <f t="shared" si="1"/>
        <v>846211892</v>
      </c>
      <c r="K23" s="42">
        <f t="shared" si="1"/>
        <v>872669034</v>
      </c>
      <c r="L23" s="42">
        <f t="shared" si="1"/>
        <v>0</v>
      </c>
      <c r="M23" s="42">
        <f t="shared" si="1"/>
        <v>0</v>
      </c>
      <c r="N23" s="42">
        <f t="shared" si="1"/>
        <v>0</v>
      </c>
      <c r="O23" s="42">
        <f t="shared" si="1"/>
        <v>0</v>
      </c>
      <c r="P23" s="42">
        <f t="shared" si="1"/>
        <v>0</v>
      </c>
      <c r="Q23" s="42">
        <f t="shared" si="1"/>
        <v>0</v>
      </c>
      <c r="S23" s="27">
        <f>IFERROR(AVERAGEIFS('USMCA Imports'!$L$4:$L$63,'USMCA Imports'!$B$4:$B$63,'Full Imports'!B23,'USMCA Imports'!$C$4:$C$63,'Full Imports'!C23),0)</f>
        <v>18285014</v>
      </c>
      <c r="T23" s="197">
        <f t="shared" si="2"/>
        <v>0.9790470232269064</v>
      </c>
      <c r="AF23" s="223" t="s">
        <v>3626</v>
      </c>
      <c r="AG23" s="223" t="s">
        <v>3628</v>
      </c>
      <c r="AH23" s="116">
        <v>2025</v>
      </c>
      <c r="AI23" s="116">
        <v>1</v>
      </c>
      <c r="AJ23" s="223" t="s">
        <v>3629</v>
      </c>
      <c r="AK23" s="223" t="s">
        <v>35</v>
      </c>
      <c r="AL23" s="60">
        <v>9945287</v>
      </c>
      <c r="AM23" s="60"/>
    </row>
    <row r="24" spans="1:39">
      <c r="A24" s="196" t="s">
        <v>3626</v>
      </c>
      <c r="B24" s="196" t="s">
        <v>34</v>
      </c>
      <c r="C24" s="196" t="s">
        <v>3664</v>
      </c>
      <c r="D24" s="196" t="s">
        <v>3665</v>
      </c>
      <c r="E24" s="195">
        <v>2025</v>
      </c>
      <c r="F24" s="42">
        <f t="shared" si="1"/>
        <v>165253371</v>
      </c>
      <c r="G24" s="42">
        <f t="shared" si="1"/>
        <v>158803256</v>
      </c>
      <c r="H24" s="42">
        <f t="shared" si="1"/>
        <v>169938682</v>
      </c>
      <c r="I24" s="42">
        <f t="shared" si="1"/>
        <v>158578825</v>
      </c>
      <c r="J24" s="42">
        <f t="shared" si="1"/>
        <v>164036518</v>
      </c>
      <c r="K24" s="42">
        <f t="shared" si="1"/>
        <v>181279986</v>
      </c>
      <c r="L24" s="42">
        <f t="shared" si="1"/>
        <v>0</v>
      </c>
      <c r="M24" s="42">
        <f t="shared" si="1"/>
        <v>0</v>
      </c>
      <c r="N24" s="42">
        <f t="shared" si="1"/>
        <v>0</v>
      </c>
      <c r="O24" s="42">
        <f t="shared" si="1"/>
        <v>0</v>
      </c>
      <c r="P24" s="42">
        <f t="shared" si="1"/>
        <v>0</v>
      </c>
      <c r="Q24" s="42">
        <f t="shared" si="1"/>
        <v>0</v>
      </c>
      <c r="S24" s="27">
        <f>IFERROR(AVERAGEIFS('USMCA Imports'!$L$4:$L$63,'USMCA Imports'!$B$4:$B$63,'Full Imports'!B24,'USMCA Imports'!$C$4:$C$63,'Full Imports'!C24),0)</f>
        <v>4010198</v>
      </c>
      <c r="T24" s="197">
        <f t="shared" si="2"/>
        <v>0.97787842944780456</v>
      </c>
      <c r="AF24" s="223" t="s">
        <v>3626</v>
      </c>
      <c r="AG24" s="223" t="s">
        <v>3628</v>
      </c>
      <c r="AH24" s="116">
        <v>2025</v>
      </c>
      <c r="AI24" s="116">
        <v>2</v>
      </c>
      <c r="AJ24" s="223" t="s">
        <v>3629</v>
      </c>
      <c r="AK24" s="223" t="s">
        <v>35</v>
      </c>
      <c r="AL24" s="60">
        <v>53906635</v>
      </c>
      <c r="AM24" s="60"/>
    </row>
    <row r="25" spans="1:39">
      <c r="A25" s="196" t="s">
        <v>3626</v>
      </c>
      <c r="B25" s="196" t="s">
        <v>34</v>
      </c>
      <c r="C25" s="196" t="s">
        <v>3666</v>
      </c>
      <c r="D25" s="196" t="s">
        <v>3667</v>
      </c>
      <c r="E25" s="195">
        <v>2025</v>
      </c>
      <c r="F25" s="42">
        <f t="shared" si="1"/>
        <v>5203044393</v>
      </c>
      <c r="G25" s="42">
        <f t="shared" si="1"/>
        <v>4254786296</v>
      </c>
      <c r="H25" s="42">
        <f t="shared" si="1"/>
        <v>2524656077</v>
      </c>
      <c r="I25" s="42">
        <f t="shared" si="1"/>
        <v>1884077148</v>
      </c>
      <c r="J25" s="42">
        <f t="shared" si="1"/>
        <v>1873807175</v>
      </c>
      <c r="K25" s="42">
        <f t="shared" si="1"/>
        <v>1594741635</v>
      </c>
      <c r="L25" s="42">
        <f t="shared" si="1"/>
        <v>0</v>
      </c>
      <c r="M25" s="42">
        <f t="shared" si="1"/>
        <v>0</v>
      </c>
      <c r="N25" s="42">
        <f t="shared" si="1"/>
        <v>0</v>
      </c>
      <c r="O25" s="42">
        <f t="shared" si="1"/>
        <v>0</v>
      </c>
      <c r="P25" s="42">
        <f t="shared" si="1"/>
        <v>0</v>
      </c>
      <c r="Q25" s="42">
        <f t="shared" si="1"/>
        <v>0</v>
      </c>
      <c r="S25" s="27">
        <f>IFERROR(AVERAGEIFS('USMCA Imports'!$L$4:$L$63,'USMCA Imports'!$B$4:$B$63,'Full Imports'!B25,'USMCA Imports'!$C$4:$C$63,'Full Imports'!C25),0)</f>
        <v>826721366</v>
      </c>
      <c r="T25" s="197">
        <f t="shared" si="2"/>
        <v>0.48159542094102281</v>
      </c>
      <c r="AF25" s="223" t="s">
        <v>3626</v>
      </c>
      <c r="AG25" s="223" t="s">
        <v>3628</v>
      </c>
      <c r="AH25" s="116">
        <v>2025</v>
      </c>
      <c r="AI25" s="116">
        <v>3</v>
      </c>
      <c r="AJ25" s="223" t="s">
        <v>3629</v>
      </c>
      <c r="AK25" s="223" t="s">
        <v>35</v>
      </c>
      <c r="AL25" s="60">
        <v>125059586</v>
      </c>
      <c r="AM25" s="60"/>
    </row>
    <row r="26" spans="1:39">
      <c r="A26" s="196" t="s">
        <v>3626</v>
      </c>
      <c r="B26" s="196" t="s">
        <v>34</v>
      </c>
      <c r="C26" s="196" t="s">
        <v>3668</v>
      </c>
      <c r="D26" s="196" t="s">
        <v>3669</v>
      </c>
      <c r="E26" s="195">
        <v>2025</v>
      </c>
      <c r="F26" s="42">
        <f t="shared" si="1"/>
        <v>678003914</v>
      </c>
      <c r="G26" s="42">
        <f t="shared" si="1"/>
        <v>623771385</v>
      </c>
      <c r="H26" s="42">
        <f t="shared" si="1"/>
        <v>690164053</v>
      </c>
      <c r="I26" s="42">
        <f t="shared" si="1"/>
        <v>523130171</v>
      </c>
      <c r="J26" s="42">
        <f t="shared" si="1"/>
        <v>534628801</v>
      </c>
      <c r="K26" s="42">
        <f t="shared" si="1"/>
        <v>512584169</v>
      </c>
      <c r="L26" s="42">
        <f t="shared" si="1"/>
        <v>0</v>
      </c>
      <c r="M26" s="42">
        <f t="shared" si="1"/>
        <v>0</v>
      </c>
      <c r="N26" s="42">
        <f t="shared" si="1"/>
        <v>0</v>
      </c>
      <c r="O26" s="42">
        <f t="shared" si="1"/>
        <v>0</v>
      </c>
      <c r="P26" s="42">
        <f t="shared" si="1"/>
        <v>0</v>
      </c>
      <c r="Q26" s="42">
        <f t="shared" si="1"/>
        <v>0</v>
      </c>
      <c r="S26" s="27">
        <f>IFERROR(AVERAGEIFS('USMCA Imports'!$L$4:$L$63,'USMCA Imports'!$B$4:$B$63,'Full Imports'!B26,'USMCA Imports'!$C$4:$C$63,'Full Imports'!C26),0)</f>
        <v>191536478</v>
      </c>
      <c r="T26" s="197">
        <f t="shared" si="2"/>
        <v>0.62633165520178213</v>
      </c>
      <c r="AF26" s="223" t="s">
        <v>3626</v>
      </c>
      <c r="AG26" s="223" t="s">
        <v>3628</v>
      </c>
      <c r="AH26" s="116">
        <v>2025</v>
      </c>
      <c r="AI26" s="116">
        <v>4</v>
      </c>
      <c r="AJ26" s="223" t="s">
        <v>3629</v>
      </c>
      <c r="AK26" s="223" t="s">
        <v>35</v>
      </c>
      <c r="AL26" s="60">
        <v>134690453</v>
      </c>
      <c r="AM26" s="60"/>
    </row>
    <row r="27" spans="1:39">
      <c r="A27" s="196" t="s">
        <v>3626</v>
      </c>
      <c r="B27" s="196" t="s">
        <v>34</v>
      </c>
      <c r="C27" s="196" t="s">
        <v>3670</v>
      </c>
      <c r="D27" s="196" t="s">
        <v>3671</v>
      </c>
      <c r="E27" s="195">
        <v>2025</v>
      </c>
      <c r="F27" s="42">
        <f t="shared" si="1"/>
        <v>1922996313</v>
      </c>
      <c r="G27" s="42">
        <f t="shared" si="1"/>
        <v>1814692450</v>
      </c>
      <c r="H27" s="42">
        <f t="shared" si="1"/>
        <v>2091863470</v>
      </c>
      <c r="I27" s="42">
        <f t="shared" si="1"/>
        <v>1264498744</v>
      </c>
      <c r="J27" s="42">
        <f t="shared" si="1"/>
        <v>1432320229</v>
      </c>
      <c r="K27" s="42">
        <f t="shared" si="1"/>
        <v>1583168742</v>
      </c>
      <c r="L27" s="42">
        <f t="shared" si="1"/>
        <v>0</v>
      </c>
      <c r="M27" s="42">
        <f t="shared" si="1"/>
        <v>0</v>
      </c>
      <c r="N27" s="42">
        <f t="shared" si="1"/>
        <v>0</v>
      </c>
      <c r="O27" s="42">
        <f t="shared" si="1"/>
        <v>0</v>
      </c>
      <c r="P27" s="42">
        <f t="shared" si="1"/>
        <v>0</v>
      </c>
      <c r="Q27" s="42">
        <f t="shared" si="1"/>
        <v>0</v>
      </c>
      <c r="S27" s="27">
        <f>IFERROR(AVERAGEIFS('USMCA Imports'!$L$4:$L$63,'USMCA Imports'!$B$4:$B$63,'Full Imports'!B27,'USMCA Imports'!$C$4:$C$63,'Full Imports'!C27),0)</f>
        <v>166361432</v>
      </c>
      <c r="T27" s="197">
        <f t="shared" si="2"/>
        <v>0.89491869843903227</v>
      </c>
      <c r="AF27" s="223" t="s">
        <v>3626</v>
      </c>
      <c r="AG27" s="223" t="s">
        <v>3628</v>
      </c>
      <c r="AH27" s="116">
        <v>2025</v>
      </c>
      <c r="AI27" s="116">
        <v>5</v>
      </c>
      <c r="AJ27" s="223" t="s">
        <v>3629</v>
      </c>
      <c r="AK27" s="223" t="s">
        <v>35</v>
      </c>
      <c r="AL27" s="60">
        <v>58501159</v>
      </c>
      <c r="AM27" s="60"/>
    </row>
    <row r="28" spans="1:39">
      <c r="A28" s="196" t="s">
        <v>3626</v>
      </c>
      <c r="B28" s="196" t="s">
        <v>34</v>
      </c>
      <c r="C28" s="196" t="s">
        <v>3672</v>
      </c>
      <c r="D28" s="196" t="s">
        <v>3673</v>
      </c>
      <c r="E28" s="195">
        <v>2025</v>
      </c>
      <c r="F28" s="42">
        <f t="shared" si="1"/>
        <v>670094507</v>
      </c>
      <c r="G28" s="42">
        <f t="shared" si="1"/>
        <v>665677709</v>
      </c>
      <c r="H28" s="42">
        <f t="shared" si="1"/>
        <v>728777103</v>
      </c>
      <c r="I28" s="42">
        <f t="shared" si="1"/>
        <v>610930817</v>
      </c>
      <c r="J28" s="42">
        <f t="shared" si="1"/>
        <v>631158925</v>
      </c>
      <c r="K28" s="42">
        <f t="shared" si="1"/>
        <v>608717860</v>
      </c>
      <c r="L28" s="42">
        <f t="shared" si="1"/>
        <v>0</v>
      </c>
      <c r="M28" s="42">
        <f t="shared" si="1"/>
        <v>0</v>
      </c>
      <c r="N28" s="42">
        <f t="shared" si="1"/>
        <v>0</v>
      </c>
      <c r="O28" s="42">
        <f t="shared" si="1"/>
        <v>0</v>
      </c>
      <c r="P28" s="42">
        <f t="shared" si="1"/>
        <v>0</v>
      </c>
      <c r="Q28" s="42">
        <f t="shared" si="1"/>
        <v>0</v>
      </c>
      <c r="S28" s="27">
        <f>IFERROR(AVERAGEIFS('USMCA Imports'!$L$4:$L$63,'USMCA Imports'!$B$4:$B$63,'Full Imports'!B28,'USMCA Imports'!$C$4:$C$63,'Full Imports'!C28),0)</f>
        <v>119872026</v>
      </c>
      <c r="T28" s="197">
        <f t="shared" si="2"/>
        <v>0.80307457054077569</v>
      </c>
      <c r="AF28" s="223" t="s">
        <v>3626</v>
      </c>
      <c r="AG28" s="223" t="s">
        <v>3628</v>
      </c>
      <c r="AH28" s="116">
        <v>2025</v>
      </c>
      <c r="AI28" s="116">
        <v>6</v>
      </c>
      <c r="AJ28" s="223" t="s">
        <v>3629</v>
      </c>
      <c r="AK28" s="223" t="s">
        <v>35</v>
      </c>
      <c r="AL28" s="60">
        <v>11540457</v>
      </c>
      <c r="AM28" s="60"/>
    </row>
    <row r="29" spans="1:39">
      <c r="A29" s="196" t="s">
        <v>3626</v>
      </c>
      <c r="B29" s="196" t="s">
        <v>34</v>
      </c>
      <c r="C29" s="196" t="s">
        <v>3674</v>
      </c>
      <c r="D29" s="196" t="s">
        <v>3675</v>
      </c>
      <c r="E29" s="195">
        <v>2025</v>
      </c>
      <c r="F29" s="42">
        <f t="shared" si="1"/>
        <v>741678619</v>
      </c>
      <c r="G29" s="42">
        <f t="shared" si="1"/>
        <v>728372008</v>
      </c>
      <c r="H29" s="42">
        <f t="shared" si="1"/>
        <v>772745560</v>
      </c>
      <c r="I29" s="42">
        <f t="shared" si="1"/>
        <v>576274582</v>
      </c>
      <c r="J29" s="42">
        <f t="shared" si="1"/>
        <v>648407701</v>
      </c>
      <c r="K29" s="42">
        <f t="shared" si="1"/>
        <v>713935035</v>
      </c>
      <c r="L29" s="42">
        <f t="shared" si="1"/>
        <v>0</v>
      </c>
      <c r="M29" s="42">
        <f t="shared" si="1"/>
        <v>0</v>
      </c>
      <c r="N29" s="42">
        <f t="shared" si="1"/>
        <v>0</v>
      </c>
      <c r="O29" s="42">
        <f t="shared" si="1"/>
        <v>0</v>
      </c>
      <c r="P29" s="42">
        <f t="shared" si="1"/>
        <v>0</v>
      </c>
      <c r="Q29" s="42">
        <f t="shared" si="1"/>
        <v>0</v>
      </c>
      <c r="S29" s="27">
        <f>IFERROR(AVERAGEIFS('USMCA Imports'!$L$4:$L$63,'USMCA Imports'!$B$4:$B$63,'Full Imports'!B29,'USMCA Imports'!$C$4:$C$63,'Full Imports'!C29),0)</f>
        <v>85430610</v>
      </c>
      <c r="T29" s="197">
        <f t="shared" si="2"/>
        <v>0.88033839801684477</v>
      </c>
      <c r="AF29" s="223" t="s">
        <v>3626</v>
      </c>
      <c r="AG29" s="223" t="s">
        <v>3630</v>
      </c>
      <c r="AH29" s="116">
        <v>2025</v>
      </c>
      <c r="AI29" s="116">
        <v>1</v>
      </c>
      <c r="AJ29" s="223" t="s">
        <v>3631</v>
      </c>
      <c r="AK29" s="223" t="s">
        <v>34</v>
      </c>
      <c r="AL29" s="60">
        <v>9393554</v>
      </c>
      <c r="AM29" s="60"/>
    </row>
    <row r="30" spans="1:39">
      <c r="A30" s="196" t="s">
        <v>3626</v>
      </c>
      <c r="B30" s="196" t="s">
        <v>34</v>
      </c>
      <c r="C30" s="196" t="s">
        <v>3676</v>
      </c>
      <c r="D30" s="196" t="s">
        <v>3677</v>
      </c>
      <c r="E30" s="195">
        <v>2025</v>
      </c>
      <c r="F30" s="42">
        <f t="shared" si="1"/>
        <v>5240348739</v>
      </c>
      <c r="G30" s="42">
        <f t="shared" si="1"/>
        <v>5272433204</v>
      </c>
      <c r="H30" s="42">
        <f t="shared" si="1"/>
        <v>6249925636</v>
      </c>
      <c r="I30" s="42">
        <f t="shared" si="1"/>
        <v>4719108735</v>
      </c>
      <c r="J30" s="42">
        <f t="shared" si="1"/>
        <v>5283995556</v>
      </c>
      <c r="K30" s="42">
        <f t="shared" si="1"/>
        <v>5252149304</v>
      </c>
      <c r="L30" s="42">
        <f t="shared" si="1"/>
        <v>0</v>
      </c>
      <c r="M30" s="42">
        <f t="shared" si="1"/>
        <v>0</v>
      </c>
      <c r="N30" s="42">
        <f t="shared" si="1"/>
        <v>0</v>
      </c>
      <c r="O30" s="42">
        <f t="shared" si="1"/>
        <v>0</v>
      </c>
      <c r="P30" s="42">
        <f t="shared" si="1"/>
        <v>0</v>
      </c>
      <c r="Q30" s="42">
        <f t="shared" si="1"/>
        <v>0</v>
      </c>
      <c r="S30" s="27">
        <f>IFERROR(AVERAGEIFS('USMCA Imports'!$L$4:$L$63,'USMCA Imports'!$B$4:$B$63,'Full Imports'!B30,'USMCA Imports'!$C$4:$C$63,'Full Imports'!C30),0)</f>
        <v>453544047</v>
      </c>
      <c r="T30" s="197">
        <f t="shared" si="2"/>
        <v>0.91364601028105119</v>
      </c>
      <c r="AF30" s="223" t="s">
        <v>3626</v>
      </c>
      <c r="AG30" s="223" t="s">
        <v>3630</v>
      </c>
      <c r="AH30" s="116">
        <v>2025</v>
      </c>
      <c r="AI30" s="116">
        <v>2</v>
      </c>
      <c r="AJ30" s="223" t="s">
        <v>3631</v>
      </c>
      <c r="AK30" s="223" t="s">
        <v>34</v>
      </c>
      <c r="AL30" s="60">
        <v>10782571</v>
      </c>
      <c r="AM30" s="60"/>
    </row>
    <row r="31" spans="1:39">
      <c r="A31" s="196" t="s">
        <v>3626</v>
      </c>
      <c r="B31" s="196" t="s">
        <v>34</v>
      </c>
      <c r="C31" s="196" t="s">
        <v>3678</v>
      </c>
      <c r="D31" s="196" t="s">
        <v>3679</v>
      </c>
      <c r="E31" s="195">
        <v>2025</v>
      </c>
      <c r="F31" s="42">
        <f t="shared" si="1"/>
        <v>248932527</v>
      </c>
      <c r="G31" s="42">
        <f t="shared" si="1"/>
        <v>246622163</v>
      </c>
      <c r="H31" s="42">
        <f t="shared" si="1"/>
        <v>285541988</v>
      </c>
      <c r="I31" s="42">
        <f t="shared" si="1"/>
        <v>218565632</v>
      </c>
      <c r="J31" s="42">
        <f t="shared" si="1"/>
        <v>227261065</v>
      </c>
      <c r="K31" s="42">
        <f t="shared" si="1"/>
        <v>260648512</v>
      </c>
      <c r="L31" s="42">
        <f t="shared" si="1"/>
        <v>0</v>
      </c>
      <c r="M31" s="42">
        <f t="shared" si="1"/>
        <v>0</v>
      </c>
      <c r="N31" s="42">
        <f t="shared" si="1"/>
        <v>0</v>
      </c>
      <c r="O31" s="42">
        <f t="shared" si="1"/>
        <v>0</v>
      </c>
      <c r="P31" s="42">
        <f t="shared" si="1"/>
        <v>0</v>
      </c>
      <c r="Q31" s="42">
        <f t="shared" si="1"/>
        <v>0</v>
      </c>
      <c r="S31" s="27">
        <f>IFERROR(AVERAGEIFS('USMCA Imports'!$L$4:$L$63,'USMCA Imports'!$B$4:$B$63,'Full Imports'!B31,'USMCA Imports'!$C$4:$C$63,'Full Imports'!C31),0)</f>
        <v>26749236</v>
      </c>
      <c r="T31" s="197">
        <f t="shared" si="2"/>
        <v>0.89737429999216722</v>
      </c>
      <c r="AF31" s="223" t="s">
        <v>3626</v>
      </c>
      <c r="AG31" s="223" t="s">
        <v>3630</v>
      </c>
      <c r="AH31" s="116">
        <v>2025</v>
      </c>
      <c r="AI31" s="116">
        <v>3</v>
      </c>
      <c r="AJ31" s="223" t="s">
        <v>3631</v>
      </c>
      <c r="AK31" s="223" t="s">
        <v>34</v>
      </c>
      <c r="AL31" s="60">
        <v>15609043</v>
      </c>
      <c r="AM31" s="60"/>
    </row>
    <row r="32" spans="1:39">
      <c r="A32" s="196" t="s">
        <v>3626</v>
      </c>
      <c r="B32" s="196" t="s">
        <v>34</v>
      </c>
      <c r="C32" s="196" t="s">
        <v>3680</v>
      </c>
      <c r="D32" s="196" t="s">
        <v>3681</v>
      </c>
      <c r="E32" s="195">
        <v>2025</v>
      </c>
      <c r="F32" s="42">
        <f t="shared" si="1"/>
        <v>253441497</v>
      </c>
      <c r="G32" s="42">
        <f t="shared" si="1"/>
        <v>243166882</v>
      </c>
      <c r="H32" s="42">
        <f t="shared" si="1"/>
        <v>247626094</v>
      </c>
      <c r="I32" s="42">
        <f t="shared" si="1"/>
        <v>191322998</v>
      </c>
      <c r="J32" s="42">
        <f t="shared" si="1"/>
        <v>236687450</v>
      </c>
      <c r="K32" s="42">
        <f t="shared" si="1"/>
        <v>215124141</v>
      </c>
      <c r="L32" s="42">
        <f t="shared" si="1"/>
        <v>0</v>
      </c>
      <c r="M32" s="42">
        <f t="shared" si="1"/>
        <v>0</v>
      </c>
      <c r="N32" s="42">
        <f t="shared" si="1"/>
        <v>0</v>
      </c>
      <c r="O32" s="42">
        <f t="shared" si="1"/>
        <v>0</v>
      </c>
      <c r="P32" s="42">
        <f t="shared" si="1"/>
        <v>0</v>
      </c>
      <c r="Q32" s="42">
        <f t="shared" si="1"/>
        <v>0</v>
      </c>
      <c r="S32" s="27">
        <f>IFERROR(AVERAGEIFS('USMCA Imports'!$L$4:$L$63,'USMCA Imports'!$B$4:$B$63,'Full Imports'!B32,'USMCA Imports'!$C$4:$C$63,'Full Imports'!C32),0)</f>
        <v>12839301</v>
      </c>
      <c r="T32" s="197">
        <f t="shared" si="2"/>
        <v>0.94031678202029401</v>
      </c>
      <c r="AF32" s="223" t="s">
        <v>3626</v>
      </c>
      <c r="AG32" s="223" t="s">
        <v>3630</v>
      </c>
      <c r="AH32" s="116">
        <v>2025</v>
      </c>
      <c r="AI32" s="116">
        <v>4</v>
      </c>
      <c r="AJ32" s="223" t="s">
        <v>3631</v>
      </c>
      <c r="AK32" s="223" t="s">
        <v>34</v>
      </c>
      <c r="AL32" s="60">
        <v>10665848</v>
      </c>
      <c r="AM32" s="60"/>
    </row>
    <row r="33" spans="1:39">
      <c r="A33" s="196" t="s">
        <v>3626</v>
      </c>
      <c r="B33" s="196" t="s">
        <v>34</v>
      </c>
      <c r="C33" s="196" t="s">
        <v>3682</v>
      </c>
      <c r="D33" s="196" t="s">
        <v>3683</v>
      </c>
      <c r="E33" s="195">
        <v>2025</v>
      </c>
      <c r="F33" s="42">
        <f t="shared" si="1"/>
        <v>266245889</v>
      </c>
      <c r="G33" s="42">
        <f t="shared" si="1"/>
        <v>237431457</v>
      </c>
      <c r="H33" s="42">
        <f t="shared" si="1"/>
        <v>326007026</v>
      </c>
      <c r="I33" s="42">
        <f t="shared" si="1"/>
        <v>241986080</v>
      </c>
      <c r="J33" s="42">
        <f t="shared" si="1"/>
        <v>279688841</v>
      </c>
      <c r="K33" s="42">
        <f t="shared" si="1"/>
        <v>308874447</v>
      </c>
      <c r="L33" s="42">
        <f t="shared" si="1"/>
        <v>0</v>
      </c>
      <c r="M33" s="42">
        <f t="shared" si="1"/>
        <v>0</v>
      </c>
      <c r="N33" s="42">
        <f t="shared" si="1"/>
        <v>0</v>
      </c>
      <c r="O33" s="42">
        <f t="shared" si="1"/>
        <v>0</v>
      </c>
      <c r="P33" s="42">
        <f t="shared" si="1"/>
        <v>0</v>
      </c>
      <c r="Q33" s="42">
        <f t="shared" si="1"/>
        <v>0</v>
      </c>
      <c r="S33" s="27">
        <f>IFERROR(AVERAGEIFS('USMCA Imports'!$L$4:$L$63,'USMCA Imports'!$B$4:$B$63,'Full Imports'!B33,'USMCA Imports'!$C$4:$C$63,'Full Imports'!C33),0)</f>
        <v>1407475</v>
      </c>
      <c r="T33" s="197">
        <f t="shared" si="2"/>
        <v>0.99544321320954077</v>
      </c>
      <c r="AF33" s="223" t="s">
        <v>3626</v>
      </c>
      <c r="AG33" s="223" t="s">
        <v>3630</v>
      </c>
      <c r="AH33" s="116">
        <v>2025</v>
      </c>
      <c r="AI33" s="116">
        <v>5</v>
      </c>
      <c r="AJ33" s="223" t="s">
        <v>3631</v>
      </c>
      <c r="AK33" s="223" t="s">
        <v>34</v>
      </c>
      <c r="AL33" s="60">
        <v>8824610</v>
      </c>
      <c r="AM33" s="60"/>
    </row>
    <row r="34" spans="1:39">
      <c r="A34" s="196" t="s">
        <v>3626</v>
      </c>
      <c r="B34" s="196" t="s">
        <v>34</v>
      </c>
      <c r="C34" s="196" t="s">
        <v>3684</v>
      </c>
      <c r="D34" s="196" t="s">
        <v>3685</v>
      </c>
      <c r="E34" s="195">
        <v>2025</v>
      </c>
      <c r="F34" s="42">
        <f t="shared" si="1"/>
        <v>423667411</v>
      </c>
      <c r="G34" s="42">
        <f t="shared" si="1"/>
        <v>185420878</v>
      </c>
      <c r="H34" s="42">
        <f t="shared" si="1"/>
        <v>134042472</v>
      </c>
      <c r="I34" s="42">
        <f t="shared" si="1"/>
        <v>67683337</v>
      </c>
      <c r="J34" s="42">
        <f t="shared" si="1"/>
        <v>132964795</v>
      </c>
      <c r="K34" s="42">
        <f t="shared" si="1"/>
        <v>94152685</v>
      </c>
      <c r="L34" s="42">
        <f t="shared" si="1"/>
        <v>0</v>
      </c>
      <c r="M34" s="42">
        <f t="shared" si="1"/>
        <v>0</v>
      </c>
      <c r="N34" s="42">
        <f t="shared" si="1"/>
        <v>0</v>
      </c>
      <c r="O34" s="42">
        <f t="shared" si="1"/>
        <v>0</v>
      </c>
      <c r="P34" s="42">
        <f t="shared" si="1"/>
        <v>0</v>
      </c>
      <c r="Q34" s="42">
        <f t="shared" si="1"/>
        <v>0</v>
      </c>
      <c r="S34" s="27">
        <f>IFERROR(AVERAGEIFS('USMCA Imports'!$L$4:$L$63,'USMCA Imports'!$B$4:$B$63,'Full Imports'!B34,'USMCA Imports'!$C$4:$C$63,'Full Imports'!C34),0)</f>
        <v>1518790</v>
      </c>
      <c r="T34" s="197">
        <f t="shared" si="2"/>
        <v>0.98386886151998743</v>
      </c>
      <c r="AF34" s="223" t="s">
        <v>3626</v>
      </c>
      <c r="AG34" s="223" t="s">
        <v>3630</v>
      </c>
      <c r="AH34" s="116">
        <v>2025</v>
      </c>
      <c r="AI34" s="116">
        <v>6</v>
      </c>
      <c r="AJ34" s="223" t="s">
        <v>3631</v>
      </c>
      <c r="AK34" s="223" t="s">
        <v>34</v>
      </c>
      <c r="AL34" s="60">
        <v>14423299</v>
      </c>
      <c r="AM34" s="60"/>
    </row>
    <row r="35" spans="1:39">
      <c r="A35" s="196" t="s">
        <v>3626</v>
      </c>
      <c r="B35" s="196" t="s">
        <v>34</v>
      </c>
      <c r="C35" s="196" t="s">
        <v>3686</v>
      </c>
      <c r="D35" s="196" t="s">
        <v>3687</v>
      </c>
      <c r="E35" s="195">
        <v>2025</v>
      </c>
      <c r="F35" s="42">
        <f t="shared" si="1"/>
        <v>1538461934</v>
      </c>
      <c r="G35" s="42">
        <f t="shared" si="1"/>
        <v>1299912687</v>
      </c>
      <c r="H35" s="42">
        <f t="shared" si="1"/>
        <v>1611390316</v>
      </c>
      <c r="I35" s="42">
        <f t="shared" si="1"/>
        <v>1605479015</v>
      </c>
      <c r="J35" s="42">
        <f t="shared" si="1"/>
        <v>1595990183</v>
      </c>
      <c r="K35" s="42">
        <f t="shared" si="1"/>
        <v>1413360673</v>
      </c>
      <c r="L35" s="42">
        <f t="shared" si="1"/>
        <v>0</v>
      </c>
      <c r="M35" s="42">
        <f t="shared" si="1"/>
        <v>0</v>
      </c>
      <c r="N35" s="42">
        <f t="shared" si="1"/>
        <v>0</v>
      </c>
      <c r="O35" s="42">
        <f t="shared" si="1"/>
        <v>0</v>
      </c>
      <c r="P35" s="42">
        <f t="shared" si="1"/>
        <v>0</v>
      </c>
      <c r="Q35" s="42">
        <f t="shared" si="1"/>
        <v>0</v>
      </c>
      <c r="S35" s="27">
        <f>IFERROR(AVERAGEIFS('USMCA Imports'!$L$4:$L$63,'USMCA Imports'!$B$4:$B$63,'Full Imports'!B35,'USMCA Imports'!$C$4:$C$63,'Full Imports'!C35),0)</f>
        <v>79053453</v>
      </c>
      <c r="T35" s="197">
        <f t="shared" si="2"/>
        <v>0.94406703503911626</v>
      </c>
      <c r="AF35" s="223" t="s">
        <v>3626</v>
      </c>
      <c r="AG35" s="223" t="s">
        <v>3630</v>
      </c>
      <c r="AH35" s="116">
        <v>2025</v>
      </c>
      <c r="AI35" s="116">
        <v>1</v>
      </c>
      <c r="AJ35" s="223" t="s">
        <v>3631</v>
      </c>
      <c r="AK35" s="223" t="s">
        <v>35</v>
      </c>
      <c r="AL35" s="60">
        <v>4763745</v>
      </c>
      <c r="AM35" s="60"/>
    </row>
    <row r="36" spans="1:39">
      <c r="A36" s="196" t="s">
        <v>3626</v>
      </c>
      <c r="B36" s="196" t="s">
        <v>34</v>
      </c>
      <c r="C36" s="196" t="s">
        <v>3688</v>
      </c>
      <c r="D36" s="196" t="s">
        <v>3689</v>
      </c>
      <c r="E36" s="195">
        <v>2025</v>
      </c>
      <c r="F36" s="42">
        <f t="shared" si="1"/>
        <v>521030156</v>
      </c>
      <c r="G36" s="42">
        <f t="shared" si="1"/>
        <v>503283634</v>
      </c>
      <c r="H36" s="42">
        <f t="shared" si="1"/>
        <v>490898337</v>
      </c>
      <c r="I36" s="42">
        <f t="shared" si="1"/>
        <v>334750594</v>
      </c>
      <c r="J36" s="42">
        <f t="shared" si="1"/>
        <v>376088909</v>
      </c>
      <c r="K36" s="42">
        <f t="shared" si="1"/>
        <v>369621144</v>
      </c>
      <c r="L36" s="42">
        <f t="shared" si="1"/>
        <v>0</v>
      </c>
      <c r="M36" s="42">
        <f t="shared" si="1"/>
        <v>0</v>
      </c>
      <c r="N36" s="42">
        <f t="shared" si="1"/>
        <v>0</v>
      </c>
      <c r="O36" s="42">
        <f t="shared" si="1"/>
        <v>0</v>
      </c>
      <c r="P36" s="42">
        <f t="shared" si="1"/>
        <v>0</v>
      </c>
      <c r="Q36" s="42">
        <f t="shared" si="1"/>
        <v>0</v>
      </c>
      <c r="S36" s="27">
        <f>IFERROR(AVERAGEIFS('USMCA Imports'!$L$4:$L$63,'USMCA Imports'!$B$4:$B$63,'Full Imports'!B36,'USMCA Imports'!$C$4:$C$63,'Full Imports'!C36),0)</f>
        <v>0</v>
      </c>
      <c r="T36" s="197">
        <f t="shared" si="2"/>
        <v>1</v>
      </c>
      <c r="AF36" s="223" t="s">
        <v>3626</v>
      </c>
      <c r="AG36" s="223" t="s">
        <v>3630</v>
      </c>
      <c r="AH36" s="116">
        <v>2025</v>
      </c>
      <c r="AI36" s="116">
        <v>2</v>
      </c>
      <c r="AJ36" s="223" t="s">
        <v>3631</v>
      </c>
      <c r="AK36" s="223" t="s">
        <v>35</v>
      </c>
      <c r="AL36" s="60">
        <v>4930825</v>
      </c>
      <c r="AM36" s="60"/>
    </row>
    <row r="37" spans="1:39">
      <c r="A37" s="196" t="s">
        <v>3626</v>
      </c>
      <c r="B37" s="196" t="s">
        <v>35</v>
      </c>
      <c r="C37" s="196" t="s">
        <v>1782</v>
      </c>
      <c r="D37" s="196" t="s">
        <v>3627</v>
      </c>
      <c r="E37" s="195">
        <v>2025</v>
      </c>
      <c r="F37" s="42">
        <f t="shared" si="1"/>
        <v>2270277421</v>
      </c>
      <c r="G37" s="42">
        <f t="shared" si="1"/>
        <v>1861091338</v>
      </c>
      <c r="H37" s="42">
        <f t="shared" si="1"/>
        <v>2004911898</v>
      </c>
      <c r="I37" s="42">
        <f t="shared" si="1"/>
        <v>1687599045</v>
      </c>
      <c r="J37" s="42">
        <f t="shared" si="1"/>
        <v>1732581536</v>
      </c>
      <c r="K37" s="42">
        <f t="shared" si="1"/>
        <v>1437483233</v>
      </c>
      <c r="L37" s="42">
        <f t="shared" si="1"/>
        <v>0</v>
      </c>
      <c r="M37" s="42">
        <f t="shared" si="1"/>
        <v>0</v>
      </c>
      <c r="N37" s="42">
        <f t="shared" si="1"/>
        <v>0</v>
      </c>
      <c r="O37" s="42">
        <f t="shared" si="1"/>
        <v>0</v>
      </c>
      <c r="P37" s="42">
        <f t="shared" si="1"/>
        <v>0</v>
      </c>
      <c r="Q37" s="42">
        <f t="shared" si="1"/>
        <v>0</v>
      </c>
      <c r="S37" s="27">
        <f>IFERROR(AVERAGEIFS('USMCA Imports'!$L$4:$L$63,'USMCA Imports'!$B$4:$B$63,'Full Imports'!B37,'USMCA Imports'!$C$4:$C$63,'Full Imports'!C37),0)</f>
        <v>448839</v>
      </c>
      <c r="T37" s="197">
        <f t="shared" si="2"/>
        <v>0.99968776053195185</v>
      </c>
      <c r="AF37" s="223" t="s">
        <v>3626</v>
      </c>
      <c r="AG37" s="223" t="s">
        <v>3630</v>
      </c>
      <c r="AH37" s="116">
        <v>2025</v>
      </c>
      <c r="AI37" s="116">
        <v>3</v>
      </c>
      <c r="AJ37" s="223" t="s">
        <v>3631</v>
      </c>
      <c r="AK37" s="223" t="s">
        <v>35</v>
      </c>
      <c r="AL37" s="60">
        <v>4673719</v>
      </c>
      <c r="AM37" s="60"/>
    </row>
    <row r="38" spans="1:39">
      <c r="A38" s="196" t="s">
        <v>3626</v>
      </c>
      <c r="B38" s="196" t="s">
        <v>35</v>
      </c>
      <c r="C38" s="196" t="s">
        <v>3628</v>
      </c>
      <c r="D38" s="196" t="s">
        <v>3629</v>
      </c>
      <c r="E38" s="195">
        <v>2025</v>
      </c>
      <c r="F38" s="42">
        <f t="shared" ref="F38:Q59" si="3">SUMIFS($AL$5:$AL$383,$AI$5:$AI$383,F$3,$AG$5:$AG$383,$C38,$AK$5:$AK$383,$B38)</f>
        <v>9945287</v>
      </c>
      <c r="G38" s="42">
        <f t="shared" si="3"/>
        <v>53906635</v>
      </c>
      <c r="H38" s="42">
        <f t="shared" si="3"/>
        <v>125059586</v>
      </c>
      <c r="I38" s="42">
        <f t="shared" si="3"/>
        <v>134690453</v>
      </c>
      <c r="J38" s="42">
        <f t="shared" si="3"/>
        <v>58501159</v>
      </c>
      <c r="K38" s="42">
        <f t="shared" si="3"/>
        <v>11540457</v>
      </c>
      <c r="L38" s="42">
        <f t="shared" si="3"/>
        <v>0</v>
      </c>
      <c r="M38" s="42">
        <f t="shared" si="3"/>
        <v>0</v>
      </c>
      <c r="N38" s="42">
        <f t="shared" si="3"/>
        <v>0</v>
      </c>
      <c r="O38" s="42">
        <f t="shared" si="3"/>
        <v>0</v>
      </c>
      <c r="P38" s="42">
        <f t="shared" si="3"/>
        <v>0</v>
      </c>
      <c r="Q38" s="42">
        <f t="shared" si="3"/>
        <v>0</v>
      </c>
      <c r="S38" s="27">
        <f>IFERROR(AVERAGEIFS('USMCA Imports'!$L$4:$L$63,'USMCA Imports'!$B$4:$B$63,'Full Imports'!B38,'USMCA Imports'!$C$4:$C$63,'Full Imports'!C38),0)</f>
        <v>3337</v>
      </c>
      <c r="T38" s="197">
        <f t="shared" si="2"/>
        <v>0.99971084334008609</v>
      </c>
      <c r="AF38" s="223" t="s">
        <v>3626</v>
      </c>
      <c r="AG38" s="223" t="s">
        <v>3630</v>
      </c>
      <c r="AH38" s="116">
        <v>2025</v>
      </c>
      <c r="AI38" s="116">
        <v>4</v>
      </c>
      <c r="AJ38" s="223" t="s">
        <v>3631</v>
      </c>
      <c r="AK38" s="223" t="s">
        <v>35</v>
      </c>
      <c r="AL38" s="60">
        <v>2860022</v>
      </c>
      <c r="AM38" s="60"/>
    </row>
    <row r="39" spans="1:39">
      <c r="A39" s="196" t="s">
        <v>3626</v>
      </c>
      <c r="B39" s="196" t="s">
        <v>35</v>
      </c>
      <c r="C39" s="196" t="s">
        <v>3630</v>
      </c>
      <c r="D39" s="196" t="s">
        <v>3631</v>
      </c>
      <c r="E39" s="195">
        <v>2025</v>
      </c>
      <c r="F39" s="42">
        <f t="shared" si="3"/>
        <v>4763745</v>
      </c>
      <c r="G39" s="42">
        <f t="shared" si="3"/>
        <v>4930825</v>
      </c>
      <c r="H39" s="42">
        <f t="shared" si="3"/>
        <v>4673719</v>
      </c>
      <c r="I39" s="42">
        <f t="shared" si="3"/>
        <v>2860022</v>
      </c>
      <c r="J39" s="42">
        <f t="shared" si="3"/>
        <v>2754362</v>
      </c>
      <c r="K39" s="42">
        <f t="shared" si="3"/>
        <v>2309471</v>
      </c>
      <c r="L39" s="42">
        <f t="shared" si="3"/>
        <v>0</v>
      </c>
      <c r="M39" s="42">
        <f t="shared" si="3"/>
        <v>0</v>
      </c>
      <c r="N39" s="42">
        <f t="shared" si="3"/>
        <v>0</v>
      </c>
      <c r="O39" s="42">
        <f t="shared" si="3"/>
        <v>0</v>
      </c>
      <c r="P39" s="42">
        <f t="shared" si="3"/>
        <v>0</v>
      </c>
      <c r="Q39" s="42">
        <f t="shared" si="3"/>
        <v>0</v>
      </c>
      <c r="S39" s="27">
        <f>IFERROR(AVERAGEIFS('USMCA Imports'!$L$4:$L$63,'USMCA Imports'!$B$4:$B$63,'Full Imports'!B39,'USMCA Imports'!$C$4:$C$63,'Full Imports'!C39),0)</f>
        <v>71956</v>
      </c>
      <c r="T39" s="197">
        <f t="shared" si="2"/>
        <v>0.9688430813809743</v>
      </c>
      <c r="AF39" s="223" t="s">
        <v>3626</v>
      </c>
      <c r="AG39" s="223" t="s">
        <v>3630</v>
      </c>
      <c r="AH39" s="116">
        <v>2025</v>
      </c>
      <c r="AI39" s="116">
        <v>5</v>
      </c>
      <c r="AJ39" s="223" t="s">
        <v>3631</v>
      </c>
      <c r="AK39" s="223" t="s">
        <v>35</v>
      </c>
      <c r="AL39" s="60">
        <v>2754362</v>
      </c>
      <c r="AM39" s="60"/>
    </row>
    <row r="40" spans="1:39">
      <c r="A40" s="196" t="s">
        <v>3626</v>
      </c>
      <c r="B40" s="196" t="s">
        <v>35</v>
      </c>
      <c r="C40" s="196" t="s">
        <v>3632</v>
      </c>
      <c r="D40" s="196" t="s">
        <v>3633</v>
      </c>
      <c r="E40" s="195">
        <v>2025</v>
      </c>
      <c r="F40" s="42">
        <f t="shared" si="3"/>
        <v>47619151</v>
      </c>
      <c r="G40" s="42">
        <f t="shared" si="3"/>
        <v>36377391</v>
      </c>
      <c r="H40" s="42">
        <f t="shared" si="3"/>
        <v>37257598</v>
      </c>
      <c r="I40" s="42">
        <f t="shared" si="3"/>
        <v>28864001</v>
      </c>
      <c r="J40" s="42">
        <f t="shared" si="3"/>
        <v>33994119</v>
      </c>
      <c r="K40" s="42">
        <f t="shared" si="3"/>
        <v>31291175</v>
      </c>
      <c r="L40" s="42">
        <f t="shared" si="3"/>
        <v>0</v>
      </c>
      <c r="M40" s="42">
        <f t="shared" si="3"/>
        <v>0</v>
      </c>
      <c r="N40" s="42">
        <f t="shared" si="3"/>
        <v>0</v>
      </c>
      <c r="O40" s="42">
        <f t="shared" si="3"/>
        <v>0</v>
      </c>
      <c r="P40" s="42">
        <f t="shared" si="3"/>
        <v>0</v>
      </c>
      <c r="Q40" s="42">
        <f t="shared" si="3"/>
        <v>0</v>
      </c>
      <c r="S40" s="27">
        <f>IFERROR(AVERAGEIFS('USMCA Imports'!$L$4:$L$63,'USMCA Imports'!$B$4:$B$63,'Full Imports'!B40,'USMCA Imports'!$C$4:$C$63,'Full Imports'!C40),0)</f>
        <v>0</v>
      </c>
      <c r="T40" s="197">
        <f t="shared" si="2"/>
        <v>1</v>
      </c>
      <c r="AF40" s="223" t="s">
        <v>3626</v>
      </c>
      <c r="AG40" s="223" t="s">
        <v>3630</v>
      </c>
      <c r="AH40" s="116">
        <v>2025</v>
      </c>
      <c r="AI40" s="116">
        <v>6</v>
      </c>
      <c r="AJ40" s="223" t="s">
        <v>3631</v>
      </c>
      <c r="AK40" s="223" t="s">
        <v>35</v>
      </c>
      <c r="AL40" s="60">
        <v>2309471</v>
      </c>
      <c r="AM40" s="60"/>
    </row>
    <row r="41" spans="1:39">
      <c r="A41" s="196" t="s">
        <v>3626</v>
      </c>
      <c r="B41" s="196" t="s">
        <v>35</v>
      </c>
      <c r="C41" s="196" t="s">
        <v>3636</v>
      </c>
      <c r="D41" s="196" t="s">
        <v>3637</v>
      </c>
      <c r="E41" s="195">
        <v>2025</v>
      </c>
      <c r="F41" s="42">
        <f t="shared" si="3"/>
        <v>974261480</v>
      </c>
      <c r="G41" s="42">
        <f t="shared" si="3"/>
        <v>970400772</v>
      </c>
      <c r="H41" s="42">
        <f t="shared" si="3"/>
        <v>520955541</v>
      </c>
      <c r="I41" s="42">
        <f t="shared" si="3"/>
        <v>487167425</v>
      </c>
      <c r="J41" s="42">
        <f t="shared" si="3"/>
        <v>905096814</v>
      </c>
      <c r="K41" s="42">
        <f t="shared" si="3"/>
        <v>814626933</v>
      </c>
      <c r="L41" s="42">
        <f t="shared" si="3"/>
        <v>0</v>
      </c>
      <c r="M41" s="42">
        <f t="shared" si="3"/>
        <v>0</v>
      </c>
      <c r="N41" s="42">
        <f t="shared" si="3"/>
        <v>0</v>
      </c>
      <c r="O41" s="42">
        <f t="shared" si="3"/>
        <v>0</v>
      </c>
      <c r="P41" s="42">
        <f t="shared" si="3"/>
        <v>0</v>
      </c>
      <c r="Q41" s="42">
        <f t="shared" si="3"/>
        <v>0</v>
      </c>
      <c r="S41" s="27">
        <f>IFERROR(AVERAGEIFS('USMCA Imports'!$L$4:$L$63,'USMCA Imports'!$B$4:$B$63,'Full Imports'!B41,'USMCA Imports'!$C$4:$C$63,'Full Imports'!C41),0)</f>
        <v>302816844</v>
      </c>
      <c r="T41" s="197">
        <f t="shared" si="2"/>
        <v>0.6282754329213911</v>
      </c>
      <c r="AF41" s="223" t="s">
        <v>3626</v>
      </c>
      <c r="AG41" s="223" t="s">
        <v>3632</v>
      </c>
      <c r="AH41" s="116">
        <v>2025</v>
      </c>
      <c r="AI41" s="116">
        <v>1</v>
      </c>
      <c r="AJ41" s="223" t="s">
        <v>3633</v>
      </c>
      <c r="AK41" s="223" t="s">
        <v>34</v>
      </c>
      <c r="AL41" s="60">
        <v>169234710</v>
      </c>
      <c r="AM41" s="60"/>
    </row>
    <row r="42" spans="1:39">
      <c r="A42" s="196" t="s">
        <v>3626</v>
      </c>
      <c r="B42" s="196" t="s">
        <v>35</v>
      </c>
      <c r="C42" s="196" t="s">
        <v>3638</v>
      </c>
      <c r="D42" s="196" t="s">
        <v>3639</v>
      </c>
      <c r="E42" s="195">
        <v>2025</v>
      </c>
      <c r="F42" s="42">
        <f t="shared" si="3"/>
        <v>39854269</v>
      </c>
      <c r="G42" s="42">
        <f t="shared" si="3"/>
        <v>41370616</v>
      </c>
      <c r="H42" s="42">
        <f t="shared" si="3"/>
        <v>33557987</v>
      </c>
      <c r="I42" s="42">
        <f t="shared" si="3"/>
        <v>28943696</v>
      </c>
      <c r="J42" s="42">
        <f t="shared" si="3"/>
        <v>37773882</v>
      </c>
      <c r="K42" s="42">
        <f t="shared" si="3"/>
        <v>66621064</v>
      </c>
      <c r="L42" s="42">
        <f t="shared" si="3"/>
        <v>0</v>
      </c>
      <c r="M42" s="42">
        <f t="shared" si="3"/>
        <v>0</v>
      </c>
      <c r="N42" s="42">
        <f t="shared" si="3"/>
        <v>0</v>
      </c>
      <c r="O42" s="42">
        <f t="shared" si="3"/>
        <v>0</v>
      </c>
      <c r="P42" s="42">
        <f t="shared" si="3"/>
        <v>0</v>
      </c>
      <c r="Q42" s="42">
        <f t="shared" si="3"/>
        <v>0</v>
      </c>
      <c r="S42" s="27">
        <f>IFERROR(AVERAGEIFS('USMCA Imports'!$L$4:$L$63,'USMCA Imports'!$B$4:$B$63,'Full Imports'!B42,'USMCA Imports'!$C$4:$C$63,'Full Imports'!C42),0)</f>
        <v>92020</v>
      </c>
      <c r="T42" s="197">
        <f t="shared" si="2"/>
        <v>0.99861875517328869</v>
      </c>
      <c r="AF42" s="223" t="s">
        <v>3626</v>
      </c>
      <c r="AG42" s="223" t="s">
        <v>3632</v>
      </c>
      <c r="AH42" s="116">
        <v>2025</v>
      </c>
      <c r="AI42" s="116">
        <v>2</v>
      </c>
      <c r="AJ42" s="223" t="s">
        <v>3633</v>
      </c>
      <c r="AK42" s="223" t="s">
        <v>34</v>
      </c>
      <c r="AL42" s="60">
        <v>88515963</v>
      </c>
      <c r="AM42" s="60"/>
    </row>
    <row r="43" spans="1:39">
      <c r="A43" s="196" t="s">
        <v>3626</v>
      </c>
      <c r="B43" s="196" t="s">
        <v>35</v>
      </c>
      <c r="C43" s="196" t="s">
        <v>3640</v>
      </c>
      <c r="D43" s="196" t="s">
        <v>3641</v>
      </c>
      <c r="E43" s="195">
        <v>2025</v>
      </c>
      <c r="F43" s="42">
        <f t="shared" si="3"/>
        <v>1231474923</v>
      </c>
      <c r="G43" s="42">
        <f t="shared" si="3"/>
        <v>1218885118</v>
      </c>
      <c r="H43" s="42">
        <f t="shared" si="3"/>
        <v>1341143729</v>
      </c>
      <c r="I43" s="42">
        <f t="shared" si="3"/>
        <v>1125620850</v>
      </c>
      <c r="J43" s="42">
        <f t="shared" si="3"/>
        <v>1300496866</v>
      </c>
      <c r="K43" s="42">
        <f t="shared" si="3"/>
        <v>1150329166</v>
      </c>
      <c r="L43" s="42">
        <f t="shared" si="3"/>
        <v>0</v>
      </c>
      <c r="M43" s="42">
        <f t="shared" si="3"/>
        <v>0</v>
      </c>
      <c r="N43" s="42">
        <f t="shared" si="3"/>
        <v>0</v>
      </c>
      <c r="O43" s="42">
        <f t="shared" si="3"/>
        <v>0</v>
      </c>
      <c r="P43" s="42">
        <f t="shared" si="3"/>
        <v>0</v>
      </c>
      <c r="Q43" s="42">
        <f t="shared" si="3"/>
        <v>0</v>
      </c>
      <c r="S43" s="27">
        <f>IFERROR(AVERAGEIFS('USMCA Imports'!$L$4:$L$63,'USMCA Imports'!$B$4:$B$63,'Full Imports'!B43,'USMCA Imports'!$C$4:$C$63,'Full Imports'!C43),0)</f>
        <v>6291393</v>
      </c>
      <c r="T43" s="197">
        <f t="shared" si="2"/>
        <v>0.99453078893767699</v>
      </c>
      <c r="AF43" s="223" t="s">
        <v>3626</v>
      </c>
      <c r="AG43" s="223" t="s">
        <v>3632</v>
      </c>
      <c r="AH43" s="116">
        <v>2025</v>
      </c>
      <c r="AI43" s="116">
        <v>3</v>
      </c>
      <c r="AJ43" s="223" t="s">
        <v>3633</v>
      </c>
      <c r="AK43" s="223" t="s">
        <v>34</v>
      </c>
      <c r="AL43" s="60">
        <v>100395515</v>
      </c>
      <c r="AM43" s="60"/>
    </row>
    <row r="44" spans="1:39">
      <c r="A44" s="196" t="s">
        <v>3626</v>
      </c>
      <c r="B44" s="196" t="s">
        <v>35</v>
      </c>
      <c r="C44" s="196" t="s">
        <v>3642</v>
      </c>
      <c r="D44" s="196" t="s">
        <v>3643</v>
      </c>
      <c r="E44" s="195">
        <v>2025</v>
      </c>
      <c r="F44" s="42">
        <f t="shared" si="3"/>
        <v>1145262444</v>
      </c>
      <c r="G44" s="42">
        <f t="shared" si="3"/>
        <v>1051518670</v>
      </c>
      <c r="H44" s="42">
        <f t="shared" si="3"/>
        <v>957594154</v>
      </c>
      <c r="I44" s="42">
        <f t="shared" si="3"/>
        <v>832115228</v>
      </c>
      <c r="J44" s="42">
        <f t="shared" si="3"/>
        <v>1053586168</v>
      </c>
      <c r="K44" s="42">
        <f t="shared" si="3"/>
        <v>975697536</v>
      </c>
      <c r="L44" s="42">
        <f t="shared" si="3"/>
        <v>0</v>
      </c>
      <c r="M44" s="42">
        <f t="shared" si="3"/>
        <v>0</v>
      </c>
      <c r="N44" s="42">
        <f t="shared" si="3"/>
        <v>0</v>
      </c>
      <c r="O44" s="42">
        <f t="shared" si="3"/>
        <v>0</v>
      </c>
      <c r="P44" s="42">
        <f t="shared" si="3"/>
        <v>0</v>
      </c>
      <c r="Q44" s="42">
        <f t="shared" si="3"/>
        <v>0</v>
      </c>
      <c r="S44" s="27">
        <f>IFERROR(AVERAGEIFS('USMCA Imports'!$L$4:$L$63,'USMCA Imports'!$B$4:$B$63,'Full Imports'!B44,'USMCA Imports'!$C$4:$C$63,'Full Imports'!C44),0)</f>
        <v>54869885</v>
      </c>
      <c r="T44" s="197">
        <f t="shared" si="2"/>
        <v>0.94376342772684829</v>
      </c>
      <c r="AF44" s="223" t="s">
        <v>3626</v>
      </c>
      <c r="AG44" s="223" t="s">
        <v>3632</v>
      </c>
      <c r="AH44" s="116">
        <v>2025</v>
      </c>
      <c r="AI44" s="116">
        <v>4</v>
      </c>
      <c r="AJ44" s="223" t="s">
        <v>3633</v>
      </c>
      <c r="AK44" s="223" t="s">
        <v>34</v>
      </c>
      <c r="AL44" s="60">
        <v>338463493</v>
      </c>
      <c r="AM44" s="60"/>
    </row>
    <row r="45" spans="1:39">
      <c r="A45" s="196" t="s">
        <v>3626</v>
      </c>
      <c r="B45" s="196" t="s">
        <v>35</v>
      </c>
      <c r="C45" s="196" t="s">
        <v>3644</v>
      </c>
      <c r="D45" s="196" t="s">
        <v>3645</v>
      </c>
      <c r="E45" s="195">
        <v>2025</v>
      </c>
      <c r="F45" s="42">
        <f t="shared" si="3"/>
        <v>67993045</v>
      </c>
      <c r="G45" s="42">
        <f t="shared" si="3"/>
        <v>74409412</v>
      </c>
      <c r="H45" s="42">
        <f t="shared" si="3"/>
        <v>76985490</v>
      </c>
      <c r="I45" s="42">
        <f t="shared" si="3"/>
        <v>75469435</v>
      </c>
      <c r="J45" s="42">
        <f t="shared" si="3"/>
        <v>77036929</v>
      </c>
      <c r="K45" s="42">
        <f t="shared" si="3"/>
        <v>69337161</v>
      </c>
      <c r="L45" s="42">
        <f t="shared" si="3"/>
        <v>0</v>
      </c>
      <c r="M45" s="42">
        <f t="shared" si="3"/>
        <v>0</v>
      </c>
      <c r="N45" s="42">
        <f t="shared" si="3"/>
        <v>0</v>
      </c>
      <c r="O45" s="42">
        <f t="shared" si="3"/>
        <v>0</v>
      </c>
      <c r="P45" s="42">
        <f t="shared" si="3"/>
        <v>0</v>
      </c>
      <c r="Q45" s="42">
        <f t="shared" si="3"/>
        <v>0</v>
      </c>
      <c r="S45" s="27">
        <f>IFERROR(AVERAGEIFS('USMCA Imports'!$L$4:$L$63,'USMCA Imports'!$B$4:$B$63,'Full Imports'!B45,'USMCA Imports'!$C$4:$C$63,'Full Imports'!C45),0)</f>
        <v>5330669</v>
      </c>
      <c r="T45" s="197">
        <f t="shared" si="2"/>
        <v>0.92311959527734344</v>
      </c>
      <c r="AF45" s="223" t="s">
        <v>3626</v>
      </c>
      <c r="AG45" s="223" t="s">
        <v>3632</v>
      </c>
      <c r="AH45" s="116">
        <v>2025</v>
      </c>
      <c r="AI45" s="116">
        <v>5</v>
      </c>
      <c r="AJ45" s="223" t="s">
        <v>3633</v>
      </c>
      <c r="AK45" s="223" t="s">
        <v>34</v>
      </c>
      <c r="AL45" s="60">
        <v>579854981</v>
      </c>
      <c r="AM45" s="60"/>
    </row>
    <row r="46" spans="1:39">
      <c r="A46" s="196" t="s">
        <v>3626</v>
      </c>
      <c r="B46" s="196" t="s">
        <v>35</v>
      </c>
      <c r="C46" s="196" t="s">
        <v>3646</v>
      </c>
      <c r="D46" s="196" t="s">
        <v>3647</v>
      </c>
      <c r="E46" s="195">
        <v>2025</v>
      </c>
      <c r="F46" s="42">
        <f t="shared" si="3"/>
        <v>95430333</v>
      </c>
      <c r="G46" s="42">
        <f t="shared" si="3"/>
        <v>95400582</v>
      </c>
      <c r="H46" s="42">
        <f t="shared" si="3"/>
        <v>93587407</v>
      </c>
      <c r="I46" s="42">
        <f t="shared" si="3"/>
        <v>91103953</v>
      </c>
      <c r="J46" s="42">
        <f t="shared" si="3"/>
        <v>94473949</v>
      </c>
      <c r="K46" s="42">
        <f t="shared" si="3"/>
        <v>92971470</v>
      </c>
      <c r="L46" s="42">
        <f t="shared" si="3"/>
        <v>0</v>
      </c>
      <c r="M46" s="42">
        <f t="shared" si="3"/>
        <v>0</v>
      </c>
      <c r="N46" s="42">
        <f t="shared" si="3"/>
        <v>0</v>
      </c>
      <c r="O46" s="42">
        <f t="shared" si="3"/>
        <v>0</v>
      </c>
      <c r="P46" s="42">
        <f t="shared" si="3"/>
        <v>0</v>
      </c>
      <c r="Q46" s="42">
        <f t="shared" si="3"/>
        <v>0</v>
      </c>
      <c r="S46" s="27">
        <f>IFERROR(AVERAGEIFS('USMCA Imports'!$L$4:$L$63,'USMCA Imports'!$B$4:$B$63,'Full Imports'!B46,'USMCA Imports'!$C$4:$C$63,'Full Imports'!C46),0)</f>
        <v>13429292</v>
      </c>
      <c r="T46" s="197">
        <f t="shared" si="2"/>
        <v>0.85555469866185829</v>
      </c>
      <c r="AF46" s="223" t="s">
        <v>3626</v>
      </c>
      <c r="AG46" s="223" t="s">
        <v>3632</v>
      </c>
      <c r="AH46" s="116">
        <v>2025</v>
      </c>
      <c r="AI46" s="116">
        <v>6</v>
      </c>
      <c r="AJ46" s="223" t="s">
        <v>3633</v>
      </c>
      <c r="AK46" s="223" t="s">
        <v>34</v>
      </c>
      <c r="AL46" s="60">
        <v>681445712</v>
      </c>
      <c r="AM46" s="60"/>
    </row>
    <row r="47" spans="1:39">
      <c r="A47" s="196" t="s">
        <v>3626</v>
      </c>
      <c r="B47" s="196" t="s">
        <v>35</v>
      </c>
      <c r="C47" s="196" t="s">
        <v>3648</v>
      </c>
      <c r="D47" s="196" t="s">
        <v>3649</v>
      </c>
      <c r="E47" s="195">
        <v>2025</v>
      </c>
      <c r="F47" s="42">
        <f t="shared" si="3"/>
        <v>230090100</v>
      </c>
      <c r="G47" s="42">
        <f t="shared" si="3"/>
        <v>251933077</v>
      </c>
      <c r="H47" s="42">
        <f t="shared" si="3"/>
        <v>271205198</v>
      </c>
      <c r="I47" s="42">
        <f t="shared" si="3"/>
        <v>242768683</v>
      </c>
      <c r="J47" s="42">
        <f t="shared" si="3"/>
        <v>279297614</v>
      </c>
      <c r="K47" s="42">
        <f t="shared" si="3"/>
        <v>253762344</v>
      </c>
      <c r="L47" s="42">
        <f t="shared" si="3"/>
        <v>0</v>
      </c>
      <c r="M47" s="42">
        <f t="shared" si="3"/>
        <v>0</v>
      </c>
      <c r="N47" s="42">
        <f t="shared" si="3"/>
        <v>0</v>
      </c>
      <c r="O47" s="42">
        <f t="shared" si="3"/>
        <v>0</v>
      </c>
      <c r="P47" s="42">
        <f t="shared" si="3"/>
        <v>0</v>
      </c>
      <c r="Q47" s="42">
        <f t="shared" si="3"/>
        <v>0</v>
      </c>
      <c r="S47" s="27">
        <f>IFERROR(AVERAGEIFS('USMCA Imports'!$L$4:$L$63,'USMCA Imports'!$B$4:$B$63,'Full Imports'!B47,'USMCA Imports'!$C$4:$C$63,'Full Imports'!C47),0)</f>
        <v>8412644</v>
      </c>
      <c r="T47" s="197">
        <f t="shared" si="2"/>
        <v>0.96684833585868835</v>
      </c>
      <c r="AF47" s="223" t="s">
        <v>3626</v>
      </c>
      <c r="AG47" s="223" t="s">
        <v>3632</v>
      </c>
      <c r="AH47" s="116">
        <v>2025</v>
      </c>
      <c r="AI47" s="116">
        <v>1</v>
      </c>
      <c r="AJ47" s="223" t="s">
        <v>3633</v>
      </c>
      <c r="AK47" s="223" t="s">
        <v>35</v>
      </c>
      <c r="AL47" s="60">
        <v>47619151</v>
      </c>
      <c r="AM47" s="60"/>
    </row>
    <row r="48" spans="1:39">
      <c r="A48" s="196" t="s">
        <v>3626</v>
      </c>
      <c r="B48" s="196" t="s">
        <v>35</v>
      </c>
      <c r="C48" s="196" t="s">
        <v>3650</v>
      </c>
      <c r="D48" s="196" t="s">
        <v>3651</v>
      </c>
      <c r="E48" s="195">
        <v>2025</v>
      </c>
      <c r="F48" s="42">
        <f t="shared" si="3"/>
        <v>137443220</v>
      </c>
      <c r="G48" s="42">
        <f t="shared" si="3"/>
        <v>171757066</v>
      </c>
      <c r="H48" s="42">
        <f t="shared" si="3"/>
        <v>186170633</v>
      </c>
      <c r="I48" s="42">
        <f t="shared" si="3"/>
        <v>149769856</v>
      </c>
      <c r="J48" s="42">
        <f t="shared" si="3"/>
        <v>181455720</v>
      </c>
      <c r="K48" s="42">
        <f t="shared" si="3"/>
        <v>168905483</v>
      </c>
      <c r="L48" s="42">
        <f t="shared" si="3"/>
        <v>0</v>
      </c>
      <c r="M48" s="42">
        <f t="shared" si="3"/>
        <v>0</v>
      </c>
      <c r="N48" s="42">
        <f t="shared" si="3"/>
        <v>0</v>
      </c>
      <c r="O48" s="42">
        <f t="shared" si="3"/>
        <v>0</v>
      </c>
      <c r="P48" s="42">
        <f t="shared" si="3"/>
        <v>0</v>
      </c>
      <c r="Q48" s="42">
        <f t="shared" si="3"/>
        <v>0</v>
      </c>
      <c r="S48" s="27">
        <f>IFERROR(AVERAGEIFS('USMCA Imports'!$L$4:$L$63,'USMCA Imports'!$B$4:$B$63,'Full Imports'!B48,'USMCA Imports'!$C$4:$C$63,'Full Imports'!C48),0)</f>
        <v>2611689</v>
      </c>
      <c r="T48" s="197">
        <f t="shared" si="2"/>
        <v>0.98453757122851959</v>
      </c>
      <c r="AF48" s="223" t="s">
        <v>3626</v>
      </c>
      <c r="AG48" s="223" t="s">
        <v>3632</v>
      </c>
      <c r="AH48" s="116">
        <v>2025</v>
      </c>
      <c r="AI48" s="116">
        <v>2</v>
      </c>
      <c r="AJ48" s="223" t="s">
        <v>3633</v>
      </c>
      <c r="AK48" s="223" t="s">
        <v>35</v>
      </c>
      <c r="AL48" s="60">
        <v>36377391</v>
      </c>
      <c r="AM48" s="60"/>
    </row>
    <row r="49" spans="1:39">
      <c r="A49" s="196" t="s">
        <v>3626</v>
      </c>
      <c r="B49" s="196" t="s">
        <v>35</v>
      </c>
      <c r="C49" s="196" t="s">
        <v>3652</v>
      </c>
      <c r="D49" s="196" t="s">
        <v>3653</v>
      </c>
      <c r="E49" s="195">
        <v>2025</v>
      </c>
      <c r="F49" s="42">
        <f t="shared" si="3"/>
        <v>63363676</v>
      </c>
      <c r="G49" s="42">
        <f t="shared" si="3"/>
        <v>66703868</v>
      </c>
      <c r="H49" s="42">
        <f t="shared" si="3"/>
        <v>70676187</v>
      </c>
      <c r="I49" s="42">
        <f t="shared" si="3"/>
        <v>65029297</v>
      </c>
      <c r="J49" s="42">
        <f t="shared" si="3"/>
        <v>68369281</v>
      </c>
      <c r="K49" s="42">
        <f t="shared" si="3"/>
        <v>66061444</v>
      </c>
      <c r="L49" s="42">
        <f t="shared" si="3"/>
        <v>0</v>
      </c>
      <c r="M49" s="42">
        <f t="shared" si="3"/>
        <v>0</v>
      </c>
      <c r="N49" s="42">
        <f t="shared" si="3"/>
        <v>0</v>
      </c>
      <c r="O49" s="42">
        <f t="shared" si="3"/>
        <v>0</v>
      </c>
      <c r="P49" s="42">
        <f t="shared" si="3"/>
        <v>0</v>
      </c>
      <c r="Q49" s="42">
        <f t="shared" si="3"/>
        <v>0</v>
      </c>
      <c r="S49" s="27">
        <f>IFERROR(AVERAGEIFS('USMCA Imports'!$L$4:$L$63,'USMCA Imports'!$B$4:$B$63,'Full Imports'!B49,'USMCA Imports'!$C$4:$C$63,'Full Imports'!C49),0)</f>
        <v>897159</v>
      </c>
      <c r="T49" s="197">
        <f t="shared" si="2"/>
        <v>0.98641932501505725</v>
      </c>
      <c r="AF49" s="223" t="s">
        <v>3626</v>
      </c>
      <c r="AG49" s="223" t="s">
        <v>3632</v>
      </c>
      <c r="AH49" s="116">
        <v>2025</v>
      </c>
      <c r="AI49" s="116">
        <v>3</v>
      </c>
      <c r="AJ49" s="223" t="s">
        <v>3633</v>
      </c>
      <c r="AK49" s="223" t="s">
        <v>35</v>
      </c>
      <c r="AL49" s="60">
        <v>37257598</v>
      </c>
      <c r="AM49" s="60"/>
    </row>
    <row r="50" spans="1:39">
      <c r="A50" s="196" t="s">
        <v>3626</v>
      </c>
      <c r="B50" s="196" t="s">
        <v>35</v>
      </c>
      <c r="C50" s="196" t="s">
        <v>3654</v>
      </c>
      <c r="D50" s="196" t="s">
        <v>3655</v>
      </c>
      <c r="E50" s="195">
        <v>2025</v>
      </c>
      <c r="F50" s="42">
        <f t="shared" si="3"/>
        <v>174472396</v>
      </c>
      <c r="G50" s="42">
        <f t="shared" si="3"/>
        <v>165967550</v>
      </c>
      <c r="H50" s="42">
        <f t="shared" si="3"/>
        <v>178416285</v>
      </c>
      <c r="I50" s="42">
        <f t="shared" si="3"/>
        <v>151952937</v>
      </c>
      <c r="J50" s="42">
        <f t="shared" si="3"/>
        <v>172028118</v>
      </c>
      <c r="K50" s="42">
        <f t="shared" si="3"/>
        <v>166109368</v>
      </c>
      <c r="L50" s="42">
        <f t="shared" si="3"/>
        <v>0</v>
      </c>
      <c r="M50" s="42">
        <f t="shared" si="3"/>
        <v>0</v>
      </c>
      <c r="N50" s="42">
        <f t="shared" si="3"/>
        <v>0</v>
      </c>
      <c r="O50" s="42">
        <f t="shared" si="3"/>
        <v>0</v>
      </c>
      <c r="P50" s="42">
        <f t="shared" si="3"/>
        <v>0</v>
      </c>
      <c r="Q50" s="42">
        <f t="shared" si="3"/>
        <v>0</v>
      </c>
      <c r="S50" s="27">
        <f>IFERROR(AVERAGEIFS('USMCA Imports'!$L$4:$L$63,'USMCA Imports'!$B$4:$B$63,'Full Imports'!B50,'USMCA Imports'!$C$4:$C$63,'Full Imports'!C50),0)</f>
        <v>17470757</v>
      </c>
      <c r="T50" s="197">
        <f t="shared" si="2"/>
        <v>0.8948237705654265</v>
      </c>
      <c r="AF50" s="223" t="s">
        <v>3626</v>
      </c>
      <c r="AG50" s="223" t="s">
        <v>3632</v>
      </c>
      <c r="AH50" s="116">
        <v>2025</v>
      </c>
      <c r="AI50" s="116">
        <v>4</v>
      </c>
      <c r="AJ50" s="223" t="s">
        <v>3633</v>
      </c>
      <c r="AK50" s="223" t="s">
        <v>35</v>
      </c>
      <c r="AL50" s="60">
        <v>28864001</v>
      </c>
      <c r="AM50" s="60"/>
    </row>
    <row r="51" spans="1:39">
      <c r="A51" s="196" t="s">
        <v>3626</v>
      </c>
      <c r="B51" s="196" t="s">
        <v>35</v>
      </c>
      <c r="C51" s="196" t="s">
        <v>3656</v>
      </c>
      <c r="D51" s="196" t="s">
        <v>3657</v>
      </c>
      <c r="E51" s="195">
        <v>2025</v>
      </c>
      <c r="F51" s="42">
        <f t="shared" si="3"/>
        <v>50346053</v>
      </c>
      <c r="G51" s="42">
        <f t="shared" si="3"/>
        <v>42844341</v>
      </c>
      <c r="H51" s="42">
        <f t="shared" si="3"/>
        <v>51828176</v>
      </c>
      <c r="I51" s="42">
        <f t="shared" si="3"/>
        <v>41574913</v>
      </c>
      <c r="J51" s="42">
        <f t="shared" si="3"/>
        <v>44872221</v>
      </c>
      <c r="K51" s="42">
        <f t="shared" si="3"/>
        <v>42146931</v>
      </c>
      <c r="L51" s="42">
        <f t="shared" si="3"/>
        <v>0</v>
      </c>
      <c r="M51" s="42">
        <f t="shared" si="3"/>
        <v>0</v>
      </c>
      <c r="N51" s="42">
        <f t="shared" si="3"/>
        <v>0</v>
      </c>
      <c r="O51" s="42">
        <f t="shared" si="3"/>
        <v>0</v>
      </c>
      <c r="P51" s="42">
        <f t="shared" si="3"/>
        <v>0</v>
      </c>
      <c r="Q51" s="42">
        <f t="shared" si="3"/>
        <v>0</v>
      </c>
      <c r="S51" s="27">
        <f>IFERROR(AVERAGEIFS('USMCA Imports'!$L$4:$L$63,'USMCA Imports'!$B$4:$B$63,'Full Imports'!B51,'USMCA Imports'!$C$4:$C$63,'Full Imports'!C51),0)</f>
        <v>2494239</v>
      </c>
      <c r="T51" s="197">
        <f t="shared" si="2"/>
        <v>0.94082038855925243</v>
      </c>
      <c r="AF51" s="223" t="s">
        <v>3626</v>
      </c>
      <c r="AG51" s="223" t="s">
        <v>3632</v>
      </c>
      <c r="AH51" s="116">
        <v>2025</v>
      </c>
      <c r="AI51" s="116">
        <v>5</v>
      </c>
      <c r="AJ51" s="223" t="s">
        <v>3633</v>
      </c>
      <c r="AK51" s="223" t="s">
        <v>35</v>
      </c>
      <c r="AL51" s="60">
        <v>33994119</v>
      </c>
      <c r="AM51" s="60"/>
    </row>
    <row r="52" spans="1:39">
      <c r="A52" s="196" t="s">
        <v>3626</v>
      </c>
      <c r="B52" s="196" t="s">
        <v>35</v>
      </c>
      <c r="C52" s="196" t="s">
        <v>3658</v>
      </c>
      <c r="D52" s="196" t="s">
        <v>3659</v>
      </c>
      <c r="E52" s="195">
        <v>2025</v>
      </c>
      <c r="F52" s="42">
        <f t="shared" si="3"/>
        <v>380617061</v>
      </c>
      <c r="G52" s="42">
        <f t="shared" si="3"/>
        <v>201677079</v>
      </c>
      <c r="H52" s="42">
        <f t="shared" si="3"/>
        <v>188437840</v>
      </c>
      <c r="I52" s="42">
        <f t="shared" si="3"/>
        <v>191032666</v>
      </c>
      <c r="J52" s="42">
        <f t="shared" si="3"/>
        <v>150036900</v>
      </c>
      <c r="K52" s="42">
        <f t="shared" si="3"/>
        <v>145769739</v>
      </c>
      <c r="L52" s="42">
        <f t="shared" si="3"/>
        <v>0</v>
      </c>
      <c r="M52" s="42">
        <f t="shared" si="3"/>
        <v>0</v>
      </c>
      <c r="N52" s="42">
        <f t="shared" si="3"/>
        <v>0</v>
      </c>
      <c r="O52" s="42">
        <f t="shared" si="3"/>
        <v>0</v>
      </c>
      <c r="P52" s="42">
        <f t="shared" si="3"/>
        <v>0</v>
      </c>
      <c r="Q52" s="42">
        <f t="shared" si="3"/>
        <v>0</v>
      </c>
      <c r="S52" s="27">
        <f>IFERROR(AVERAGEIFS('USMCA Imports'!$L$4:$L$63,'USMCA Imports'!$B$4:$B$63,'Full Imports'!B52,'USMCA Imports'!$C$4:$C$63,'Full Imports'!C52),0)</f>
        <v>39672085</v>
      </c>
      <c r="T52" s="197">
        <f t="shared" si="2"/>
        <v>0.72784416524200535</v>
      </c>
      <c r="AF52" s="223" t="s">
        <v>3626</v>
      </c>
      <c r="AG52" s="223" t="s">
        <v>3632</v>
      </c>
      <c r="AH52" s="116">
        <v>2025</v>
      </c>
      <c r="AI52" s="116">
        <v>6</v>
      </c>
      <c r="AJ52" s="223" t="s">
        <v>3633</v>
      </c>
      <c r="AK52" s="223" t="s">
        <v>35</v>
      </c>
      <c r="AL52" s="60">
        <v>31291175</v>
      </c>
      <c r="AM52" s="60"/>
    </row>
    <row r="53" spans="1:39">
      <c r="A53" s="196" t="s">
        <v>3626</v>
      </c>
      <c r="B53" s="196" t="s">
        <v>35</v>
      </c>
      <c r="C53" s="196" t="s">
        <v>3660</v>
      </c>
      <c r="D53" s="196" t="s">
        <v>3661</v>
      </c>
      <c r="E53" s="195">
        <v>2025</v>
      </c>
      <c r="F53" s="42">
        <f t="shared" si="3"/>
        <v>745063122</v>
      </c>
      <c r="G53" s="42">
        <f t="shared" si="3"/>
        <v>678296735</v>
      </c>
      <c r="H53" s="42">
        <f t="shared" si="3"/>
        <v>755216930</v>
      </c>
      <c r="I53" s="42">
        <f t="shared" si="3"/>
        <v>675085248</v>
      </c>
      <c r="J53" s="42">
        <f t="shared" si="3"/>
        <v>684166999</v>
      </c>
      <c r="K53" s="42">
        <f t="shared" si="3"/>
        <v>679502038</v>
      </c>
      <c r="L53" s="42">
        <f t="shared" si="3"/>
        <v>0</v>
      </c>
      <c r="M53" s="42">
        <f t="shared" si="3"/>
        <v>0</v>
      </c>
      <c r="N53" s="42">
        <f t="shared" si="3"/>
        <v>0</v>
      </c>
      <c r="O53" s="42">
        <f t="shared" si="3"/>
        <v>0</v>
      </c>
      <c r="P53" s="42">
        <f t="shared" si="3"/>
        <v>0</v>
      </c>
      <c r="Q53" s="42">
        <f t="shared" si="3"/>
        <v>0</v>
      </c>
      <c r="S53" s="27">
        <f>IFERROR(AVERAGEIFS('USMCA Imports'!$L$4:$L$63,'USMCA Imports'!$B$4:$B$63,'Full Imports'!B53,'USMCA Imports'!$C$4:$C$63,'Full Imports'!C53),0)</f>
        <v>31952570</v>
      </c>
      <c r="T53" s="197">
        <f t="shared" si="2"/>
        <v>0.95297649129346684</v>
      </c>
      <c r="AF53" s="223" t="s">
        <v>3626</v>
      </c>
      <c r="AG53" s="223" t="s">
        <v>3634</v>
      </c>
      <c r="AH53" s="116">
        <v>2025</v>
      </c>
      <c r="AI53" s="116">
        <v>1</v>
      </c>
      <c r="AJ53" s="223" t="s">
        <v>3635</v>
      </c>
      <c r="AK53" s="223" t="s">
        <v>34</v>
      </c>
      <c r="AL53" s="60">
        <v>4029900</v>
      </c>
      <c r="AM53" s="60"/>
    </row>
    <row r="54" spans="1:39">
      <c r="A54" s="196" t="s">
        <v>3626</v>
      </c>
      <c r="B54" s="196" t="s">
        <v>35</v>
      </c>
      <c r="C54" s="196" t="s">
        <v>3662</v>
      </c>
      <c r="D54" s="196" t="s">
        <v>3663</v>
      </c>
      <c r="E54" s="195">
        <v>2025</v>
      </c>
      <c r="F54" s="42">
        <f t="shared" si="3"/>
        <v>791334906</v>
      </c>
      <c r="G54" s="42">
        <f t="shared" si="3"/>
        <v>791315861</v>
      </c>
      <c r="H54" s="42">
        <f t="shared" si="3"/>
        <v>871758686</v>
      </c>
      <c r="I54" s="42">
        <f t="shared" si="3"/>
        <v>803533803</v>
      </c>
      <c r="J54" s="42">
        <f t="shared" si="3"/>
        <v>845746349</v>
      </c>
      <c r="K54" s="42">
        <f t="shared" si="3"/>
        <v>821800312</v>
      </c>
      <c r="L54" s="42">
        <f t="shared" si="3"/>
        <v>0</v>
      </c>
      <c r="M54" s="42">
        <f t="shared" si="3"/>
        <v>0</v>
      </c>
      <c r="N54" s="42">
        <f t="shared" si="3"/>
        <v>0</v>
      </c>
      <c r="O54" s="42">
        <f t="shared" si="3"/>
        <v>0</v>
      </c>
      <c r="P54" s="42">
        <f t="shared" si="3"/>
        <v>0</v>
      </c>
      <c r="Q54" s="42">
        <f t="shared" si="3"/>
        <v>0</v>
      </c>
      <c r="S54" s="27">
        <f>IFERROR(AVERAGEIFS('USMCA Imports'!$L$4:$L$63,'USMCA Imports'!$B$4:$B$63,'Full Imports'!B54,'USMCA Imports'!$C$4:$C$63,'Full Imports'!C54),0)</f>
        <v>52191926</v>
      </c>
      <c r="T54" s="197">
        <f t="shared" si="2"/>
        <v>0.93649074448148906</v>
      </c>
      <c r="AF54" s="223" t="s">
        <v>3626</v>
      </c>
      <c r="AG54" s="223" t="s">
        <v>3634</v>
      </c>
      <c r="AH54" s="116">
        <v>2025</v>
      </c>
      <c r="AI54" s="116">
        <v>2</v>
      </c>
      <c r="AJ54" s="223" t="s">
        <v>3635</v>
      </c>
      <c r="AK54" s="223" t="s">
        <v>34</v>
      </c>
      <c r="AL54" s="60">
        <v>3951038</v>
      </c>
      <c r="AM54" s="60"/>
    </row>
    <row r="55" spans="1:39">
      <c r="A55" s="196" t="s">
        <v>3626</v>
      </c>
      <c r="B55" s="196" t="s">
        <v>35</v>
      </c>
      <c r="C55" s="196" t="s">
        <v>3664</v>
      </c>
      <c r="D55" s="196" t="s">
        <v>3665</v>
      </c>
      <c r="E55" s="195">
        <v>2025</v>
      </c>
      <c r="F55" s="42">
        <f t="shared" si="3"/>
        <v>374022323</v>
      </c>
      <c r="G55" s="42">
        <f t="shared" si="3"/>
        <v>369358056</v>
      </c>
      <c r="H55" s="42">
        <f t="shared" si="3"/>
        <v>400808478</v>
      </c>
      <c r="I55" s="42">
        <f t="shared" si="3"/>
        <v>378155702</v>
      </c>
      <c r="J55" s="42">
        <f t="shared" si="3"/>
        <v>376052512</v>
      </c>
      <c r="K55" s="42">
        <f t="shared" si="3"/>
        <v>372008646</v>
      </c>
      <c r="L55" s="42">
        <f t="shared" si="3"/>
        <v>0</v>
      </c>
      <c r="M55" s="42">
        <f t="shared" si="3"/>
        <v>0</v>
      </c>
      <c r="N55" s="42">
        <f t="shared" si="3"/>
        <v>0</v>
      </c>
      <c r="O55" s="42">
        <f t="shared" si="3"/>
        <v>0</v>
      </c>
      <c r="P55" s="42">
        <f t="shared" si="3"/>
        <v>0</v>
      </c>
      <c r="Q55" s="42">
        <f t="shared" si="3"/>
        <v>0</v>
      </c>
      <c r="S55" s="27">
        <f>IFERROR(AVERAGEIFS('USMCA Imports'!$L$4:$L$63,'USMCA Imports'!$B$4:$B$63,'Full Imports'!B55,'USMCA Imports'!$C$4:$C$63,'Full Imports'!C55),0)</f>
        <v>11983704</v>
      </c>
      <c r="T55" s="197">
        <f t="shared" si="2"/>
        <v>0.96778649063979016</v>
      </c>
      <c r="AF55" s="223" t="s">
        <v>3626</v>
      </c>
      <c r="AG55" s="223" t="s">
        <v>3634</v>
      </c>
      <c r="AH55" s="116">
        <v>2025</v>
      </c>
      <c r="AI55" s="116">
        <v>3</v>
      </c>
      <c r="AJ55" s="223" t="s">
        <v>3635</v>
      </c>
      <c r="AK55" s="223" t="s">
        <v>34</v>
      </c>
      <c r="AL55" s="60">
        <v>3805740</v>
      </c>
      <c r="AM55" s="60"/>
    </row>
    <row r="56" spans="1:39">
      <c r="A56" s="196" t="s">
        <v>3626</v>
      </c>
      <c r="B56" s="196" t="s">
        <v>35</v>
      </c>
      <c r="C56" s="196" t="s">
        <v>3666</v>
      </c>
      <c r="D56" s="196" t="s">
        <v>3667</v>
      </c>
      <c r="E56" s="195">
        <v>2025</v>
      </c>
      <c r="F56" s="42">
        <f t="shared" si="3"/>
        <v>1472336250</v>
      </c>
      <c r="G56" s="42">
        <f t="shared" si="3"/>
        <v>1031940250</v>
      </c>
      <c r="H56" s="42">
        <f t="shared" si="3"/>
        <v>996689669</v>
      </c>
      <c r="I56" s="42">
        <f t="shared" si="3"/>
        <v>671498753</v>
      </c>
      <c r="J56" s="42">
        <f t="shared" si="3"/>
        <v>872884499</v>
      </c>
      <c r="K56" s="42">
        <f t="shared" si="3"/>
        <v>836459300</v>
      </c>
      <c r="L56" s="42">
        <f t="shared" si="3"/>
        <v>0</v>
      </c>
      <c r="M56" s="42">
        <f t="shared" si="3"/>
        <v>0</v>
      </c>
      <c r="N56" s="42">
        <f t="shared" si="3"/>
        <v>0</v>
      </c>
      <c r="O56" s="42">
        <f t="shared" si="3"/>
        <v>0</v>
      </c>
      <c r="P56" s="42">
        <f t="shared" si="3"/>
        <v>0</v>
      </c>
      <c r="Q56" s="42">
        <f t="shared" si="3"/>
        <v>0</v>
      </c>
      <c r="S56" s="27">
        <f>IFERROR(AVERAGEIFS('USMCA Imports'!$L$4:$L$63,'USMCA Imports'!$B$4:$B$63,'Full Imports'!B56,'USMCA Imports'!$C$4:$C$63,'Full Imports'!C56),0)</f>
        <v>135657728</v>
      </c>
      <c r="T56" s="197">
        <f t="shared" si="2"/>
        <v>0.83781909293135959</v>
      </c>
      <c r="AF56" s="223" t="s">
        <v>3626</v>
      </c>
      <c r="AG56" s="223" t="s">
        <v>3634</v>
      </c>
      <c r="AH56" s="116">
        <v>2025</v>
      </c>
      <c r="AI56" s="116">
        <v>4</v>
      </c>
      <c r="AJ56" s="223" t="s">
        <v>3635</v>
      </c>
      <c r="AK56" s="223" t="s">
        <v>34</v>
      </c>
      <c r="AL56" s="60">
        <v>2747580</v>
      </c>
      <c r="AM56" s="60"/>
    </row>
    <row r="57" spans="1:39">
      <c r="A57" s="196" t="s">
        <v>3626</v>
      </c>
      <c r="B57" s="196" t="s">
        <v>35</v>
      </c>
      <c r="C57" s="196" t="s">
        <v>3668</v>
      </c>
      <c r="D57" s="196" t="s">
        <v>3669</v>
      </c>
      <c r="E57" s="195">
        <v>2025</v>
      </c>
      <c r="F57" s="42">
        <f t="shared" si="3"/>
        <v>1151087498</v>
      </c>
      <c r="G57" s="42">
        <f t="shared" si="3"/>
        <v>1123177241</v>
      </c>
      <c r="H57" s="42">
        <f t="shared" si="3"/>
        <v>1193442673</v>
      </c>
      <c r="I57" s="42">
        <f t="shared" si="3"/>
        <v>1108787696</v>
      </c>
      <c r="J57" s="42">
        <f t="shared" si="3"/>
        <v>1123596610</v>
      </c>
      <c r="K57" s="42">
        <f t="shared" si="3"/>
        <v>1081361091</v>
      </c>
      <c r="L57" s="42">
        <f t="shared" si="3"/>
        <v>0</v>
      </c>
      <c r="M57" s="42">
        <f t="shared" si="3"/>
        <v>0</v>
      </c>
      <c r="N57" s="42">
        <f t="shared" si="3"/>
        <v>0</v>
      </c>
      <c r="O57" s="42">
        <f t="shared" si="3"/>
        <v>0</v>
      </c>
      <c r="P57" s="42">
        <f t="shared" si="3"/>
        <v>0</v>
      </c>
      <c r="Q57" s="42">
        <f t="shared" si="3"/>
        <v>0</v>
      </c>
      <c r="S57" s="27">
        <f>IFERROR(AVERAGEIFS('USMCA Imports'!$L$4:$L$63,'USMCA Imports'!$B$4:$B$63,'Full Imports'!B57,'USMCA Imports'!$C$4:$C$63,'Full Imports'!C57),0)</f>
        <v>345732260</v>
      </c>
      <c r="T57" s="197">
        <f t="shared" si="2"/>
        <v>0.68028046979175061</v>
      </c>
      <c r="AF57" s="223" t="s">
        <v>3626</v>
      </c>
      <c r="AG57" s="223" t="s">
        <v>3634</v>
      </c>
      <c r="AH57" s="116">
        <v>2025</v>
      </c>
      <c r="AI57" s="116">
        <v>5</v>
      </c>
      <c r="AJ57" s="223" t="s">
        <v>3635</v>
      </c>
      <c r="AK57" s="223" t="s">
        <v>34</v>
      </c>
      <c r="AL57" s="60">
        <v>3054987</v>
      </c>
      <c r="AM57" s="60"/>
    </row>
    <row r="58" spans="1:39">
      <c r="A58" s="196" t="s">
        <v>3626</v>
      </c>
      <c r="B58" s="196" t="s">
        <v>35</v>
      </c>
      <c r="C58" s="196" t="s">
        <v>3670</v>
      </c>
      <c r="D58" s="196" t="s">
        <v>3671</v>
      </c>
      <c r="E58" s="195">
        <v>2025</v>
      </c>
      <c r="F58" s="42">
        <f t="shared" si="3"/>
        <v>2534979480</v>
      </c>
      <c r="G58" s="42">
        <f t="shared" si="3"/>
        <v>2734394395</v>
      </c>
      <c r="H58" s="42">
        <f t="shared" si="3"/>
        <v>3057146206</v>
      </c>
      <c r="I58" s="42">
        <f t="shared" si="3"/>
        <v>2933138161</v>
      </c>
      <c r="J58" s="42">
        <f t="shared" si="3"/>
        <v>3099811177</v>
      </c>
      <c r="K58" s="42">
        <f t="shared" si="3"/>
        <v>2985224995</v>
      </c>
      <c r="L58" s="42">
        <f t="shared" si="3"/>
        <v>0</v>
      </c>
      <c r="M58" s="42">
        <f t="shared" si="3"/>
        <v>0</v>
      </c>
      <c r="N58" s="42">
        <f t="shared" si="3"/>
        <v>0</v>
      </c>
      <c r="O58" s="42">
        <f t="shared" si="3"/>
        <v>0</v>
      </c>
      <c r="P58" s="42">
        <f t="shared" si="3"/>
        <v>0</v>
      </c>
      <c r="Q58" s="42">
        <f t="shared" si="3"/>
        <v>0</v>
      </c>
      <c r="S58" s="27">
        <f>IFERROR(AVERAGEIFS('USMCA Imports'!$L$4:$L$63,'USMCA Imports'!$B$4:$B$63,'Full Imports'!B58,'USMCA Imports'!$C$4:$C$63,'Full Imports'!C58),0)</f>
        <v>808386463</v>
      </c>
      <c r="T58" s="197">
        <f t="shared" si="2"/>
        <v>0.729204175781062</v>
      </c>
      <c r="AF58" s="223" t="s">
        <v>3626</v>
      </c>
      <c r="AG58" s="223" t="s">
        <v>3634</v>
      </c>
      <c r="AH58" s="116">
        <v>2025</v>
      </c>
      <c r="AI58" s="116">
        <v>6</v>
      </c>
      <c r="AJ58" s="223" t="s">
        <v>3635</v>
      </c>
      <c r="AK58" s="223" t="s">
        <v>34</v>
      </c>
      <c r="AL58" s="60">
        <v>3916437</v>
      </c>
      <c r="AM58" s="60"/>
    </row>
    <row r="59" spans="1:39">
      <c r="A59" s="196" t="s">
        <v>3626</v>
      </c>
      <c r="B59" s="196" t="s">
        <v>35</v>
      </c>
      <c r="C59" s="196" t="s">
        <v>3672</v>
      </c>
      <c r="D59" s="196" t="s">
        <v>3673</v>
      </c>
      <c r="E59" s="195">
        <v>2025</v>
      </c>
      <c r="F59" s="42">
        <f t="shared" si="3"/>
        <v>9098773608</v>
      </c>
      <c r="G59" s="42">
        <f t="shared" si="3"/>
        <v>9233420197</v>
      </c>
      <c r="H59" s="42">
        <f t="shared" si="3"/>
        <v>11489686692</v>
      </c>
      <c r="I59" s="42">
        <f t="shared" ref="G59:Q67" si="4">SUMIFS($AL$5:$AL$383,$AI$5:$AI$383,I$3,$AG$5:$AG$383,$C59,$AK$5:$AK$383,$B59)</f>
        <v>10545930357</v>
      </c>
      <c r="J59" s="42">
        <f t="shared" si="4"/>
        <v>11563244429</v>
      </c>
      <c r="K59" s="42">
        <f t="shared" si="4"/>
        <v>11403505715</v>
      </c>
      <c r="L59" s="42">
        <f t="shared" si="4"/>
        <v>0</v>
      </c>
      <c r="M59" s="42">
        <f t="shared" si="4"/>
        <v>0</v>
      </c>
      <c r="N59" s="42">
        <f t="shared" si="4"/>
        <v>0</v>
      </c>
      <c r="O59" s="42">
        <f t="shared" si="4"/>
        <v>0</v>
      </c>
      <c r="P59" s="42">
        <f t="shared" si="4"/>
        <v>0</v>
      </c>
      <c r="Q59" s="42">
        <f t="shared" si="4"/>
        <v>0</v>
      </c>
      <c r="S59" s="27">
        <f>IFERROR(AVERAGEIFS('USMCA Imports'!$L$4:$L$63,'USMCA Imports'!$B$4:$B$63,'Full Imports'!B59,'USMCA Imports'!$C$4:$C$63,'Full Imports'!C59),0)</f>
        <v>486017633</v>
      </c>
      <c r="T59" s="197">
        <f t="shared" si="2"/>
        <v>0.95737998075796116</v>
      </c>
      <c r="AF59" s="223" t="s">
        <v>3626</v>
      </c>
      <c r="AG59" s="223" t="s">
        <v>3634</v>
      </c>
      <c r="AH59" s="116">
        <v>2025</v>
      </c>
      <c r="AI59" s="116">
        <v>5</v>
      </c>
      <c r="AJ59" s="223" t="s">
        <v>3635</v>
      </c>
      <c r="AK59" s="223" t="s">
        <v>35</v>
      </c>
      <c r="AL59" s="60">
        <v>5096</v>
      </c>
      <c r="AM59" s="60"/>
    </row>
    <row r="60" spans="1:39">
      <c r="A60" s="196" t="s">
        <v>3626</v>
      </c>
      <c r="B60" s="196" t="s">
        <v>35</v>
      </c>
      <c r="C60" s="196" t="s">
        <v>3674</v>
      </c>
      <c r="D60" s="196" t="s">
        <v>3675</v>
      </c>
      <c r="E60" s="195">
        <v>2025</v>
      </c>
      <c r="F60" s="42">
        <f t="shared" ref="F60:F67" si="5">SUMIFS($AL$5:$AL$383,$AI$5:$AI$383,F$3,$AG$5:$AG$383,$C60,$AK$5:$AK$383,$B60)</f>
        <v>3687914021</v>
      </c>
      <c r="G60" s="42">
        <f t="shared" si="4"/>
        <v>3711765343</v>
      </c>
      <c r="H60" s="42">
        <f t="shared" si="4"/>
        <v>4126341425</v>
      </c>
      <c r="I60" s="42">
        <f t="shared" si="4"/>
        <v>3997771761</v>
      </c>
      <c r="J60" s="42">
        <f t="shared" si="4"/>
        <v>4175405901</v>
      </c>
      <c r="K60" s="42">
        <f t="shared" si="4"/>
        <v>4164049714</v>
      </c>
      <c r="L60" s="42">
        <f t="shared" si="4"/>
        <v>0</v>
      </c>
      <c r="M60" s="42">
        <f t="shared" si="4"/>
        <v>0</v>
      </c>
      <c r="N60" s="42">
        <f t="shared" si="4"/>
        <v>0</v>
      </c>
      <c r="O60" s="42">
        <f t="shared" si="4"/>
        <v>0</v>
      </c>
      <c r="P60" s="42">
        <f t="shared" si="4"/>
        <v>0</v>
      </c>
      <c r="Q60" s="42">
        <f t="shared" si="4"/>
        <v>0</v>
      </c>
      <c r="S60" s="27">
        <f>IFERROR(AVERAGEIFS('USMCA Imports'!$L$4:$L$63,'USMCA Imports'!$B$4:$B$63,'Full Imports'!B60,'USMCA Imports'!$C$4:$C$63,'Full Imports'!C60),0)</f>
        <v>417827510</v>
      </c>
      <c r="T60" s="197">
        <f t="shared" si="2"/>
        <v>0.89965837617278743</v>
      </c>
      <c r="AF60" s="223" t="s">
        <v>3626</v>
      </c>
      <c r="AG60" s="223" t="s">
        <v>3636</v>
      </c>
      <c r="AH60" s="116">
        <v>2025</v>
      </c>
      <c r="AI60" s="116">
        <v>1</v>
      </c>
      <c r="AJ60" s="223" t="s">
        <v>3637</v>
      </c>
      <c r="AK60" s="223" t="s">
        <v>34</v>
      </c>
      <c r="AL60" s="60">
        <v>9703673523</v>
      </c>
      <c r="AM60" s="60"/>
    </row>
    <row r="61" spans="1:39">
      <c r="A61" s="196" t="s">
        <v>3626</v>
      </c>
      <c r="B61" s="196" t="s">
        <v>35</v>
      </c>
      <c r="C61" s="196" t="s">
        <v>3676</v>
      </c>
      <c r="D61" s="196" t="s">
        <v>3677</v>
      </c>
      <c r="E61" s="195">
        <v>2025</v>
      </c>
      <c r="F61" s="42">
        <f t="shared" si="5"/>
        <v>12644786937</v>
      </c>
      <c r="G61" s="42">
        <f t="shared" si="4"/>
        <v>12674010336</v>
      </c>
      <c r="H61" s="42">
        <f t="shared" si="4"/>
        <v>15305965276</v>
      </c>
      <c r="I61" s="42">
        <f t="shared" si="4"/>
        <v>12262905865</v>
      </c>
      <c r="J61" s="42">
        <f t="shared" si="4"/>
        <v>14075008115</v>
      </c>
      <c r="K61" s="42">
        <f t="shared" si="4"/>
        <v>13863265379</v>
      </c>
      <c r="L61" s="42">
        <f t="shared" si="4"/>
        <v>0</v>
      </c>
      <c r="M61" s="42">
        <f t="shared" si="4"/>
        <v>0</v>
      </c>
      <c r="N61" s="42">
        <f t="shared" si="4"/>
        <v>0</v>
      </c>
      <c r="O61" s="42">
        <f t="shared" si="4"/>
        <v>0</v>
      </c>
      <c r="P61" s="42">
        <f t="shared" si="4"/>
        <v>0</v>
      </c>
      <c r="Q61" s="42">
        <f t="shared" si="4"/>
        <v>0</v>
      </c>
      <c r="S61" s="27">
        <f>IFERROR(AVERAGEIFS('USMCA Imports'!$L$4:$L$63,'USMCA Imports'!$B$4:$B$63,'Full Imports'!B61,'USMCA Imports'!$C$4:$C$63,'Full Imports'!C61),0)</f>
        <v>3957980408</v>
      </c>
      <c r="T61" s="197">
        <f t="shared" si="2"/>
        <v>0.71449869134038746</v>
      </c>
      <c r="AF61" s="223" t="s">
        <v>3626</v>
      </c>
      <c r="AG61" s="223" t="s">
        <v>3636</v>
      </c>
      <c r="AH61" s="116">
        <v>2025</v>
      </c>
      <c r="AI61" s="116">
        <v>2</v>
      </c>
      <c r="AJ61" s="223" t="s">
        <v>3637</v>
      </c>
      <c r="AK61" s="223" t="s">
        <v>34</v>
      </c>
      <c r="AL61" s="60">
        <v>9230025664</v>
      </c>
      <c r="AM61" s="60"/>
    </row>
    <row r="62" spans="1:39">
      <c r="A62" s="196" t="s">
        <v>3626</v>
      </c>
      <c r="B62" s="196" t="s">
        <v>35</v>
      </c>
      <c r="C62" s="196" t="s">
        <v>3678</v>
      </c>
      <c r="D62" s="196" t="s">
        <v>3679</v>
      </c>
      <c r="E62" s="195">
        <v>2025</v>
      </c>
      <c r="F62" s="42">
        <f t="shared" si="5"/>
        <v>395086289</v>
      </c>
      <c r="G62" s="42">
        <f t="shared" si="4"/>
        <v>356059593</v>
      </c>
      <c r="H62" s="42">
        <f t="shared" si="4"/>
        <v>359647081</v>
      </c>
      <c r="I62" s="42">
        <f t="shared" si="4"/>
        <v>327930861</v>
      </c>
      <c r="J62" s="42">
        <f t="shared" si="4"/>
        <v>367384178</v>
      </c>
      <c r="K62" s="42">
        <f t="shared" si="4"/>
        <v>353464883</v>
      </c>
      <c r="L62" s="42">
        <f t="shared" si="4"/>
        <v>0</v>
      </c>
      <c r="M62" s="42">
        <f t="shared" si="4"/>
        <v>0</v>
      </c>
      <c r="N62" s="42">
        <f t="shared" si="4"/>
        <v>0</v>
      </c>
      <c r="O62" s="42">
        <f t="shared" si="4"/>
        <v>0</v>
      </c>
      <c r="P62" s="42">
        <f t="shared" si="4"/>
        <v>0</v>
      </c>
      <c r="Q62" s="42">
        <f t="shared" si="4"/>
        <v>0</v>
      </c>
      <c r="S62" s="27">
        <f>IFERROR(AVERAGEIFS('USMCA Imports'!$L$4:$L$63,'USMCA Imports'!$B$4:$B$63,'Full Imports'!B62,'USMCA Imports'!$C$4:$C$63,'Full Imports'!C62),0)</f>
        <v>59121600</v>
      </c>
      <c r="T62" s="197">
        <f t="shared" si="2"/>
        <v>0.83273699073522955</v>
      </c>
      <c r="AF62" s="223" t="s">
        <v>3626</v>
      </c>
      <c r="AG62" s="223" t="s">
        <v>3636</v>
      </c>
      <c r="AH62" s="116">
        <v>2025</v>
      </c>
      <c r="AI62" s="116">
        <v>3</v>
      </c>
      <c r="AJ62" s="223" t="s">
        <v>3637</v>
      </c>
      <c r="AK62" s="223" t="s">
        <v>34</v>
      </c>
      <c r="AL62" s="60">
        <v>8599927807</v>
      </c>
      <c r="AM62" s="60"/>
    </row>
    <row r="63" spans="1:39">
      <c r="A63" s="196" t="s">
        <v>3626</v>
      </c>
      <c r="B63" s="196" t="s">
        <v>35</v>
      </c>
      <c r="C63" s="196" t="s">
        <v>3680</v>
      </c>
      <c r="D63" s="196" t="s">
        <v>3681</v>
      </c>
      <c r="E63" s="195">
        <v>2025</v>
      </c>
      <c r="F63" s="42">
        <f t="shared" si="5"/>
        <v>1297446205</v>
      </c>
      <c r="G63" s="42">
        <f t="shared" si="4"/>
        <v>1335403919</v>
      </c>
      <c r="H63" s="42">
        <f t="shared" si="4"/>
        <v>1405559608</v>
      </c>
      <c r="I63" s="42">
        <f t="shared" si="4"/>
        <v>1367408890</v>
      </c>
      <c r="J63" s="42">
        <f t="shared" si="4"/>
        <v>1495552302</v>
      </c>
      <c r="K63" s="42">
        <f t="shared" si="4"/>
        <v>1399894408</v>
      </c>
      <c r="L63" s="42">
        <f t="shared" si="4"/>
        <v>0</v>
      </c>
      <c r="M63" s="42">
        <f t="shared" si="4"/>
        <v>0</v>
      </c>
      <c r="N63" s="42">
        <f t="shared" si="4"/>
        <v>0</v>
      </c>
      <c r="O63" s="42">
        <f t="shared" si="4"/>
        <v>0</v>
      </c>
      <c r="P63" s="42">
        <f t="shared" si="4"/>
        <v>0</v>
      </c>
      <c r="Q63" s="42">
        <f t="shared" si="4"/>
        <v>0</v>
      </c>
      <c r="S63" s="27">
        <f>IFERROR(AVERAGEIFS('USMCA Imports'!$L$4:$L$63,'USMCA Imports'!$B$4:$B$63,'Full Imports'!B63,'USMCA Imports'!$C$4:$C$63,'Full Imports'!C63),0)</f>
        <v>128770878</v>
      </c>
      <c r="T63" s="197">
        <f t="shared" si="2"/>
        <v>0.90801386357134439</v>
      </c>
      <c r="AF63" s="223" t="s">
        <v>3626</v>
      </c>
      <c r="AG63" s="223" t="s">
        <v>3636</v>
      </c>
      <c r="AH63" s="116">
        <v>2025</v>
      </c>
      <c r="AI63" s="116">
        <v>4</v>
      </c>
      <c r="AJ63" s="223" t="s">
        <v>3637</v>
      </c>
      <c r="AK63" s="223" t="s">
        <v>34</v>
      </c>
      <c r="AL63" s="60">
        <v>8205909751</v>
      </c>
      <c r="AM63" s="60"/>
    </row>
    <row r="64" spans="1:39">
      <c r="A64" s="196" t="s">
        <v>3626</v>
      </c>
      <c r="B64" s="196" t="s">
        <v>35</v>
      </c>
      <c r="C64" s="196" t="s">
        <v>3682</v>
      </c>
      <c r="D64" s="196" t="s">
        <v>3683</v>
      </c>
      <c r="E64" s="195">
        <v>2025</v>
      </c>
      <c r="F64" s="42">
        <f t="shared" si="5"/>
        <v>150073441</v>
      </c>
      <c r="G64" s="42">
        <f t="shared" si="4"/>
        <v>153900742</v>
      </c>
      <c r="H64" s="42">
        <f t="shared" si="4"/>
        <v>187894580</v>
      </c>
      <c r="I64" s="42">
        <f t="shared" si="4"/>
        <v>161984942</v>
      </c>
      <c r="J64" s="42">
        <f t="shared" si="4"/>
        <v>146477513</v>
      </c>
      <c r="K64" s="42">
        <f t="shared" si="4"/>
        <v>156815750</v>
      </c>
      <c r="L64" s="42">
        <f t="shared" si="4"/>
        <v>0</v>
      </c>
      <c r="M64" s="42">
        <f t="shared" si="4"/>
        <v>0</v>
      </c>
      <c r="N64" s="42">
        <f t="shared" si="4"/>
        <v>0</v>
      </c>
      <c r="O64" s="42">
        <f t="shared" si="4"/>
        <v>0</v>
      </c>
      <c r="P64" s="42">
        <f t="shared" si="4"/>
        <v>0</v>
      </c>
      <c r="Q64" s="42">
        <f t="shared" si="4"/>
        <v>0</v>
      </c>
      <c r="S64" s="27">
        <f>IFERROR(AVERAGEIFS('USMCA Imports'!$L$4:$L$63,'USMCA Imports'!$B$4:$B$63,'Full Imports'!B64,'USMCA Imports'!$C$4:$C$63,'Full Imports'!C64),0)</f>
        <v>1543866</v>
      </c>
      <c r="T64" s="197">
        <f t="shared" si="2"/>
        <v>0.99015490472098622</v>
      </c>
      <c r="AF64" s="223" t="s">
        <v>3626</v>
      </c>
      <c r="AG64" s="223" t="s">
        <v>3636</v>
      </c>
      <c r="AH64" s="116">
        <v>2025</v>
      </c>
      <c r="AI64" s="116">
        <v>5</v>
      </c>
      <c r="AJ64" s="223" t="s">
        <v>3637</v>
      </c>
      <c r="AK64" s="223" t="s">
        <v>34</v>
      </c>
      <c r="AL64" s="60">
        <v>7519956241</v>
      </c>
      <c r="AM64" s="60"/>
    </row>
    <row r="65" spans="1:39">
      <c r="A65" s="196" t="s">
        <v>3626</v>
      </c>
      <c r="B65" s="196" t="s">
        <v>35</v>
      </c>
      <c r="C65" s="196" t="s">
        <v>3684</v>
      </c>
      <c r="D65" s="196" t="s">
        <v>3685</v>
      </c>
      <c r="E65" s="195">
        <v>2025</v>
      </c>
      <c r="F65" s="42">
        <f t="shared" si="5"/>
        <v>31706804</v>
      </c>
      <c r="G65" s="42">
        <f t="shared" si="4"/>
        <v>28879857</v>
      </c>
      <c r="H65" s="42">
        <f t="shared" si="4"/>
        <v>30928450</v>
      </c>
      <c r="I65" s="42">
        <f t="shared" si="4"/>
        <v>12880705</v>
      </c>
      <c r="J65" s="42">
        <f t="shared" si="4"/>
        <v>8763526</v>
      </c>
      <c r="K65" s="42">
        <f t="shared" si="4"/>
        <v>8756572</v>
      </c>
      <c r="L65" s="42">
        <f t="shared" si="4"/>
        <v>0</v>
      </c>
      <c r="M65" s="42">
        <f t="shared" si="4"/>
        <v>0</v>
      </c>
      <c r="N65" s="42">
        <f t="shared" si="4"/>
        <v>0</v>
      </c>
      <c r="O65" s="42">
        <f t="shared" si="4"/>
        <v>0</v>
      </c>
      <c r="P65" s="42">
        <f t="shared" si="4"/>
        <v>0</v>
      </c>
      <c r="Q65" s="42">
        <f t="shared" si="4"/>
        <v>0</v>
      </c>
      <c r="S65" s="27">
        <f>IFERROR(AVERAGEIFS('USMCA Imports'!$L$4:$L$63,'USMCA Imports'!$B$4:$B$63,'Full Imports'!B65,'USMCA Imports'!$C$4:$C$63,'Full Imports'!C65),0)</f>
        <v>1152484</v>
      </c>
      <c r="T65" s="197">
        <f t="shared" si="2"/>
        <v>0.86838639595494671</v>
      </c>
      <c r="AF65" s="223" t="s">
        <v>3626</v>
      </c>
      <c r="AG65" s="223" t="s">
        <v>3636</v>
      </c>
      <c r="AH65" s="116">
        <v>2025</v>
      </c>
      <c r="AI65" s="116">
        <v>6</v>
      </c>
      <c r="AJ65" s="223" t="s">
        <v>3637</v>
      </c>
      <c r="AK65" s="223" t="s">
        <v>34</v>
      </c>
      <c r="AL65" s="60">
        <v>7002887045</v>
      </c>
      <c r="AM65" s="60"/>
    </row>
    <row r="66" spans="1:39">
      <c r="A66" s="196" t="s">
        <v>3626</v>
      </c>
      <c r="B66" s="196" t="s">
        <v>35</v>
      </c>
      <c r="C66" s="196" t="s">
        <v>3686</v>
      </c>
      <c r="D66" s="196" t="s">
        <v>3687</v>
      </c>
      <c r="E66" s="195">
        <v>2025</v>
      </c>
      <c r="F66" s="42">
        <f t="shared" si="5"/>
        <v>724566424</v>
      </c>
      <c r="G66" s="42">
        <f t="shared" si="4"/>
        <v>779634580</v>
      </c>
      <c r="H66" s="42">
        <f t="shared" si="4"/>
        <v>794785897</v>
      </c>
      <c r="I66" s="42">
        <f t="shared" si="4"/>
        <v>829371835</v>
      </c>
      <c r="J66" s="42">
        <f t="shared" si="4"/>
        <v>970992846</v>
      </c>
      <c r="K66" s="42">
        <f t="shared" si="4"/>
        <v>899941222</v>
      </c>
      <c r="L66" s="42">
        <f t="shared" si="4"/>
        <v>0</v>
      </c>
      <c r="M66" s="42">
        <f t="shared" si="4"/>
        <v>0</v>
      </c>
      <c r="N66" s="42">
        <f t="shared" si="4"/>
        <v>0</v>
      </c>
      <c r="O66" s="42">
        <f t="shared" si="4"/>
        <v>0</v>
      </c>
      <c r="P66" s="42">
        <f t="shared" si="4"/>
        <v>0</v>
      </c>
      <c r="Q66" s="42">
        <f t="shared" si="4"/>
        <v>0</v>
      </c>
      <c r="S66" s="27">
        <f>IFERROR(AVERAGEIFS('USMCA Imports'!$L$4:$L$63,'USMCA Imports'!$B$4:$B$63,'Full Imports'!B66,'USMCA Imports'!$C$4:$C$63,'Full Imports'!C66),0)</f>
        <v>38994700</v>
      </c>
      <c r="T66" s="197">
        <f t="shared" si="2"/>
        <v>0.95666972570348596</v>
      </c>
      <c r="AF66" s="223" t="s">
        <v>3626</v>
      </c>
      <c r="AG66" s="223" t="s">
        <v>3636</v>
      </c>
      <c r="AH66" s="116">
        <v>2025</v>
      </c>
      <c r="AI66" s="116">
        <v>1</v>
      </c>
      <c r="AJ66" s="223" t="s">
        <v>3637</v>
      </c>
      <c r="AK66" s="223" t="s">
        <v>35</v>
      </c>
      <c r="AL66" s="60">
        <v>974261480</v>
      </c>
      <c r="AM66" s="60"/>
    </row>
    <row r="67" spans="1:39">
      <c r="A67" s="196" t="s">
        <v>3626</v>
      </c>
      <c r="B67" s="196" t="s">
        <v>35</v>
      </c>
      <c r="C67" s="196" t="s">
        <v>3688</v>
      </c>
      <c r="D67" s="196" t="s">
        <v>3689</v>
      </c>
      <c r="E67" s="195">
        <v>2025</v>
      </c>
      <c r="F67" s="42">
        <f t="shared" si="5"/>
        <v>259848133</v>
      </c>
      <c r="G67" s="42">
        <f t="shared" si="4"/>
        <v>252117855</v>
      </c>
      <c r="H67" s="42">
        <f t="shared" si="4"/>
        <v>290161564</v>
      </c>
      <c r="I67" s="42">
        <f t="shared" si="4"/>
        <v>343783527</v>
      </c>
      <c r="J67" s="42">
        <f t="shared" si="4"/>
        <v>372961760</v>
      </c>
      <c r="K67" s="42">
        <f t="shared" si="4"/>
        <v>347714672</v>
      </c>
      <c r="L67" s="42">
        <f t="shared" si="4"/>
        <v>0</v>
      </c>
      <c r="M67" s="42">
        <f t="shared" si="4"/>
        <v>0</v>
      </c>
      <c r="N67" s="42">
        <f t="shared" si="4"/>
        <v>0</v>
      </c>
      <c r="O67" s="42">
        <f t="shared" si="4"/>
        <v>0</v>
      </c>
      <c r="P67" s="42">
        <f t="shared" si="4"/>
        <v>0</v>
      </c>
      <c r="Q67" s="42">
        <f t="shared" si="4"/>
        <v>0</v>
      </c>
      <c r="S67" s="27">
        <f>IFERROR(AVERAGEIFS('USMCA Imports'!$L$4:$L$63,'USMCA Imports'!$B$4:$B$63,'Full Imports'!B67,'USMCA Imports'!$C$4:$C$63,'Full Imports'!C67),0)</f>
        <v>0</v>
      </c>
      <c r="T67" s="197">
        <f t="shared" si="2"/>
        <v>1</v>
      </c>
      <c r="AF67" s="223" t="s">
        <v>3626</v>
      </c>
      <c r="AG67" s="223" t="s">
        <v>3636</v>
      </c>
      <c r="AH67" s="116">
        <v>2025</v>
      </c>
      <c r="AI67" s="116">
        <v>2</v>
      </c>
      <c r="AJ67" s="223" t="s">
        <v>3637</v>
      </c>
      <c r="AK67" s="223" t="s">
        <v>35</v>
      </c>
      <c r="AL67" s="60">
        <v>970400772</v>
      </c>
      <c r="AM67" s="60"/>
    </row>
    <row r="68" spans="1:39">
      <c r="A68" s="196"/>
      <c r="B68" s="196"/>
      <c r="C68" s="196"/>
      <c r="D68" s="196"/>
      <c r="E68" s="196"/>
      <c r="F68" s="196"/>
      <c r="G68" s="196"/>
      <c r="H68" s="196"/>
      <c r="I68" s="195"/>
      <c r="J68" s="195"/>
      <c r="K68" s="195"/>
      <c r="L68" s="195"/>
      <c r="M68" s="195"/>
      <c r="N68" s="195"/>
      <c r="O68" s="195"/>
      <c r="P68" s="195"/>
      <c r="Q68" s="195"/>
      <c r="AF68" s="223" t="s">
        <v>3626</v>
      </c>
      <c r="AG68" s="223" t="s">
        <v>3636</v>
      </c>
      <c r="AH68" s="116">
        <v>2025</v>
      </c>
      <c r="AI68" s="116">
        <v>3</v>
      </c>
      <c r="AJ68" s="223" t="s">
        <v>3637</v>
      </c>
      <c r="AK68" s="223" t="s">
        <v>35</v>
      </c>
      <c r="AL68" s="60">
        <v>520955541</v>
      </c>
      <c r="AM68" s="60"/>
    </row>
    <row r="69" spans="1:39">
      <c r="AF69" s="223" t="s">
        <v>3626</v>
      </c>
      <c r="AG69" s="223" t="s">
        <v>3636</v>
      </c>
      <c r="AH69" s="116">
        <v>2025</v>
      </c>
      <c r="AI69" s="116">
        <v>4</v>
      </c>
      <c r="AJ69" s="223" t="s">
        <v>3637</v>
      </c>
      <c r="AK69" s="223" t="s">
        <v>35</v>
      </c>
      <c r="AL69" s="60">
        <v>487167425</v>
      </c>
      <c r="AM69" s="60"/>
    </row>
    <row r="70" spans="1:39">
      <c r="AF70" s="223" t="s">
        <v>3626</v>
      </c>
      <c r="AG70" s="223" t="s">
        <v>3636</v>
      </c>
      <c r="AH70" s="116">
        <v>2025</v>
      </c>
      <c r="AI70" s="116">
        <v>5</v>
      </c>
      <c r="AJ70" s="223" t="s">
        <v>3637</v>
      </c>
      <c r="AK70" s="223" t="s">
        <v>35</v>
      </c>
      <c r="AL70" s="60">
        <v>905096814</v>
      </c>
      <c r="AM70" s="60"/>
    </row>
    <row r="71" spans="1:39">
      <c r="AF71" s="223" t="s">
        <v>3626</v>
      </c>
      <c r="AG71" s="223" t="s">
        <v>3636</v>
      </c>
      <c r="AH71" s="116">
        <v>2025</v>
      </c>
      <c r="AI71" s="116">
        <v>6</v>
      </c>
      <c r="AJ71" s="223" t="s">
        <v>3637</v>
      </c>
      <c r="AK71" s="223" t="s">
        <v>35</v>
      </c>
      <c r="AL71" s="60">
        <v>814626933</v>
      </c>
      <c r="AM71" s="60"/>
    </row>
    <row r="72" spans="1:39">
      <c r="AF72" s="223" t="s">
        <v>3626</v>
      </c>
      <c r="AG72" s="223" t="s">
        <v>3638</v>
      </c>
      <c r="AH72" s="116">
        <v>2025</v>
      </c>
      <c r="AI72" s="116">
        <v>1</v>
      </c>
      <c r="AJ72" s="223" t="s">
        <v>3639</v>
      </c>
      <c r="AK72" s="223" t="s">
        <v>34</v>
      </c>
      <c r="AL72" s="60">
        <v>113445739</v>
      </c>
      <c r="AM72" s="60"/>
    </row>
    <row r="73" spans="1:39">
      <c r="AF73" s="223" t="s">
        <v>3626</v>
      </c>
      <c r="AG73" s="223" t="s">
        <v>3638</v>
      </c>
      <c r="AH73" s="116">
        <v>2025</v>
      </c>
      <c r="AI73" s="116">
        <v>2</v>
      </c>
      <c r="AJ73" s="223" t="s">
        <v>3639</v>
      </c>
      <c r="AK73" s="223" t="s">
        <v>34</v>
      </c>
      <c r="AL73" s="60">
        <v>88207699</v>
      </c>
      <c r="AM73" s="60"/>
    </row>
    <row r="74" spans="1:39">
      <c r="AF74" s="223" t="s">
        <v>3626</v>
      </c>
      <c r="AG74" s="223" t="s">
        <v>3638</v>
      </c>
      <c r="AH74" s="116">
        <v>2025</v>
      </c>
      <c r="AI74" s="116">
        <v>3</v>
      </c>
      <c r="AJ74" s="223" t="s">
        <v>3639</v>
      </c>
      <c r="AK74" s="223" t="s">
        <v>34</v>
      </c>
      <c r="AL74" s="60">
        <v>139907085</v>
      </c>
      <c r="AM74" s="60"/>
    </row>
    <row r="75" spans="1:39">
      <c r="AF75" s="223" t="s">
        <v>3626</v>
      </c>
      <c r="AG75" s="223" t="s">
        <v>3638</v>
      </c>
      <c r="AH75" s="116">
        <v>2025</v>
      </c>
      <c r="AI75" s="116">
        <v>4</v>
      </c>
      <c r="AJ75" s="223" t="s">
        <v>3639</v>
      </c>
      <c r="AK75" s="223" t="s">
        <v>34</v>
      </c>
      <c r="AL75" s="60">
        <v>100734456</v>
      </c>
      <c r="AM75" s="60"/>
    </row>
    <row r="76" spans="1:39">
      <c r="AF76" s="223" t="s">
        <v>3626</v>
      </c>
      <c r="AG76" s="223" t="s">
        <v>3638</v>
      </c>
      <c r="AH76" s="116">
        <v>2025</v>
      </c>
      <c r="AI76" s="116">
        <v>5</v>
      </c>
      <c r="AJ76" s="223" t="s">
        <v>3639</v>
      </c>
      <c r="AK76" s="223" t="s">
        <v>34</v>
      </c>
      <c r="AL76" s="60">
        <v>86745619</v>
      </c>
      <c r="AM76" s="60"/>
    </row>
    <row r="77" spans="1:39">
      <c r="AF77" s="223" t="s">
        <v>3626</v>
      </c>
      <c r="AG77" s="223" t="s">
        <v>3638</v>
      </c>
      <c r="AH77" s="116">
        <v>2025</v>
      </c>
      <c r="AI77" s="116">
        <v>6</v>
      </c>
      <c r="AJ77" s="223" t="s">
        <v>3639</v>
      </c>
      <c r="AK77" s="223" t="s">
        <v>34</v>
      </c>
      <c r="AL77" s="60">
        <v>105609095</v>
      </c>
      <c r="AM77" s="60"/>
    </row>
    <row r="78" spans="1:39">
      <c r="AF78" s="223" t="s">
        <v>3626</v>
      </c>
      <c r="AG78" s="223" t="s">
        <v>3638</v>
      </c>
      <c r="AH78" s="116">
        <v>2025</v>
      </c>
      <c r="AI78" s="116">
        <v>1</v>
      </c>
      <c r="AJ78" s="223" t="s">
        <v>3639</v>
      </c>
      <c r="AK78" s="223" t="s">
        <v>35</v>
      </c>
      <c r="AL78" s="60">
        <v>39854269</v>
      </c>
      <c r="AM78" s="60"/>
    </row>
    <row r="79" spans="1:39">
      <c r="AF79" s="223" t="s">
        <v>3626</v>
      </c>
      <c r="AG79" s="223" t="s">
        <v>3638</v>
      </c>
      <c r="AH79" s="116">
        <v>2025</v>
      </c>
      <c r="AI79" s="116">
        <v>2</v>
      </c>
      <c r="AJ79" s="223" t="s">
        <v>3639</v>
      </c>
      <c r="AK79" s="223" t="s">
        <v>35</v>
      </c>
      <c r="AL79" s="60">
        <v>41370616</v>
      </c>
      <c r="AM79" s="60"/>
    </row>
    <row r="80" spans="1:39">
      <c r="AF80" s="223" t="s">
        <v>3626</v>
      </c>
      <c r="AG80" s="223" t="s">
        <v>3638</v>
      </c>
      <c r="AH80" s="116">
        <v>2025</v>
      </c>
      <c r="AI80" s="116">
        <v>3</v>
      </c>
      <c r="AJ80" s="223" t="s">
        <v>3639</v>
      </c>
      <c r="AK80" s="223" t="s">
        <v>35</v>
      </c>
      <c r="AL80" s="60">
        <v>33557987</v>
      </c>
      <c r="AM80" s="60"/>
    </row>
    <row r="81" spans="32:39">
      <c r="AF81" s="223" t="s">
        <v>3626</v>
      </c>
      <c r="AG81" s="223" t="s">
        <v>3638</v>
      </c>
      <c r="AH81" s="116">
        <v>2025</v>
      </c>
      <c r="AI81" s="116">
        <v>4</v>
      </c>
      <c r="AJ81" s="223" t="s">
        <v>3639</v>
      </c>
      <c r="AK81" s="223" t="s">
        <v>35</v>
      </c>
      <c r="AL81" s="60">
        <v>28943696</v>
      </c>
      <c r="AM81" s="60"/>
    </row>
    <row r="82" spans="32:39">
      <c r="AF82" s="223" t="s">
        <v>3626</v>
      </c>
      <c r="AG82" s="223" t="s">
        <v>3638</v>
      </c>
      <c r="AH82" s="116">
        <v>2025</v>
      </c>
      <c r="AI82" s="116">
        <v>5</v>
      </c>
      <c r="AJ82" s="223" t="s">
        <v>3639</v>
      </c>
      <c r="AK82" s="223" t="s">
        <v>35</v>
      </c>
      <c r="AL82" s="60">
        <v>37773882</v>
      </c>
      <c r="AM82" s="60"/>
    </row>
    <row r="83" spans="32:39">
      <c r="AF83" s="223" t="s">
        <v>3626</v>
      </c>
      <c r="AG83" s="223" t="s">
        <v>3638</v>
      </c>
      <c r="AH83" s="116">
        <v>2025</v>
      </c>
      <c r="AI83" s="116">
        <v>6</v>
      </c>
      <c r="AJ83" s="223" t="s">
        <v>3639</v>
      </c>
      <c r="AK83" s="223" t="s">
        <v>35</v>
      </c>
      <c r="AL83" s="60">
        <v>66621064</v>
      </c>
      <c r="AM83" s="60"/>
    </row>
    <row r="84" spans="32:39">
      <c r="AF84" s="223" t="s">
        <v>3626</v>
      </c>
      <c r="AG84" s="223" t="s">
        <v>3640</v>
      </c>
      <c r="AH84" s="116">
        <v>2025</v>
      </c>
      <c r="AI84" s="116">
        <v>1</v>
      </c>
      <c r="AJ84" s="223" t="s">
        <v>3641</v>
      </c>
      <c r="AK84" s="223" t="s">
        <v>34</v>
      </c>
      <c r="AL84" s="60">
        <v>2483960379</v>
      </c>
      <c r="AM84" s="60"/>
    </row>
    <row r="85" spans="32:39">
      <c r="AF85" s="223" t="s">
        <v>3626</v>
      </c>
      <c r="AG85" s="223" t="s">
        <v>3640</v>
      </c>
      <c r="AH85" s="116">
        <v>2025</v>
      </c>
      <c r="AI85" s="116">
        <v>2</v>
      </c>
      <c r="AJ85" s="223" t="s">
        <v>3641</v>
      </c>
      <c r="AK85" s="223" t="s">
        <v>34</v>
      </c>
      <c r="AL85" s="60">
        <v>2235641897</v>
      </c>
      <c r="AM85" s="60"/>
    </row>
    <row r="86" spans="32:39">
      <c r="AF86" s="223" t="s">
        <v>3626</v>
      </c>
      <c r="AG86" s="223" t="s">
        <v>3640</v>
      </c>
      <c r="AH86" s="116">
        <v>2025</v>
      </c>
      <c r="AI86" s="116">
        <v>3</v>
      </c>
      <c r="AJ86" s="223" t="s">
        <v>3641</v>
      </c>
      <c r="AK86" s="223" t="s">
        <v>34</v>
      </c>
      <c r="AL86" s="60">
        <v>2582472460</v>
      </c>
      <c r="AM86" s="60"/>
    </row>
    <row r="87" spans="32:39">
      <c r="AF87" s="223" t="s">
        <v>3626</v>
      </c>
      <c r="AG87" s="223" t="s">
        <v>3640</v>
      </c>
      <c r="AH87" s="116">
        <v>2025</v>
      </c>
      <c r="AI87" s="116">
        <v>4</v>
      </c>
      <c r="AJ87" s="223" t="s">
        <v>3641</v>
      </c>
      <c r="AK87" s="223" t="s">
        <v>34</v>
      </c>
      <c r="AL87" s="60">
        <v>2020461265</v>
      </c>
      <c r="AM87" s="60"/>
    </row>
    <row r="88" spans="32:39">
      <c r="AF88" s="223" t="s">
        <v>3626</v>
      </c>
      <c r="AG88" s="223" t="s">
        <v>3640</v>
      </c>
      <c r="AH88" s="116">
        <v>2025</v>
      </c>
      <c r="AI88" s="116">
        <v>5</v>
      </c>
      <c r="AJ88" s="223" t="s">
        <v>3641</v>
      </c>
      <c r="AK88" s="223" t="s">
        <v>34</v>
      </c>
      <c r="AL88" s="60">
        <v>2194032775</v>
      </c>
      <c r="AM88" s="60"/>
    </row>
    <row r="89" spans="32:39">
      <c r="AF89" s="223" t="s">
        <v>3626</v>
      </c>
      <c r="AG89" s="223" t="s">
        <v>3640</v>
      </c>
      <c r="AH89" s="116">
        <v>2025</v>
      </c>
      <c r="AI89" s="116">
        <v>6</v>
      </c>
      <c r="AJ89" s="223" t="s">
        <v>3641</v>
      </c>
      <c r="AK89" s="223" t="s">
        <v>34</v>
      </c>
      <c r="AL89" s="60">
        <v>2247720014</v>
      </c>
      <c r="AM89" s="60"/>
    </row>
    <row r="90" spans="32:39">
      <c r="AF90" s="223" t="s">
        <v>3626</v>
      </c>
      <c r="AG90" s="223" t="s">
        <v>3640</v>
      </c>
      <c r="AH90" s="116">
        <v>2025</v>
      </c>
      <c r="AI90" s="116">
        <v>1</v>
      </c>
      <c r="AJ90" s="223" t="s">
        <v>3641</v>
      </c>
      <c r="AK90" s="223" t="s">
        <v>35</v>
      </c>
      <c r="AL90" s="60">
        <v>1231474923</v>
      </c>
      <c r="AM90" s="60"/>
    </row>
    <row r="91" spans="32:39">
      <c r="AF91" s="223" t="s">
        <v>3626</v>
      </c>
      <c r="AG91" s="223" t="s">
        <v>3640</v>
      </c>
      <c r="AH91" s="116">
        <v>2025</v>
      </c>
      <c r="AI91" s="116">
        <v>2</v>
      </c>
      <c r="AJ91" s="223" t="s">
        <v>3641</v>
      </c>
      <c r="AK91" s="223" t="s">
        <v>35</v>
      </c>
      <c r="AL91" s="60">
        <v>1218885118</v>
      </c>
      <c r="AM91" s="60"/>
    </row>
    <row r="92" spans="32:39">
      <c r="AF92" s="223" t="s">
        <v>3626</v>
      </c>
      <c r="AG92" s="223" t="s">
        <v>3640</v>
      </c>
      <c r="AH92" s="116">
        <v>2025</v>
      </c>
      <c r="AI92" s="116">
        <v>3</v>
      </c>
      <c r="AJ92" s="223" t="s">
        <v>3641</v>
      </c>
      <c r="AK92" s="223" t="s">
        <v>35</v>
      </c>
      <c r="AL92" s="60">
        <v>1341143729</v>
      </c>
      <c r="AM92" s="60"/>
    </row>
    <row r="93" spans="32:39">
      <c r="AF93" s="223" t="s">
        <v>3626</v>
      </c>
      <c r="AG93" s="223" t="s">
        <v>3640</v>
      </c>
      <c r="AH93" s="116">
        <v>2025</v>
      </c>
      <c r="AI93" s="116">
        <v>4</v>
      </c>
      <c r="AJ93" s="223" t="s">
        <v>3641</v>
      </c>
      <c r="AK93" s="223" t="s">
        <v>35</v>
      </c>
      <c r="AL93" s="60">
        <v>1125620850</v>
      </c>
      <c r="AM93" s="60"/>
    </row>
    <row r="94" spans="32:39">
      <c r="AF94" s="223" t="s">
        <v>3626</v>
      </c>
      <c r="AG94" s="223" t="s">
        <v>3640</v>
      </c>
      <c r="AH94" s="116">
        <v>2025</v>
      </c>
      <c r="AI94" s="116">
        <v>5</v>
      </c>
      <c r="AJ94" s="223" t="s">
        <v>3641</v>
      </c>
      <c r="AK94" s="223" t="s">
        <v>35</v>
      </c>
      <c r="AL94" s="60">
        <v>1300496866</v>
      </c>
      <c r="AM94" s="60"/>
    </row>
    <row r="95" spans="32:39">
      <c r="AF95" s="223" t="s">
        <v>3626</v>
      </c>
      <c r="AG95" s="223" t="s">
        <v>3640</v>
      </c>
      <c r="AH95" s="116">
        <v>2025</v>
      </c>
      <c r="AI95" s="116">
        <v>6</v>
      </c>
      <c r="AJ95" s="223" t="s">
        <v>3641</v>
      </c>
      <c r="AK95" s="223" t="s">
        <v>35</v>
      </c>
      <c r="AL95" s="60">
        <v>1150329166</v>
      </c>
      <c r="AM95" s="60"/>
    </row>
    <row r="96" spans="32:39">
      <c r="AF96" s="223" t="s">
        <v>3626</v>
      </c>
      <c r="AG96" s="223" t="s">
        <v>3642</v>
      </c>
      <c r="AH96" s="116">
        <v>2025</v>
      </c>
      <c r="AI96" s="116">
        <v>1</v>
      </c>
      <c r="AJ96" s="223" t="s">
        <v>3643</v>
      </c>
      <c r="AK96" s="223" t="s">
        <v>34</v>
      </c>
      <c r="AL96" s="60">
        <v>120665433</v>
      </c>
      <c r="AM96" s="60"/>
    </row>
    <row r="97" spans="32:39">
      <c r="AF97" s="223" t="s">
        <v>3626</v>
      </c>
      <c r="AG97" s="223" t="s">
        <v>3642</v>
      </c>
      <c r="AH97" s="116">
        <v>2025</v>
      </c>
      <c r="AI97" s="116">
        <v>2</v>
      </c>
      <c r="AJ97" s="223" t="s">
        <v>3643</v>
      </c>
      <c r="AK97" s="223" t="s">
        <v>34</v>
      </c>
      <c r="AL97" s="60">
        <v>124884919</v>
      </c>
      <c r="AM97" s="60"/>
    </row>
    <row r="98" spans="32:39">
      <c r="AF98" s="223" t="s">
        <v>3626</v>
      </c>
      <c r="AG98" s="223" t="s">
        <v>3642</v>
      </c>
      <c r="AH98" s="116">
        <v>2025</v>
      </c>
      <c r="AI98" s="116">
        <v>3</v>
      </c>
      <c r="AJ98" s="223" t="s">
        <v>3643</v>
      </c>
      <c r="AK98" s="223" t="s">
        <v>34</v>
      </c>
      <c r="AL98" s="60">
        <v>132230164</v>
      </c>
      <c r="AM98" s="60"/>
    </row>
    <row r="99" spans="32:39">
      <c r="AF99" s="223" t="s">
        <v>3626</v>
      </c>
      <c r="AG99" s="223" t="s">
        <v>3642</v>
      </c>
      <c r="AH99" s="116">
        <v>2025</v>
      </c>
      <c r="AI99" s="116">
        <v>4</v>
      </c>
      <c r="AJ99" s="223" t="s">
        <v>3643</v>
      </c>
      <c r="AK99" s="223" t="s">
        <v>34</v>
      </c>
      <c r="AL99" s="60">
        <v>127217118</v>
      </c>
      <c r="AM99" s="60"/>
    </row>
    <row r="100" spans="32:39">
      <c r="AF100" s="223" t="s">
        <v>3626</v>
      </c>
      <c r="AG100" s="223" t="s">
        <v>3642</v>
      </c>
      <c r="AH100" s="116">
        <v>2025</v>
      </c>
      <c r="AI100" s="116">
        <v>5</v>
      </c>
      <c r="AJ100" s="223" t="s">
        <v>3643</v>
      </c>
      <c r="AK100" s="223" t="s">
        <v>34</v>
      </c>
      <c r="AL100" s="60">
        <v>124364121</v>
      </c>
      <c r="AM100" s="60"/>
    </row>
    <row r="101" spans="32:39">
      <c r="AF101" s="223" t="s">
        <v>3626</v>
      </c>
      <c r="AG101" s="223" t="s">
        <v>3642</v>
      </c>
      <c r="AH101" s="116">
        <v>2025</v>
      </c>
      <c r="AI101" s="116">
        <v>6</v>
      </c>
      <c r="AJ101" s="223" t="s">
        <v>3643</v>
      </c>
      <c r="AK101" s="223" t="s">
        <v>34</v>
      </c>
      <c r="AL101" s="60">
        <v>137356211</v>
      </c>
      <c r="AM101" s="60"/>
    </row>
    <row r="102" spans="32:39">
      <c r="AF102" s="223" t="s">
        <v>3626</v>
      </c>
      <c r="AG102" s="223" t="s">
        <v>3642</v>
      </c>
      <c r="AH102" s="116">
        <v>2025</v>
      </c>
      <c r="AI102" s="116">
        <v>1</v>
      </c>
      <c r="AJ102" s="223" t="s">
        <v>3643</v>
      </c>
      <c r="AK102" s="223" t="s">
        <v>35</v>
      </c>
      <c r="AL102" s="60">
        <v>1145262444</v>
      </c>
      <c r="AM102" s="60"/>
    </row>
    <row r="103" spans="32:39">
      <c r="AF103" s="223" t="s">
        <v>3626</v>
      </c>
      <c r="AG103" s="223" t="s">
        <v>3642</v>
      </c>
      <c r="AH103" s="116">
        <v>2025</v>
      </c>
      <c r="AI103" s="116">
        <v>2</v>
      </c>
      <c r="AJ103" s="223" t="s">
        <v>3643</v>
      </c>
      <c r="AK103" s="223" t="s">
        <v>35</v>
      </c>
      <c r="AL103" s="60">
        <v>1051518670</v>
      </c>
      <c r="AM103" s="60"/>
    </row>
    <row r="104" spans="32:39">
      <c r="AF104" s="223" t="s">
        <v>3626</v>
      </c>
      <c r="AG104" s="223" t="s">
        <v>3642</v>
      </c>
      <c r="AH104" s="116">
        <v>2025</v>
      </c>
      <c r="AI104" s="116">
        <v>3</v>
      </c>
      <c r="AJ104" s="223" t="s">
        <v>3643</v>
      </c>
      <c r="AK104" s="223" t="s">
        <v>35</v>
      </c>
      <c r="AL104" s="60">
        <v>957594154</v>
      </c>
      <c r="AM104" s="60"/>
    </row>
    <row r="105" spans="32:39">
      <c r="AF105" s="223" t="s">
        <v>3626</v>
      </c>
      <c r="AG105" s="223" t="s">
        <v>3642</v>
      </c>
      <c r="AH105" s="116">
        <v>2025</v>
      </c>
      <c r="AI105" s="116">
        <v>4</v>
      </c>
      <c r="AJ105" s="223" t="s">
        <v>3643</v>
      </c>
      <c r="AK105" s="223" t="s">
        <v>35</v>
      </c>
      <c r="AL105" s="60">
        <v>832115228</v>
      </c>
      <c r="AM105" s="60"/>
    </row>
    <row r="106" spans="32:39">
      <c r="AF106" s="223" t="s">
        <v>3626</v>
      </c>
      <c r="AG106" s="223" t="s">
        <v>3642</v>
      </c>
      <c r="AH106" s="116">
        <v>2025</v>
      </c>
      <c r="AI106" s="116">
        <v>5</v>
      </c>
      <c r="AJ106" s="223" t="s">
        <v>3643</v>
      </c>
      <c r="AK106" s="223" t="s">
        <v>35</v>
      </c>
      <c r="AL106" s="60">
        <v>1053586168</v>
      </c>
      <c r="AM106" s="60"/>
    </row>
    <row r="107" spans="32:39">
      <c r="AF107" s="223" t="s">
        <v>3626</v>
      </c>
      <c r="AG107" s="223" t="s">
        <v>3642</v>
      </c>
      <c r="AH107" s="116">
        <v>2025</v>
      </c>
      <c r="AI107" s="116">
        <v>6</v>
      </c>
      <c r="AJ107" s="223" t="s">
        <v>3643</v>
      </c>
      <c r="AK107" s="223" t="s">
        <v>35</v>
      </c>
      <c r="AL107" s="60">
        <v>975697536</v>
      </c>
      <c r="AM107" s="60"/>
    </row>
    <row r="108" spans="32:39">
      <c r="AF108" s="223" t="s">
        <v>3626</v>
      </c>
      <c r="AG108" s="223" t="s">
        <v>3644</v>
      </c>
      <c r="AH108" s="116">
        <v>2025</v>
      </c>
      <c r="AI108" s="116">
        <v>1</v>
      </c>
      <c r="AJ108" s="223" t="s">
        <v>3645</v>
      </c>
      <c r="AK108" s="223" t="s">
        <v>34</v>
      </c>
      <c r="AL108" s="60">
        <v>58251977</v>
      </c>
      <c r="AM108" s="60"/>
    </row>
    <row r="109" spans="32:39">
      <c r="AF109" s="223" t="s">
        <v>3626</v>
      </c>
      <c r="AG109" s="223" t="s">
        <v>3644</v>
      </c>
      <c r="AH109" s="116">
        <v>2025</v>
      </c>
      <c r="AI109" s="116">
        <v>2</v>
      </c>
      <c r="AJ109" s="223" t="s">
        <v>3645</v>
      </c>
      <c r="AK109" s="223" t="s">
        <v>34</v>
      </c>
      <c r="AL109" s="60">
        <v>47847440</v>
      </c>
      <c r="AM109" s="60"/>
    </row>
    <row r="110" spans="32:39">
      <c r="AF110" s="223" t="s">
        <v>3626</v>
      </c>
      <c r="AG110" s="223" t="s">
        <v>3644</v>
      </c>
      <c r="AH110" s="116">
        <v>2025</v>
      </c>
      <c r="AI110" s="116">
        <v>3</v>
      </c>
      <c r="AJ110" s="223" t="s">
        <v>3645</v>
      </c>
      <c r="AK110" s="223" t="s">
        <v>34</v>
      </c>
      <c r="AL110" s="60">
        <v>65661398</v>
      </c>
      <c r="AM110" s="60"/>
    </row>
    <row r="111" spans="32:39">
      <c r="AF111" s="223" t="s">
        <v>3626</v>
      </c>
      <c r="AG111" s="223" t="s">
        <v>3644</v>
      </c>
      <c r="AH111" s="116">
        <v>2025</v>
      </c>
      <c r="AI111" s="116">
        <v>4</v>
      </c>
      <c r="AJ111" s="223" t="s">
        <v>3645</v>
      </c>
      <c r="AK111" s="223" t="s">
        <v>34</v>
      </c>
      <c r="AL111" s="60">
        <v>47324465</v>
      </c>
      <c r="AM111" s="60"/>
    </row>
    <row r="112" spans="32:39">
      <c r="AF112" s="223" t="s">
        <v>3626</v>
      </c>
      <c r="AG112" s="223" t="s">
        <v>3644</v>
      </c>
      <c r="AH112" s="116">
        <v>2025</v>
      </c>
      <c r="AI112" s="116">
        <v>5</v>
      </c>
      <c r="AJ112" s="223" t="s">
        <v>3645</v>
      </c>
      <c r="AK112" s="223" t="s">
        <v>34</v>
      </c>
      <c r="AL112" s="60">
        <v>56222752</v>
      </c>
      <c r="AM112" s="60"/>
    </row>
    <row r="113" spans="32:39">
      <c r="AF113" s="223" t="s">
        <v>3626</v>
      </c>
      <c r="AG113" s="223" t="s">
        <v>3644</v>
      </c>
      <c r="AH113" s="116">
        <v>2025</v>
      </c>
      <c r="AI113" s="116">
        <v>6</v>
      </c>
      <c r="AJ113" s="223" t="s">
        <v>3645</v>
      </c>
      <c r="AK113" s="223" t="s">
        <v>34</v>
      </c>
      <c r="AL113" s="60">
        <v>53588638</v>
      </c>
      <c r="AM113" s="60"/>
    </row>
    <row r="114" spans="32:39">
      <c r="AF114" s="223" t="s">
        <v>3626</v>
      </c>
      <c r="AG114" s="223" t="s">
        <v>3644</v>
      </c>
      <c r="AH114" s="116">
        <v>2025</v>
      </c>
      <c r="AI114" s="116">
        <v>1</v>
      </c>
      <c r="AJ114" s="223" t="s">
        <v>3645</v>
      </c>
      <c r="AK114" s="223" t="s">
        <v>35</v>
      </c>
      <c r="AL114" s="60">
        <v>67993045</v>
      </c>
      <c r="AM114" s="60"/>
    </row>
    <row r="115" spans="32:39">
      <c r="AF115" s="223" t="s">
        <v>3626</v>
      </c>
      <c r="AG115" s="223" t="s">
        <v>3644</v>
      </c>
      <c r="AH115" s="116">
        <v>2025</v>
      </c>
      <c r="AI115" s="116">
        <v>2</v>
      </c>
      <c r="AJ115" s="223" t="s">
        <v>3645</v>
      </c>
      <c r="AK115" s="223" t="s">
        <v>35</v>
      </c>
      <c r="AL115" s="60">
        <v>74409412</v>
      </c>
      <c r="AM115" s="60"/>
    </row>
    <row r="116" spans="32:39">
      <c r="AF116" s="223" t="s">
        <v>3626</v>
      </c>
      <c r="AG116" s="223" t="s">
        <v>3644</v>
      </c>
      <c r="AH116" s="116">
        <v>2025</v>
      </c>
      <c r="AI116" s="116">
        <v>3</v>
      </c>
      <c r="AJ116" s="223" t="s">
        <v>3645</v>
      </c>
      <c r="AK116" s="223" t="s">
        <v>35</v>
      </c>
      <c r="AL116" s="60">
        <v>76985490</v>
      </c>
      <c r="AM116" s="60"/>
    </row>
    <row r="117" spans="32:39">
      <c r="AF117" s="223" t="s">
        <v>3626</v>
      </c>
      <c r="AG117" s="223" t="s">
        <v>3644</v>
      </c>
      <c r="AH117" s="116">
        <v>2025</v>
      </c>
      <c r="AI117" s="116">
        <v>4</v>
      </c>
      <c r="AJ117" s="223" t="s">
        <v>3645</v>
      </c>
      <c r="AK117" s="223" t="s">
        <v>35</v>
      </c>
      <c r="AL117" s="60">
        <v>75469435</v>
      </c>
      <c r="AM117" s="60"/>
    </row>
    <row r="118" spans="32:39">
      <c r="AF118" s="223" t="s">
        <v>3626</v>
      </c>
      <c r="AG118" s="223" t="s">
        <v>3644</v>
      </c>
      <c r="AH118" s="116">
        <v>2025</v>
      </c>
      <c r="AI118" s="116">
        <v>5</v>
      </c>
      <c r="AJ118" s="223" t="s">
        <v>3645</v>
      </c>
      <c r="AK118" s="223" t="s">
        <v>35</v>
      </c>
      <c r="AL118" s="60">
        <v>77036929</v>
      </c>
      <c r="AM118" s="60"/>
    </row>
    <row r="119" spans="32:39">
      <c r="AF119" s="223" t="s">
        <v>3626</v>
      </c>
      <c r="AG119" s="223" t="s">
        <v>3644</v>
      </c>
      <c r="AH119" s="116">
        <v>2025</v>
      </c>
      <c r="AI119" s="116">
        <v>6</v>
      </c>
      <c r="AJ119" s="223" t="s">
        <v>3645</v>
      </c>
      <c r="AK119" s="223" t="s">
        <v>35</v>
      </c>
      <c r="AL119" s="60">
        <v>69337161</v>
      </c>
      <c r="AM119" s="60"/>
    </row>
    <row r="120" spans="32:39">
      <c r="AF120" s="223" t="s">
        <v>3626</v>
      </c>
      <c r="AG120" s="223" t="s">
        <v>3646</v>
      </c>
      <c r="AH120" s="116">
        <v>2025</v>
      </c>
      <c r="AI120" s="116">
        <v>1</v>
      </c>
      <c r="AJ120" s="223" t="s">
        <v>3647</v>
      </c>
      <c r="AK120" s="223" t="s">
        <v>34</v>
      </c>
      <c r="AL120" s="60">
        <v>22906663</v>
      </c>
      <c r="AM120" s="60"/>
    </row>
    <row r="121" spans="32:39">
      <c r="AF121" s="223" t="s">
        <v>3626</v>
      </c>
      <c r="AG121" s="223" t="s">
        <v>3646</v>
      </c>
      <c r="AH121" s="116">
        <v>2025</v>
      </c>
      <c r="AI121" s="116">
        <v>2</v>
      </c>
      <c r="AJ121" s="223" t="s">
        <v>3647</v>
      </c>
      <c r="AK121" s="223" t="s">
        <v>34</v>
      </c>
      <c r="AL121" s="60">
        <v>26127058</v>
      </c>
      <c r="AM121" s="60"/>
    </row>
    <row r="122" spans="32:39">
      <c r="AF122" s="223" t="s">
        <v>3626</v>
      </c>
      <c r="AG122" s="223" t="s">
        <v>3646</v>
      </c>
      <c r="AH122" s="116">
        <v>2025</v>
      </c>
      <c r="AI122" s="116">
        <v>3</v>
      </c>
      <c r="AJ122" s="223" t="s">
        <v>3647</v>
      </c>
      <c r="AK122" s="223" t="s">
        <v>34</v>
      </c>
      <c r="AL122" s="60">
        <v>26726911</v>
      </c>
      <c r="AM122" s="60"/>
    </row>
    <row r="123" spans="32:39">
      <c r="AF123" s="223" t="s">
        <v>3626</v>
      </c>
      <c r="AG123" s="223" t="s">
        <v>3646</v>
      </c>
      <c r="AH123" s="116">
        <v>2025</v>
      </c>
      <c r="AI123" s="116">
        <v>4</v>
      </c>
      <c r="AJ123" s="223" t="s">
        <v>3647</v>
      </c>
      <c r="AK123" s="223" t="s">
        <v>34</v>
      </c>
      <c r="AL123" s="60">
        <v>19518427</v>
      </c>
      <c r="AM123" s="60"/>
    </row>
    <row r="124" spans="32:39">
      <c r="AF124" s="223" t="s">
        <v>3626</v>
      </c>
      <c r="AG124" s="223" t="s">
        <v>3646</v>
      </c>
      <c r="AH124" s="116">
        <v>2025</v>
      </c>
      <c r="AI124" s="116">
        <v>5</v>
      </c>
      <c r="AJ124" s="223" t="s">
        <v>3647</v>
      </c>
      <c r="AK124" s="223" t="s">
        <v>34</v>
      </c>
      <c r="AL124" s="60">
        <v>19862405</v>
      </c>
      <c r="AM124" s="60"/>
    </row>
    <row r="125" spans="32:39">
      <c r="AF125" s="223" t="s">
        <v>3626</v>
      </c>
      <c r="AG125" s="223" t="s">
        <v>3646</v>
      </c>
      <c r="AH125" s="116">
        <v>2025</v>
      </c>
      <c r="AI125" s="116">
        <v>6</v>
      </c>
      <c r="AJ125" s="223" t="s">
        <v>3647</v>
      </c>
      <c r="AK125" s="223" t="s">
        <v>34</v>
      </c>
      <c r="AL125" s="60">
        <v>19072099</v>
      </c>
      <c r="AM125" s="60"/>
    </row>
    <row r="126" spans="32:39">
      <c r="AF126" s="223" t="s">
        <v>3626</v>
      </c>
      <c r="AG126" s="223" t="s">
        <v>3646</v>
      </c>
      <c r="AH126" s="116">
        <v>2025</v>
      </c>
      <c r="AI126" s="116">
        <v>1</v>
      </c>
      <c r="AJ126" s="223" t="s">
        <v>3647</v>
      </c>
      <c r="AK126" s="223" t="s">
        <v>35</v>
      </c>
      <c r="AL126" s="60">
        <v>95430333</v>
      </c>
      <c r="AM126" s="60"/>
    </row>
    <row r="127" spans="32:39">
      <c r="AF127" s="223" t="s">
        <v>3626</v>
      </c>
      <c r="AG127" s="223" t="s">
        <v>3646</v>
      </c>
      <c r="AH127" s="116">
        <v>2025</v>
      </c>
      <c r="AI127" s="116">
        <v>2</v>
      </c>
      <c r="AJ127" s="223" t="s">
        <v>3647</v>
      </c>
      <c r="AK127" s="223" t="s">
        <v>35</v>
      </c>
      <c r="AL127" s="60">
        <v>95400582</v>
      </c>
      <c r="AM127" s="60"/>
    </row>
    <row r="128" spans="32:39">
      <c r="AF128" s="223" t="s">
        <v>3626</v>
      </c>
      <c r="AG128" s="223" t="s">
        <v>3646</v>
      </c>
      <c r="AH128" s="116">
        <v>2025</v>
      </c>
      <c r="AI128" s="116">
        <v>3</v>
      </c>
      <c r="AJ128" s="223" t="s">
        <v>3647</v>
      </c>
      <c r="AK128" s="223" t="s">
        <v>35</v>
      </c>
      <c r="AL128" s="60">
        <v>93587407</v>
      </c>
      <c r="AM128" s="60"/>
    </row>
    <row r="129" spans="32:39">
      <c r="AF129" s="223" t="s">
        <v>3626</v>
      </c>
      <c r="AG129" s="223" t="s">
        <v>3646</v>
      </c>
      <c r="AH129" s="116">
        <v>2025</v>
      </c>
      <c r="AI129" s="116">
        <v>4</v>
      </c>
      <c r="AJ129" s="223" t="s">
        <v>3647</v>
      </c>
      <c r="AK129" s="223" t="s">
        <v>35</v>
      </c>
      <c r="AL129" s="60">
        <v>91103953</v>
      </c>
      <c r="AM129" s="60"/>
    </row>
    <row r="130" spans="32:39">
      <c r="AF130" s="223" t="s">
        <v>3626</v>
      </c>
      <c r="AG130" s="223" t="s">
        <v>3646</v>
      </c>
      <c r="AH130" s="116">
        <v>2025</v>
      </c>
      <c r="AI130" s="116">
        <v>5</v>
      </c>
      <c r="AJ130" s="223" t="s">
        <v>3647</v>
      </c>
      <c r="AK130" s="223" t="s">
        <v>35</v>
      </c>
      <c r="AL130" s="60">
        <v>94473949</v>
      </c>
      <c r="AM130" s="60"/>
    </row>
    <row r="131" spans="32:39">
      <c r="AF131" s="223" t="s">
        <v>3626</v>
      </c>
      <c r="AG131" s="223" t="s">
        <v>3646</v>
      </c>
      <c r="AH131" s="116">
        <v>2025</v>
      </c>
      <c r="AI131" s="116">
        <v>6</v>
      </c>
      <c r="AJ131" s="223" t="s">
        <v>3647</v>
      </c>
      <c r="AK131" s="223" t="s">
        <v>35</v>
      </c>
      <c r="AL131" s="60">
        <v>92971470</v>
      </c>
      <c r="AM131" s="60"/>
    </row>
    <row r="132" spans="32:39">
      <c r="AF132" s="223" t="s">
        <v>3626</v>
      </c>
      <c r="AG132" s="223" t="s">
        <v>3648</v>
      </c>
      <c r="AH132" s="116">
        <v>2025</v>
      </c>
      <c r="AI132" s="116">
        <v>1</v>
      </c>
      <c r="AJ132" s="223" t="s">
        <v>3649</v>
      </c>
      <c r="AK132" s="223" t="s">
        <v>34</v>
      </c>
      <c r="AL132" s="60">
        <v>64177409</v>
      </c>
      <c r="AM132" s="60"/>
    </row>
    <row r="133" spans="32:39">
      <c r="AF133" s="223" t="s">
        <v>3626</v>
      </c>
      <c r="AG133" s="223" t="s">
        <v>3648</v>
      </c>
      <c r="AH133" s="116">
        <v>2025</v>
      </c>
      <c r="AI133" s="116">
        <v>2</v>
      </c>
      <c r="AJ133" s="223" t="s">
        <v>3649</v>
      </c>
      <c r="AK133" s="223" t="s">
        <v>34</v>
      </c>
      <c r="AL133" s="60">
        <v>53777736</v>
      </c>
      <c r="AM133" s="60"/>
    </row>
    <row r="134" spans="32:39">
      <c r="AF134" s="223" t="s">
        <v>3626</v>
      </c>
      <c r="AG134" s="223" t="s">
        <v>3648</v>
      </c>
      <c r="AH134" s="116">
        <v>2025</v>
      </c>
      <c r="AI134" s="116">
        <v>3</v>
      </c>
      <c r="AJ134" s="223" t="s">
        <v>3649</v>
      </c>
      <c r="AK134" s="223" t="s">
        <v>34</v>
      </c>
      <c r="AL134" s="60">
        <v>43692982</v>
      </c>
      <c r="AM134" s="60"/>
    </row>
    <row r="135" spans="32:39">
      <c r="AF135" s="223" t="s">
        <v>3626</v>
      </c>
      <c r="AG135" s="223" t="s">
        <v>3648</v>
      </c>
      <c r="AH135" s="116">
        <v>2025</v>
      </c>
      <c r="AI135" s="116">
        <v>4</v>
      </c>
      <c r="AJ135" s="223" t="s">
        <v>3649</v>
      </c>
      <c r="AK135" s="223" t="s">
        <v>34</v>
      </c>
      <c r="AL135" s="60">
        <v>46616985</v>
      </c>
      <c r="AM135" s="60"/>
    </row>
    <row r="136" spans="32:39">
      <c r="AF136" s="223" t="s">
        <v>3626</v>
      </c>
      <c r="AG136" s="223" t="s">
        <v>3648</v>
      </c>
      <c r="AH136" s="116">
        <v>2025</v>
      </c>
      <c r="AI136" s="116">
        <v>5</v>
      </c>
      <c r="AJ136" s="223" t="s">
        <v>3649</v>
      </c>
      <c r="AK136" s="223" t="s">
        <v>34</v>
      </c>
      <c r="AL136" s="60">
        <v>61882465</v>
      </c>
      <c r="AM136" s="60"/>
    </row>
    <row r="137" spans="32:39">
      <c r="AF137" s="223" t="s">
        <v>3626</v>
      </c>
      <c r="AG137" s="223" t="s">
        <v>3648</v>
      </c>
      <c r="AH137" s="116">
        <v>2025</v>
      </c>
      <c r="AI137" s="116">
        <v>6</v>
      </c>
      <c r="AJ137" s="223" t="s">
        <v>3649</v>
      </c>
      <c r="AK137" s="223" t="s">
        <v>34</v>
      </c>
      <c r="AL137" s="60">
        <v>40586300</v>
      </c>
      <c r="AM137" s="60"/>
    </row>
    <row r="138" spans="32:39">
      <c r="AF138" s="223" t="s">
        <v>3626</v>
      </c>
      <c r="AG138" s="223" t="s">
        <v>3648</v>
      </c>
      <c r="AH138" s="116">
        <v>2025</v>
      </c>
      <c r="AI138" s="116">
        <v>1</v>
      </c>
      <c r="AJ138" s="223" t="s">
        <v>3649</v>
      </c>
      <c r="AK138" s="223" t="s">
        <v>35</v>
      </c>
      <c r="AL138" s="60">
        <v>230090100</v>
      </c>
      <c r="AM138" s="60"/>
    </row>
    <row r="139" spans="32:39">
      <c r="AF139" s="223" t="s">
        <v>3626</v>
      </c>
      <c r="AG139" s="223" t="s">
        <v>3648</v>
      </c>
      <c r="AH139" s="116">
        <v>2025</v>
      </c>
      <c r="AI139" s="116">
        <v>2</v>
      </c>
      <c r="AJ139" s="223" t="s">
        <v>3649</v>
      </c>
      <c r="AK139" s="223" t="s">
        <v>35</v>
      </c>
      <c r="AL139" s="60">
        <v>251933077</v>
      </c>
      <c r="AM139" s="60"/>
    </row>
    <row r="140" spans="32:39">
      <c r="AF140" s="223" t="s">
        <v>3626</v>
      </c>
      <c r="AG140" s="223" t="s">
        <v>3648</v>
      </c>
      <c r="AH140" s="116">
        <v>2025</v>
      </c>
      <c r="AI140" s="116">
        <v>3</v>
      </c>
      <c r="AJ140" s="223" t="s">
        <v>3649</v>
      </c>
      <c r="AK140" s="223" t="s">
        <v>35</v>
      </c>
      <c r="AL140" s="60">
        <v>271205198</v>
      </c>
      <c r="AM140" s="60"/>
    </row>
    <row r="141" spans="32:39">
      <c r="AF141" s="223" t="s">
        <v>3626</v>
      </c>
      <c r="AG141" s="223" t="s">
        <v>3648</v>
      </c>
      <c r="AH141" s="116">
        <v>2025</v>
      </c>
      <c r="AI141" s="116">
        <v>4</v>
      </c>
      <c r="AJ141" s="223" t="s">
        <v>3649</v>
      </c>
      <c r="AK141" s="223" t="s">
        <v>35</v>
      </c>
      <c r="AL141" s="60">
        <v>242768683</v>
      </c>
      <c r="AM141" s="60"/>
    </row>
    <row r="142" spans="32:39">
      <c r="AF142" s="223" t="s">
        <v>3626</v>
      </c>
      <c r="AG142" s="223" t="s">
        <v>3648</v>
      </c>
      <c r="AH142" s="116">
        <v>2025</v>
      </c>
      <c r="AI142" s="116">
        <v>5</v>
      </c>
      <c r="AJ142" s="223" t="s">
        <v>3649</v>
      </c>
      <c r="AK142" s="223" t="s">
        <v>35</v>
      </c>
      <c r="AL142" s="60">
        <v>279297614</v>
      </c>
      <c r="AM142" s="60"/>
    </row>
    <row r="143" spans="32:39">
      <c r="AF143" s="223" t="s">
        <v>3626</v>
      </c>
      <c r="AG143" s="223" t="s">
        <v>3648</v>
      </c>
      <c r="AH143" s="116">
        <v>2025</v>
      </c>
      <c r="AI143" s="116">
        <v>6</v>
      </c>
      <c r="AJ143" s="223" t="s">
        <v>3649</v>
      </c>
      <c r="AK143" s="223" t="s">
        <v>35</v>
      </c>
      <c r="AL143" s="60">
        <v>253762344</v>
      </c>
      <c r="AM143" s="60"/>
    </row>
    <row r="144" spans="32:39">
      <c r="AF144" s="223" t="s">
        <v>3626</v>
      </c>
      <c r="AG144" s="223" t="s">
        <v>3650</v>
      </c>
      <c r="AH144" s="116">
        <v>2025</v>
      </c>
      <c r="AI144" s="116">
        <v>1</v>
      </c>
      <c r="AJ144" s="223" t="s">
        <v>3651</v>
      </c>
      <c r="AK144" s="223" t="s">
        <v>34</v>
      </c>
      <c r="AL144" s="60">
        <v>12124839</v>
      </c>
      <c r="AM144" s="60"/>
    </row>
    <row r="145" spans="32:39">
      <c r="AF145" s="223" t="s">
        <v>3626</v>
      </c>
      <c r="AG145" s="223" t="s">
        <v>3650</v>
      </c>
      <c r="AH145" s="116">
        <v>2025</v>
      </c>
      <c r="AI145" s="116">
        <v>2</v>
      </c>
      <c r="AJ145" s="223" t="s">
        <v>3651</v>
      </c>
      <c r="AK145" s="223" t="s">
        <v>34</v>
      </c>
      <c r="AL145" s="60">
        <v>12432070</v>
      </c>
      <c r="AM145" s="60"/>
    </row>
    <row r="146" spans="32:39">
      <c r="AF146" s="223" t="s">
        <v>3626</v>
      </c>
      <c r="AG146" s="223" t="s">
        <v>3650</v>
      </c>
      <c r="AH146" s="116">
        <v>2025</v>
      </c>
      <c r="AI146" s="116">
        <v>3</v>
      </c>
      <c r="AJ146" s="223" t="s">
        <v>3651</v>
      </c>
      <c r="AK146" s="223" t="s">
        <v>34</v>
      </c>
      <c r="AL146" s="60">
        <v>14160851</v>
      </c>
      <c r="AM146" s="60"/>
    </row>
    <row r="147" spans="32:39">
      <c r="AF147" s="223" t="s">
        <v>3626</v>
      </c>
      <c r="AG147" s="223" t="s">
        <v>3650</v>
      </c>
      <c r="AH147" s="116">
        <v>2025</v>
      </c>
      <c r="AI147" s="116">
        <v>4</v>
      </c>
      <c r="AJ147" s="223" t="s">
        <v>3651</v>
      </c>
      <c r="AK147" s="223" t="s">
        <v>34</v>
      </c>
      <c r="AL147" s="60">
        <v>11756961</v>
      </c>
      <c r="AM147" s="60"/>
    </row>
    <row r="148" spans="32:39">
      <c r="AF148" s="223" t="s">
        <v>3626</v>
      </c>
      <c r="AG148" s="223" t="s">
        <v>3650</v>
      </c>
      <c r="AH148" s="116">
        <v>2025</v>
      </c>
      <c r="AI148" s="116">
        <v>5</v>
      </c>
      <c r="AJ148" s="223" t="s">
        <v>3651</v>
      </c>
      <c r="AK148" s="223" t="s">
        <v>34</v>
      </c>
      <c r="AL148" s="60">
        <v>11563502</v>
      </c>
      <c r="AM148" s="60"/>
    </row>
    <row r="149" spans="32:39">
      <c r="AF149" s="223" t="s">
        <v>3626</v>
      </c>
      <c r="AG149" s="223" t="s">
        <v>3650</v>
      </c>
      <c r="AH149" s="116">
        <v>2025</v>
      </c>
      <c r="AI149" s="116">
        <v>6</v>
      </c>
      <c r="AJ149" s="223" t="s">
        <v>3651</v>
      </c>
      <c r="AK149" s="223" t="s">
        <v>34</v>
      </c>
      <c r="AL149" s="60">
        <v>13058660</v>
      </c>
      <c r="AM149" s="60"/>
    </row>
    <row r="150" spans="32:39">
      <c r="AF150" s="223" t="s">
        <v>3626</v>
      </c>
      <c r="AG150" s="223" t="s">
        <v>3650</v>
      </c>
      <c r="AH150" s="116">
        <v>2025</v>
      </c>
      <c r="AI150" s="116">
        <v>1</v>
      </c>
      <c r="AJ150" s="223" t="s">
        <v>3651</v>
      </c>
      <c r="AK150" s="223" t="s">
        <v>35</v>
      </c>
      <c r="AL150" s="60">
        <v>137443220</v>
      </c>
      <c r="AM150" s="60"/>
    </row>
    <row r="151" spans="32:39">
      <c r="AF151" s="223" t="s">
        <v>3626</v>
      </c>
      <c r="AG151" s="223" t="s">
        <v>3650</v>
      </c>
      <c r="AH151" s="116">
        <v>2025</v>
      </c>
      <c r="AI151" s="116">
        <v>2</v>
      </c>
      <c r="AJ151" s="223" t="s">
        <v>3651</v>
      </c>
      <c r="AK151" s="223" t="s">
        <v>35</v>
      </c>
      <c r="AL151" s="60">
        <v>171757066</v>
      </c>
      <c r="AM151" s="60"/>
    </row>
    <row r="152" spans="32:39">
      <c r="AF152" s="223" t="s">
        <v>3626</v>
      </c>
      <c r="AG152" s="223" t="s">
        <v>3650</v>
      </c>
      <c r="AH152" s="116">
        <v>2025</v>
      </c>
      <c r="AI152" s="116">
        <v>3</v>
      </c>
      <c r="AJ152" s="223" t="s">
        <v>3651</v>
      </c>
      <c r="AK152" s="223" t="s">
        <v>35</v>
      </c>
      <c r="AL152" s="60">
        <v>186170633</v>
      </c>
      <c r="AM152" s="60"/>
    </row>
    <row r="153" spans="32:39">
      <c r="AF153" s="223" t="s">
        <v>3626</v>
      </c>
      <c r="AG153" s="223" t="s">
        <v>3650</v>
      </c>
      <c r="AH153" s="116">
        <v>2025</v>
      </c>
      <c r="AI153" s="116">
        <v>4</v>
      </c>
      <c r="AJ153" s="223" t="s">
        <v>3651</v>
      </c>
      <c r="AK153" s="223" t="s">
        <v>35</v>
      </c>
      <c r="AL153" s="60">
        <v>149769856</v>
      </c>
      <c r="AM153" s="60"/>
    </row>
    <row r="154" spans="32:39">
      <c r="AF154" s="223" t="s">
        <v>3626</v>
      </c>
      <c r="AG154" s="223" t="s">
        <v>3650</v>
      </c>
      <c r="AH154" s="116">
        <v>2025</v>
      </c>
      <c r="AI154" s="116">
        <v>5</v>
      </c>
      <c r="AJ154" s="223" t="s">
        <v>3651</v>
      </c>
      <c r="AK154" s="223" t="s">
        <v>35</v>
      </c>
      <c r="AL154" s="60">
        <v>181455720</v>
      </c>
      <c r="AM154" s="60"/>
    </row>
    <row r="155" spans="32:39">
      <c r="AF155" s="223" t="s">
        <v>3626</v>
      </c>
      <c r="AG155" s="223" t="s">
        <v>3650</v>
      </c>
      <c r="AH155" s="116">
        <v>2025</v>
      </c>
      <c r="AI155" s="116">
        <v>6</v>
      </c>
      <c r="AJ155" s="223" t="s">
        <v>3651</v>
      </c>
      <c r="AK155" s="223" t="s">
        <v>35</v>
      </c>
      <c r="AL155" s="60">
        <v>168905483</v>
      </c>
      <c r="AM155" s="60"/>
    </row>
    <row r="156" spans="32:39">
      <c r="AF156" s="223" t="s">
        <v>3626</v>
      </c>
      <c r="AG156" s="223" t="s">
        <v>3652</v>
      </c>
      <c r="AH156" s="116">
        <v>2025</v>
      </c>
      <c r="AI156" s="116">
        <v>1</v>
      </c>
      <c r="AJ156" s="223" t="s">
        <v>3653</v>
      </c>
      <c r="AK156" s="223" t="s">
        <v>34</v>
      </c>
      <c r="AL156" s="60">
        <v>976217764</v>
      </c>
      <c r="AM156" s="60"/>
    </row>
    <row r="157" spans="32:39">
      <c r="AF157" s="223" t="s">
        <v>3626</v>
      </c>
      <c r="AG157" s="223" t="s">
        <v>3652</v>
      </c>
      <c r="AH157" s="116">
        <v>2025</v>
      </c>
      <c r="AI157" s="116">
        <v>2</v>
      </c>
      <c r="AJ157" s="223" t="s">
        <v>3653</v>
      </c>
      <c r="AK157" s="223" t="s">
        <v>34</v>
      </c>
      <c r="AL157" s="60">
        <v>852731922</v>
      </c>
      <c r="AM157" s="60"/>
    </row>
    <row r="158" spans="32:39">
      <c r="AF158" s="223" t="s">
        <v>3626</v>
      </c>
      <c r="AG158" s="223" t="s">
        <v>3652</v>
      </c>
      <c r="AH158" s="116">
        <v>2025</v>
      </c>
      <c r="AI158" s="116">
        <v>3</v>
      </c>
      <c r="AJ158" s="223" t="s">
        <v>3653</v>
      </c>
      <c r="AK158" s="223" t="s">
        <v>34</v>
      </c>
      <c r="AL158" s="60">
        <v>1125113498</v>
      </c>
      <c r="AM158" s="60"/>
    </row>
    <row r="159" spans="32:39">
      <c r="AF159" s="223" t="s">
        <v>3626</v>
      </c>
      <c r="AG159" s="223" t="s">
        <v>3652</v>
      </c>
      <c r="AH159" s="116">
        <v>2025</v>
      </c>
      <c r="AI159" s="116">
        <v>4</v>
      </c>
      <c r="AJ159" s="223" t="s">
        <v>3653</v>
      </c>
      <c r="AK159" s="223" t="s">
        <v>34</v>
      </c>
      <c r="AL159" s="60">
        <v>884817352</v>
      </c>
      <c r="AM159" s="60"/>
    </row>
    <row r="160" spans="32:39">
      <c r="AF160" s="223" t="s">
        <v>3626</v>
      </c>
      <c r="AG160" s="223" t="s">
        <v>3652</v>
      </c>
      <c r="AH160" s="116">
        <v>2025</v>
      </c>
      <c r="AI160" s="116">
        <v>5</v>
      </c>
      <c r="AJ160" s="223" t="s">
        <v>3653</v>
      </c>
      <c r="AK160" s="223" t="s">
        <v>34</v>
      </c>
      <c r="AL160" s="60">
        <v>898641332</v>
      </c>
      <c r="AM160" s="60"/>
    </row>
    <row r="161" spans="32:39">
      <c r="AF161" s="223" t="s">
        <v>3626</v>
      </c>
      <c r="AG161" s="223" t="s">
        <v>3652</v>
      </c>
      <c r="AH161" s="116">
        <v>2025</v>
      </c>
      <c r="AI161" s="116">
        <v>6</v>
      </c>
      <c r="AJ161" s="223" t="s">
        <v>3653</v>
      </c>
      <c r="AK161" s="223" t="s">
        <v>34</v>
      </c>
      <c r="AL161" s="60">
        <v>862798597</v>
      </c>
      <c r="AM161" s="60"/>
    </row>
    <row r="162" spans="32:39">
      <c r="AF162" s="223" t="s">
        <v>3626</v>
      </c>
      <c r="AG162" s="223" t="s">
        <v>3652</v>
      </c>
      <c r="AH162" s="116">
        <v>2025</v>
      </c>
      <c r="AI162" s="116">
        <v>1</v>
      </c>
      <c r="AJ162" s="223" t="s">
        <v>3653</v>
      </c>
      <c r="AK162" s="223" t="s">
        <v>35</v>
      </c>
      <c r="AL162" s="60">
        <v>63363676</v>
      </c>
      <c r="AM162" s="60"/>
    </row>
    <row r="163" spans="32:39">
      <c r="AF163" s="223" t="s">
        <v>3626</v>
      </c>
      <c r="AG163" s="223" t="s">
        <v>3652</v>
      </c>
      <c r="AH163" s="116">
        <v>2025</v>
      </c>
      <c r="AI163" s="116">
        <v>2</v>
      </c>
      <c r="AJ163" s="223" t="s">
        <v>3653</v>
      </c>
      <c r="AK163" s="223" t="s">
        <v>35</v>
      </c>
      <c r="AL163" s="60">
        <v>66703868</v>
      </c>
      <c r="AM163" s="60"/>
    </row>
    <row r="164" spans="32:39">
      <c r="AF164" s="223" t="s">
        <v>3626</v>
      </c>
      <c r="AG164" s="223" t="s">
        <v>3652</v>
      </c>
      <c r="AH164" s="116">
        <v>2025</v>
      </c>
      <c r="AI164" s="116">
        <v>3</v>
      </c>
      <c r="AJ164" s="223" t="s">
        <v>3653</v>
      </c>
      <c r="AK164" s="223" t="s">
        <v>35</v>
      </c>
      <c r="AL164" s="60">
        <v>70676187</v>
      </c>
      <c r="AM164" s="60"/>
    </row>
    <row r="165" spans="32:39">
      <c r="AF165" s="223" t="s">
        <v>3626</v>
      </c>
      <c r="AG165" s="223" t="s">
        <v>3652</v>
      </c>
      <c r="AH165" s="116">
        <v>2025</v>
      </c>
      <c r="AI165" s="116">
        <v>4</v>
      </c>
      <c r="AJ165" s="223" t="s">
        <v>3653</v>
      </c>
      <c r="AK165" s="223" t="s">
        <v>35</v>
      </c>
      <c r="AL165" s="60">
        <v>65029297</v>
      </c>
      <c r="AM165" s="60"/>
    </row>
    <row r="166" spans="32:39">
      <c r="AF166" s="223" t="s">
        <v>3626</v>
      </c>
      <c r="AG166" s="223" t="s">
        <v>3652</v>
      </c>
      <c r="AH166" s="116">
        <v>2025</v>
      </c>
      <c r="AI166" s="116">
        <v>5</v>
      </c>
      <c r="AJ166" s="223" t="s">
        <v>3653</v>
      </c>
      <c r="AK166" s="223" t="s">
        <v>35</v>
      </c>
      <c r="AL166" s="60">
        <v>68369281</v>
      </c>
      <c r="AM166" s="60"/>
    </row>
    <row r="167" spans="32:39">
      <c r="AF167" s="223" t="s">
        <v>3626</v>
      </c>
      <c r="AG167" s="223" t="s">
        <v>3652</v>
      </c>
      <c r="AH167" s="116">
        <v>2025</v>
      </c>
      <c r="AI167" s="116">
        <v>6</v>
      </c>
      <c r="AJ167" s="223" t="s">
        <v>3653</v>
      </c>
      <c r="AK167" s="223" t="s">
        <v>35</v>
      </c>
      <c r="AL167" s="60">
        <v>66061444</v>
      </c>
      <c r="AM167" s="60"/>
    </row>
    <row r="168" spans="32:39">
      <c r="AF168" s="223" t="s">
        <v>3626</v>
      </c>
      <c r="AG168" s="223" t="s">
        <v>3654</v>
      </c>
      <c r="AH168" s="116">
        <v>2025</v>
      </c>
      <c r="AI168" s="116">
        <v>1</v>
      </c>
      <c r="AJ168" s="223" t="s">
        <v>3655</v>
      </c>
      <c r="AK168" s="223" t="s">
        <v>34</v>
      </c>
      <c r="AL168" s="60">
        <v>857989600</v>
      </c>
      <c r="AM168" s="60"/>
    </row>
    <row r="169" spans="32:39">
      <c r="AF169" s="223" t="s">
        <v>3626</v>
      </c>
      <c r="AG169" s="223" t="s">
        <v>3654</v>
      </c>
      <c r="AH169" s="116">
        <v>2025</v>
      </c>
      <c r="AI169" s="116">
        <v>2</v>
      </c>
      <c r="AJ169" s="223" t="s">
        <v>3655</v>
      </c>
      <c r="AK169" s="223" t="s">
        <v>34</v>
      </c>
      <c r="AL169" s="60">
        <v>750406679</v>
      </c>
      <c r="AM169" s="60"/>
    </row>
    <row r="170" spans="32:39">
      <c r="AF170" s="223" t="s">
        <v>3626</v>
      </c>
      <c r="AG170" s="223" t="s">
        <v>3654</v>
      </c>
      <c r="AH170" s="116">
        <v>2025</v>
      </c>
      <c r="AI170" s="116">
        <v>3</v>
      </c>
      <c r="AJ170" s="223" t="s">
        <v>3655</v>
      </c>
      <c r="AK170" s="223" t="s">
        <v>34</v>
      </c>
      <c r="AL170" s="60">
        <v>893768050</v>
      </c>
      <c r="AM170" s="60"/>
    </row>
    <row r="171" spans="32:39">
      <c r="AF171" s="223" t="s">
        <v>3626</v>
      </c>
      <c r="AG171" s="223" t="s">
        <v>3654</v>
      </c>
      <c r="AH171" s="116">
        <v>2025</v>
      </c>
      <c r="AI171" s="116">
        <v>4</v>
      </c>
      <c r="AJ171" s="223" t="s">
        <v>3655</v>
      </c>
      <c r="AK171" s="223" t="s">
        <v>34</v>
      </c>
      <c r="AL171" s="60">
        <v>710850052</v>
      </c>
      <c r="AM171" s="60"/>
    </row>
    <row r="172" spans="32:39">
      <c r="AF172" s="223" t="s">
        <v>3626</v>
      </c>
      <c r="AG172" s="223" t="s">
        <v>3654</v>
      </c>
      <c r="AH172" s="116">
        <v>2025</v>
      </c>
      <c r="AI172" s="116">
        <v>5</v>
      </c>
      <c r="AJ172" s="223" t="s">
        <v>3655</v>
      </c>
      <c r="AK172" s="223" t="s">
        <v>34</v>
      </c>
      <c r="AL172" s="60">
        <v>721698634</v>
      </c>
      <c r="AM172" s="60"/>
    </row>
    <row r="173" spans="32:39">
      <c r="AF173" s="223" t="s">
        <v>3626</v>
      </c>
      <c r="AG173" s="223" t="s">
        <v>3654</v>
      </c>
      <c r="AH173" s="116">
        <v>2025</v>
      </c>
      <c r="AI173" s="116">
        <v>6</v>
      </c>
      <c r="AJ173" s="223" t="s">
        <v>3655</v>
      </c>
      <c r="AK173" s="223" t="s">
        <v>34</v>
      </c>
      <c r="AL173" s="60">
        <v>722630322</v>
      </c>
      <c r="AM173" s="60"/>
    </row>
    <row r="174" spans="32:39">
      <c r="AF174" s="223" t="s">
        <v>3626</v>
      </c>
      <c r="AG174" s="223" t="s">
        <v>3654</v>
      </c>
      <c r="AH174" s="116">
        <v>2025</v>
      </c>
      <c r="AI174" s="116">
        <v>1</v>
      </c>
      <c r="AJ174" s="223" t="s">
        <v>3655</v>
      </c>
      <c r="AK174" s="223" t="s">
        <v>35</v>
      </c>
      <c r="AL174" s="60">
        <v>174472396</v>
      </c>
      <c r="AM174" s="60"/>
    </row>
    <row r="175" spans="32:39">
      <c r="AF175" s="223" t="s">
        <v>3626</v>
      </c>
      <c r="AG175" s="223" t="s">
        <v>3654</v>
      </c>
      <c r="AH175" s="116">
        <v>2025</v>
      </c>
      <c r="AI175" s="116">
        <v>2</v>
      </c>
      <c r="AJ175" s="223" t="s">
        <v>3655</v>
      </c>
      <c r="AK175" s="223" t="s">
        <v>35</v>
      </c>
      <c r="AL175" s="60">
        <v>165967550</v>
      </c>
      <c r="AM175" s="60"/>
    </row>
    <row r="176" spans="32:39">
      <c r="AF176" s="223" t="s">
        <v>3626</v>
      </c>
      <c r="AG176" s="223" t="s">
        <v>3654</v>
      </c>
      <c r="AH176" s="116">
        <v>2025</v>
      </c>
      <c r="AI176" s="116">
        <v>3</v>
      </c>
      <c r="AJ176" s="223" t="s">
        <v>3655</v>
      </c>
      <c r="AK176" s="223" t="s">
        <v>35</v>
      </c>
      <c r="AL176" s="60">
        <v>178416285</v>
      </c>
      <c r="AM176" s="60"/>
    </row>
    <row r="177" spans="32:39">
      <c r="AF177" s="223" t="s">
        <v>3626</v>
      </c>
      <c r="AG177" s="223" t="s">
        <v>3654</v>
      </c>
      <c r="AH177" s="116">
        <v>2025</v>
      </c>
      <c r="AI177" s="116">
        <v>4</v>
      </c>
      <c r="AJ177" s="223" t="s">
        <v>3655</v>
      </c>
      <c r="AK177" s="223" t="s">
        <v>35</v>
      </c>
      <c r="AL177" s="60">
        <v>151952937</v>
      </c>
      <c r="AM177" s="60"/>
    </row>
    <row r="178" spans="32:39">
      <c r="AF178" s="223" t="s">
        <v>3626</v>
      </c>
      <c r="AG178" s="223" t="s">
        <v>3654</v>
      </c>
      <c r="AH178" s="116">
        <v>2025</v>
      </c>
      <c r="AI178" s="116">
        <v>5</v>
      </c>
      <c r="AJ178" s="223" t="s">
        <v>3655</v>
      </c>
      <c r="AK178" s="223" t="s">
        <v>35</v>
      </c>
      <c r="AL178" s="60">
        <v>172028118</v>
      </c>
      <c r="AM178" s="60"/>
    </row>
    <row r="179" spans="32:39">
      <c r="AF179" s="223" t="s">
        <v>3626</v>
      </c>
      <c r="AG179" s="223" t="s">
        <v>3654</v>
      </c>
      <c r="AH179" s="116">
        <v>2025</v>
      </c>
      <c r="AI179" s="116">
        <v>6</v>
      </c>
      <c r="AJ179" s="223" t="s">
        <v>3655</v>
      </c>
      <c r="AK179" s="223" t="s">
        <v>35</v>
      </c>
      <c r="AL179" s="60">
        <v>166109368</v>
      </c>
      <c r="AM179" s="60"/>
    </row>
    <row r="180" spans="32:39">
      <c r="AF180" s="223" t="s">
        <v>3626</v>
      </c>
      <c r="AG180" s="223" t="s">
        <v>3656</v>
      </c>
      <c r="AH180" s="116">
        <v>2025</v>
      </c>
      <c r="AI180" s="116">
        <v>1</v>
      </c>
      <c r="AJ180" s="223" t="s">
        <v>3657</v>
      </c>
      <c r="AK180" s="223" t="s">
        <v>34</v>
      </c>
      <c r="AL180" s="60">
        <v>59566933</v>
      </c>
      <c r="AM180" s="60"/>
    </row>
    <row r="181" spans="32:39">
      <c r="AF181" s="223" t="s">
        <v>3626</v>
      </c>
      <c r="AG181" s="223" t="s">
        <v>3656</v>
      </c>
      <c r="AH181" s="116">
        <v>2025</v>
      </c>
      <c r="AI181" s="116">
        <v>2</v>
      </c>
      <c r="AJ181" s="223" t="s">
        <v>3657</v>
      </c>
      <c r="AK181" s="223" t="s">
        <v>34</v>
      </c>
      <c r="AL181" s="60">
        <v>61828281</v>
      </c>
      <c r="AM181" s="60"/>
    </row>
    <row r="182" spans="32:39">
      <c r="AF182" s="223" t="s">
        <v>3626</v>
      </c>
      <c r="AG182" s="223" t="s">
        <v>3656</v>
      </c>
      <c r="AH182" s="116">
        <v>2025</v>
      </c>
      <c r="AI182" s="116">
        <v>3</v>
      </c>
      <c r="AJ182" s="223" t="s">
        <v>3657</v>
      </c>
      <c r="AK182" s="223" t="s">
        <v>34</v>
      </c>
      <c r="AL182" s="60">
        <v>72242085</v>
      </c>
      <c r="AM182" s="60"/>
    </row>
    <row r="183" spans="32:39">
      <c r="AF183" s="223" t="s">
        <v>3626</v>
      </c>
      <c r="AG183" s="223" t="s">
        <v>3656</v>
      </c>
      <c r="AH183" s="116">
        <v>2025</v>
      </c>
      <c r="AI183" s="116">
        <v>4</v>
      </c>
      <c r="AJ183" s="223" t="s">
        <v>3657</v>
      </c>
      <c r="AK183" s="223" t="s">
        <v>34</v>
      </c>
      <c r="AL183" s="60">
        <v>51224958</v>
      </c>
      <c r="AM183" s="60"/>
    </row>
    <row r="184" spans="32:39">
      <c r="AF184" s="223" t="s">
        <v>3626</v>
      </c>
      <c r="AG184" s="223" t="s">
        <v>3656</v>
      </c>
      <c r="AH184" s="116">
        <v>2025</v>
      </c>
      <c r="AI184" s="116">
        <v>5</v>
      </c>
      <c r="AJ184" s="223" t="s">
        <v>3657</v>
      </c>
      <c r="AK184" s="223" t="s">
        <v>34</v>
      </c>
      <c r="AL184" s="60">
        <v>55630716</v>
      </c>
      <c r="AM184" s="60"/>
    </row>
    <row r="185" spans="32:39">
      <c r="AF185" s="223" t="s">
        <v>3626</v>
      </c>
      <c r="AG185" s="223" t="s">
        <v>3656</v>
      </c>
      <c r="AH185" s="116">
        <v>2025</v>
      </c>
      <c r="AI185" s="116">
        <v>6</v>
      </c>
      <c r="AJ185" s="223" t="s">
        <v>3657</v>
      </c>
      <c r="AK185" s="223" t="s">
        <v>34</v>
      </c>
      <c r="AL185" s="60">
        <v>56880346</v>
      </c>
      <c r="AM185" s="60"/>
    </row>
    <row r="186" spans="32:39">
      <c r="AF186" s="223" t="s">
        <v>3626</v>
      </c>
      <c r="AG186" s="223" t="s">
        <v>3656</v>
      </c>
      <c r="AH186" s="116">
        <v>2025</v>
      </c>
      <c r="AI186" s="116">
        <v>1</v>
      </c>
      <c r="AJ186" s="223" t="s">
        <v>3657</v>
      </c>
      <c r="AK186" s="223" t="s">
        <v>35</v>
      </c>
      <c r="AL186" s="60">
        <v>50346053</v>
      </c>
      <c r="AM186" s="60"/>
    </row>
    <row r="187" spans="32:39">
      <c r="AF187" s="223" t="s">
        <v>3626</v>
      </c>
      <c r="AG187" s="223" t="s">
        <v>3656</v>
      </c>
      <c r="AH187" s="116">
        <v>2025</v>
      </c>
      <c r="AI187" s="116">
        <v>2</v>
      </c>
      <c r="AJ187" s="223" t="s">
        <v>3657</v>
      </c>
      <c r="AK187" s="223" t="s">
        <v>35</v>
      </c>
      <c r="AL187" s="60">
        <v>42844341</v>
      </c>
      <c r="AM187" s="60"/>
    </row>
    <row r="188" spans="32:39">
      <c r="AF188" s="223" t="s">
        <v>3626</v>
      </c>
      <c r="AG188" s="223" t="s">
        <v>3656</v>
      </c>
      <c r="AH188" s="116">
        <v>2025</v>
      </c>
      <c r="AI188" s="116">
        <v>3</v>
      </c>
      <c r="AJ188" s="223" t="s">
        <v>3657</v>
      </c>
      <c r="AK188" s="223" t="s">
        <v>35</v>
      </c>
      <c r="AL188" s="60">
        <v>51828176</v>
      </c>
      <c r="AM188" s="60"/>
    </row>
    <row r="189" spans="32:39">
      <c r="AF189" s="223" t="s">
        <v>3626</v>
      </c>
      <c r="AG189" s="223" t="s">
        <v>3656</v>
      </c>
      <c r="AH189" s="116">
        <v>2025</v>
      </c>
      <c r="AI189" s="116">
        <v>4</v>
      </c>
      <c r="AJ189" s="223" t="s">
        <v>3657</v>
      </c>
      <c r="AK189" s="223" t="s">
        <v>35</v>
      </c>
      <c r="AL189" s="60">
        <v>41574913</v>
      </c>
      <c r="AM189" s="60"/>
    </row>
    <row r="190" spans="32:39">
      <c r="AF190" s="223" t="s">
        <v>3626</v>
      </c>
      <c r="AG190" s="223" t="s">
        <v>3656</v>
      </c>
      <c r="AH190" s="116">
        <v>2025</v>
      </c>
      <c r="AI190" s="116">
        <v>5</v>
      </c>
      <c r="AJ190" s="223" t="s">
        <v>3657</v>
      </c>
      <c r="AK190" s="223" t="s">
        <v>35</v>
      </c>
      <c r="AL190" s="60">
        <v>44872221</v>
      </c>
      <c r="AM190" s="60"/>
    </row>
    <row r="191" spans="32:39">
      <c r="AF191" s="223" t="s">
        <v>3626</v>
      </c>
      <c r="AG191" s="223" t="s">
        <v>3656</v>
      </c>
      <c r="AH191" s="116">
        <v>2025</v>
      </c>
      <c r="AI191" s="116">
        <v>6</v>
      </c>
      <c r="AJ191" s="223" t="s">
        <v>3657</v>
      </c>
      <c r="AK191" s="223" t="s">
        <v>35</v>
      </c>
      <c r="AL191" s="60">
        <v>42146931</v>
      </c>
      <c r="AM191" s="60"/>
    </row>
    <row r="192" spans="32:39">
      <c r="AF192" s="223" t="s">
        <v>3626</v>
      </c>
      <c r="AG192" s="223" t="s">
        <v>3658</v>
      </c>
      <c r="AH192" s="116">
        <v>2025</v>
      </c>
      <c r="AI192" s="116">
        <v>1</v>
      </c>
      <c r="AJ192" s="223" t="s">
        <v>3659</v>
      </c>
      <c r="AK192" s="223" t="s">
        <v>34</v>
      </c>
      <c r="AL192" s="60">
        <v>1484046145</v>
      </c>
      <c r="AM192" s="60"/>
    </row>
    <row r="193" spans="32:39">
      <c r="AF193" s="223" t="s">
        <v>3626</v>
      </c>
      <c r="AG193" s="223" t="s">
        <v>3658</v>
      </c>
      <c r="AH193" s="116">
        <v>2025</v>
      </c>
      <c r="AI193" s="116">
        <v>2</v>
      </c>
      <c r="AJ193" s="223" t="s">
        <v>3659</v>
      </c>
      <c r="AK193" s="223" t="s">
        <v>34</v>
      </c>
      <c r="AL193" s="60">
        <v>1214261948</v>
      </c>
      <c r="AM193" s="60"/>
    </row>
    <row r="194" spans="32:39">
      <c r="AF194" s="223" t="s">
        <v>3626</v>
      </c>
      <c r="AG194" s="223" t="s">
        <v>3658</v>
      </c>
      <c r="AH194" s="116">
        <v>2025</v>
      </c>
      <c r="AI194" s="116">
        <v>3</v>
      </c>
      <c r="AJ194" s="223" t="s">
        <v>3659</v>
      </c>
      <c r="AK194" s="223" t="s">
        <v>34</v>
      </c>
      <c r="AL194" s="60">
        <v>1180140657</v>
      </c>
      <c r="AM194" s="60"/>
    </row>
    <row r="195" spans="32:39">
      <c r="AF195" s="223" t="s">
        <v>3626</v>
      </c>
      <c r="AG195" s="223" t="s">
        <v>3658</v>
      </c>
      <c r="AH195" s="116">
        <v>2025</v>
      </c>
      <c r="AI195" s="116">
        <v>4</v>
      </c>
      <c r="AJ195" s="223" t="s">
        <v>3659</v>
      </c>
      <c r="AK195" s="223" t="s">
        <v>34</v>
      </c>
      <c r="AL195" s="60">
        <v>960801593</v>
      </c>
      <c r="AM195" s="60"/>
    </row>
    <row r="196" spans="32:39">
      <c r="AF196" s="223" t="s">
        <v>3626</v>
      </c>
      <c r="AG196" s="223" t="s">
        <v>3658</v>
      </c>
      <c r="AH196" s="116">
        <v>2025</v>
      </c>
      <c r="AI196" s="116">
        <v>5</v>
      </c>
      <c r="AJ196" s="223" t="s">
        <v>3659</v>
      </c>
      <c r="AK196" s="223" t="s">
        <v>34</v>
      </c>
      <c r="AL196" s="60">
        <v>1026550917</v>
      </c>
      <c r="AM196" s="60"/>
    </row>
    <row r="197" spans="32:39">
      <c r="AF197" s="223" t="s">
        <v>3626</v>
      </c>
      <c r="AG197" s="223" t="s">
        <v>3658</v>
      </c>
      <c r="AH197" s="116">
        <v>2025</v>
      </c>
      <c r="AI197" s="116">
        <v>6</v>
      </c>
      <c r="AJ197" s="223" t="s">
        <v>3659</v>
      </c>
      <c r="AK197" s="223" t="s">
        <v>34</v>
      </c>
      <c r="AL197" s="60">
        <v>1112353964</v>
      </c>
      <c r="AM197" s="60"/>
    </row>
    <row r="198" spans="32:39">
      <c r="AF198" s="223" t="s">
        <v>3626</v>
      </c>
      <c r="AG198" s="223" t="s">
        <v>3658</v>
      </c>
      <c r="AH198" s="116">
        <v>2025</v>
      </c>
      <c r="AI198" s="116">
        <v>1</v>
      </c>
      <c r="AJ198" s="223" t="s">
        <v>3659</v>
      </c>
      <c r="AK198" s="223" t="s">
        <v>35</v>
      </c>
      <c r="AL198" s="60">
        <v>380617061</v>
      </c>
      <c r="AM198" s="60"/>
    </row>
    <row r="199" spans="32:39">
      <c r="AF199" s="223" t="s">
        <v>3626</v>
      </c>
      <c r="AG199" s="223" t="s">
        <v>3658</v>
      </c>
      <c r="AH199" s="116">
        <v>2025</v>
      </c>
      <c r="AI199" s="116">
        <v>2</v>
      </c>
      <c r="AJ199" s="223" t="s">
        <v>3659</v>
      </c>
      <c r="AK199" s="223" t="s">
        <v>35</v>
      </c>
      <c r="AL199" s="60">
        <v>201677079</v>
      </c>
      <c r="AM199" s="60"/>
    </row>
    <row r="200" spans="32:39">
      <c r="AF200" s="223" t="s">
        <v>3626</v>
      </c>
      <c r="AG200" s="223" t="s">
        <v>3658</v>
      </c>
      <c r="AH200" s="116">
        <v>2025</v>
      </c>
      <c r="AI200" s="116">
        <v>3</v>
      </c>
      <c r="AJ200" s="223" t="s">
        <v>3659</v>
      </c>
      <c r="AK200" s="223" t="s">
        <v>35</v>
      </c>
      <c r="AL200" s="60">
        <v>188437840</v>
      </c>
      <c r="AM200" s="60"/>
    </row>
    <row r="201" spans="32:39">
      <c r="AF201" s="223" t="s">
        <v>3626</v>
      </c>
      <c r="AG201" s="223" t="s">
        <v>3658</v>
      </c>
      <c r="AH201" s="116">
        <v>2025</v>
      </c>
      <c r="AI201" s="116">
        <v>4</v>
      </c>
      <c r="AJ201" s="223" t="s">
        <v>3659</v>
      </c>
      <c r="AK201" s="223" t="s">
        <v>35</v>
      </c>
      <c r="AL201" s="60">
        <v>191032666</v>
      </c>
      <c r="AM201" s="60"/>
    </row>
    <row r="202" spans="32:39">
      <c r="AF202" s="223" t="s">
        <v>3626</v>
      </c>
      <c r="AG202" s="223" t="s">
        <v>3658</v>
      </c>
      <c r="AH202" s="116">
        <v>2025</v>
      </c>
      <c r="AI202" s="116">
        <v>5</v>
      </c>
      <c r="AJ202" s="223" t="s">
        <v>3659</v>
      </c>
      <c r="AK202" s="223" t="s">
        <v>35</v>
      </c>
      <c r="AL202" s="60">
        <v>150036900</v>
      </c>
      <c r="AM202" s="60"/>
    </row>
    <row r="203" spans="32:39">
      <c r="AF203" s="223" t="s">
        <v>3626</v>
      </c>
      <c r="AG203" s="223" t="s">
        <v>3658</v>
      </c>
      <c r="AH203" s="116">
        <v>2025</v>
      </c>
      <c r="AI203" s="116">
        <v>6</v>
      </c>
      <c r="AJ203" s="223" t="s">
        <v>3659</v>
      </c>
      <c r="AK203" s="223" t="s">
        <v>35</v>
      </c>
      <c r="AL203" s="60">
        <v>145769739</v>
      </c>
      <c r="AM203" s="60"/>
    </row>
    <row r="204" spans="32:39">
      <c r="AF204" s="223" t="s">
        <v>3626</v>
      </c>
      <c r="AG204" s="223" t="s">
        <v>3660</v>
      </c>
      <c r="AH204" s="116">
        <v>2025</v>
      </c>
      <c r="AI204" s="116">
        <v>1</v>
      </c>
      <c r="AJ204" s="223" t="s">
        <v>3661</v>
      </c>
      <c r="AK204" s="223" t="s">
        <v>34</v>
      </c>
      <c r="AL204" s="60">
        <v>2605724117</v>
      </c>
      <c r="AM204" s="60"/>
    </row>
    <row r="205" spans="32:39">
      <c r="AF205" s="223" t="s">
        <v>3626</v>
      </c>
      <c r="AG205" s="223" t="s">
        <v>3660</v>
      </c>
      <c r="AH205" s="116">
        <v>2025</v>
      </c>
      <c r="AI205" s="116">
        <v>2</v>
      </c>
      <c r="AJ205" s="223" t="s">
        <v>3661</v>
      </c>
      <c r="AK205" s="223" t="s">
        <v>34</v>
      </c>
      <c r="AL205" s="60">
        <v>2322397532</v>
      </c>
      <c r="AM205" s="60"/>
    </row>
    <row r="206" spans="32:39">
      <c r="AF206" s="223" t="s">
        <v>3626</v>
      </c>
      <c r="AG206" s="223" t="s">
        <v>3660</v>
      </c>
      <c r="AH206" s="116">
        <v>2025</v>
      </c>
      <c r="AI206" s="116">
        <v>3</v>
      </c>
      <c r="AJ206" s="223" t="s">
        <v>3661</v>
      </c>
      <c r="AK206" s="223" t="s">
        <v>34</v>
      </c>
      <c r="AL206" s="60">
        <v>2501974673</v>
      </c>
      <c r="AM206" s="60"/>
    </row>
    <row r="207" spans="32:39">
      <c r="AF207" s="223" t="s">
        <v>3626</v>
      </c>
      <c r="AG207" s="223" t="s">
        <v>3660</v>
      </c>
      <c r="AH207" s="116">
        <v>2025</v>
      </c>
      <c r="AI207" s="116">
        <v>4</v>
      </c>
      <c r="AJ207" s="223" t="s">
        <v>3661</v>
      </c>
      <c r="AK207" s="223" t="s">
        <v>34</v>
      </c>
      <c r="AL207" s="60">
        <v>2106985105</v>
      </c>
      <c r="AM207" s="60"/>
    </row>
    <row r="208" spans="32:39">
      <c r="AF208" s="223" t="s">
        <v>3626</v>
      </c>
      <c r="AG208" s="223" t="s">
        <v>3660</v>
      </c>
      <c r="AH208" s="116">
        <v>2025</v>
      </c>
      <c r="AI208" s="116">
        <v>5</v>
      </c>
      <c r="AJ208" s="223" t="s">
        <v>3661</v>
      </c>
      <c r="AK208" s="223" t="s">
        <v>34</v>
      </c>
      <c r="AL208" s="60">
        <v>1850975232</v>
      </c>
      <c r="AM208" s="60"/>
    </row>
    <row r="209" spans="32:39">
      <c r="AF209" s="223" t="s">
        <v>3626</v>
      </c>
      <c r="AG209" s="223" t="s">
        <v>3660</v>
      </c>
      <c r="AH209" s="116">
        <v>2025</v>
      </c>
      <c r="AI209" s="116">
        <v>6</v>
      </c>
      <c r="AJ209" s="223" t="s">
        <v>3661</v>
      </c>
      <c r="AK209" s="223" t="s">
        <v>34</v>
      </c>
      <c r="AL209" s="60">
        <v>1945457175</v>
      </c>
      <c r="AM209" s="60"/>
    </row>
    <row r="210" spans="32:39">
      <c r="AF210" s="223" t="s">
        <v>3626</v>
      </c>
      <c r="AG210" s="223" t="s">
        <v>3660</v>
      </c>
      <c r="AH210" s="116">
        <v>2025</v>
      </c>
      <c r="AI210" s="116">
        <v>1</v>
      </c>
      <c r="AJ210" s="223" t="s">
        <v>3661</v>
      </c>
      <c r="AK210" s="223" t="s">
        <v>35</v>
      </c>
      <c r="AL210" s="60">
        <v>745063122</v>
      </c>
      <c r="AM210" s="60"/>
    </row>
    <row r="211" spans="32:39">
      <c r="AF211" s="223" t="s">
        <v>3626</v>
      </c>
      <c r="AG211" s="223" t="s">
        <v>3660</v>
      </c>
      <c r="AH211" s="116">
        <v>2025</v>
      </c>
      <c r="AI211" s="116">
        <v>2</v>
      </c>
      <c r="AJ211" s="223" t="s">
        <v>3661</v>
      </c>
      <c r="AK211" s="223" t="s">
        <v>35</v>
      </c>
      <c r="AL211" s="60">
        <v>678296735</v>
      </c>
      <c r="AM211" s="60"/>
    </row>
    <row r="212" spans="32:39">
      <c r="AF212" s="223" t="s">
        <v>3626</v>
      </c>
      <c r="AG212" s="223" t="s">
        <v>3660</v>
      </c>
      <c r="AH212" s="116">
        <v>2025</v>
      </c>
      <c r="AI212" s="116">
        <v>3</v>
      </c>
      <c r="AJ212" s="223" t="s">
        <v>3661</v>
      </c>
      <c r="AK212" s="223" t="s">
        <v>35</v>
      </c>
      <c r="AL212" s="60">
        <v>755216930</v>
      </c>
      <c r="AM212" s="60"/>
    </row>
    <row r="213" spans="32:39">
      <c r="AF213" s="223" t="s">
        <v>3626</v>
      </c>
      <c r="AG213" s="223" t="s">
        <v>3660</v>
      </c>
      <c r="AH213" s="116">
        <v>2025</v>
      </c>
      <c r="AI213" s="116">
        <v>4</v>
      </c>
      <c r="AJ213" s="223" t="s">
        <v>3661</v>
      </c>
      <c r="AK213" s="223" t="s">
        <v>35</v>
      </c>
      <c r="AL213" s="60">
        <v>675085248</v>
      </c>
      <c r="AM213" s="60"/>
    </row>
    <row r="214" spans="32:39">
      <c r="AF214" s="223" t="s">
        <v>3626</v>
      </c>
      <c r="AG214" s="223" t="s">
        <v>3660</v>
      </c>
      <c r="AH214" s="116">
        <v>2025</v>
      </c>
      <c r="AI214" s="116">
        <v>5</v>
      </c>
      <c r="AJ214" s="223" t="s">
        <v>3661</v>
      </c>
      <c r="AK214" s="223" t="s">
        <v>35</v>
      </c>
      <c r="AL214" s="60">
        <v>684166999</v>
      </c>
      <c r="AM214" s="60"/>
    </row>
    <row r="215" spans="32:39">
      <c r="AF215" s="223" t="s">
        <v>3626</v>
      </c>
      <c r="AG215" s="223" t="s">
        <v>3660</v>
      </c>
      <c r="AH215" s="116">
        <v>2025</v>
      </c>
      <c r="AI215" s="116">
        <v>6</v>
      </c>
      <c r="AJ215" s="223" t="s">
        <v>3661</v>
      </c>
      <c r="AK215" s="223" t="s">
        <v>35</v>
      </c>
      <c r="AL215" s="60">
        <v>679502038</v>
      </c>
      <c r="AM215" s="60"/>
    </row>
    <row r="216" spans="32:39">
      <c r="AF216" s="223" t="s">
        <v>3626</v>
      </c>
      <c r="AG216" s="223" t="s">
        <v>3662</v>
      </c>
      <c r="AH216" s="116">
        <v>2025</v>
      </c>
      <c r="AI216" s="116">
        <v>1</v>
      </c>
      <c r="AJ216" s="223" t="s">
        <v>3663</v>
      </c>
      <c r="AK216" s="223" t="s">
        <v>34</v>
      </c>
      <c r="AL216" s="60">
        <v>888029040</v>
      </c>
      <c r="AM216" s="60"/>
    </row>
    <row r="217" spans="32:39">
      <c r="AF217" s="223" t="s">
        <v>3626</v>
      </c>
      <c r="AG217" s="223" t="s">
        <v>3662</v>
      </c>
      <c r="AH217" s="116">
        <v>2025</v>
      </c>
      <c r="AI217" s="116">
        <v>2</v>
      </c>
      <c r="AJ217" s="223" t="s">
        <v>3663</v>
      </c>
      <c r="AK217" s="223" t="s">
        <v>34</v>
      </c>
      <c r="AL217" s="60">
        <v>844324336</v>
      </c>
      <c r="AM217" s="60"/>
    </row>
    <row r="218" spans="32:39">
      <c r="AF218" s="223" t="s">
        <v>3626</v>
      </c>
      <c r="AG218" s="223" t="s">
        <v>3662</v>
      </c>
      <c r="AH218" s="116">
        <v>2025</v>
      </c>
      <c r="AI218" s="116">
        <v>3</v>
      </c>
      <c r="AJ218" s="223" t="s">
        <v>3663</v>
      </c>
      <c r="AK218" s="223" t="s">
        <v>34</v>
      </c>
      <c r="AL218" s="60">
        <v>993312138</v>
      </c>
      <c r="AM218" s="60"/>
    </row>
    <row r="219" spans="32:39">
      <c r="AF219" s="223" t="s">
        <v>3626</v>
      </c>
      <c r="AG219" s="223" t="s">
        <v>3662</v>
      </c>
      <c r="AH219" s="116">
        <v>2025</v>
      </c>
      <c r="AI219" s="116">
        <v>4</v>
      </c>
      <c r="AJ219" s="223" t="s">
        <v>3663</v>
      </c>
      <c r="AK219" s="223" t="s">
        <v>34</v>
      </c>
      <c r="AL219" s="60">
        <v>816920019</v>
      </c>
      <c r="AM219" s="60"/>
    </row>
    <row r="220" spans="32:39">
      <c r="AF220" s="223" t="s">
        <v>3626</v>
      </c>
      <c r="AG220" s="223" t="s">
        <v>3662</v>
      </c>
      <c r="AH220" s="116">
        <v>2025</v>
      </c>
      <c r="AI220" s="116">
        <v>5</v>
      </c>
      <c r="AJ220" s="223" t="s">
        <v>3663</v>
      </c>
      <c r="AK220" s="223" t="s">
        <v>34</v>
      </c>
      <c r="AL220" s="60">
        <v>846211892</v>
      </c>
      <c r="AM220" s="60"/>
    </row>
    <row r="221" spans="32:39">
      <c r="AF221" s="223" t="s">
        <v>3626</v>
      </c>
      <c r="AG221" s="223" t="s">
        <v>3662</v>
      </c>
      <c r="AH221" s="116">
        <v>2025</v>
      </c>
      <c r="AI221" s="116">
        <v>6</v>
      </c>
      <c r="AJ221" s="223" t="s">
        <v>3663</v>
      </c>
      <c r="AK221" s="223" t="s">
        <v>34</v>
      </c>
      <c r="AL221" s="60">
        <v>872669034</v>
      </c>
      <c r="AM221" s="60"/>
    </row>
    <row r="222" spans="32:39">
      <c r="AF222" s="223" t="s">
        <v>3626</v>
      </c>
      <c r="AG222" s="223" t="s">
        <v>3662</v>
      </c>
      <c r="AH222" s="116">
        <v>2025</v>
      </c>
      <c r="AI222" s="116">
        <v>1</v>
      </c>
      <c r="AJ222" s="223" t="s">
        <v>3663</v>
      </c>
      <c r="AK222" s="223" t="s">
        <v>35</v>
      </c>
      <c r="AL222" s="60">
        <v>791334906</v>
      </c>
      <c r="AM222" s="60"/>
    </row>
    <row r="223" spans="32:39">
      <c r="AF223" s="223" t="s">
        <v>3626</v>
      </c>
      <c r="AG223" s="223" t="s">
        <v>3662</v>
      </c>
      <c r="AH223" s="116">
        <v>2025</v>
      </c>
      <c r="AI223" s="116">
        <v>2</v>
      </c>
      <c r="AJ223" s="223" t="s">
        <v>3663</v>
      </c>
      <c r="AK223" s="223" t="s">
        <v>35</v>
      </c>
      <c r="AL223" s="60">
        <v>791315861</v>
      </c>
      <c r="AM223" s="60"/>
    </row>
    <row r="224" spans="32:39">
      <c r="AF224" s="223" t="s">
        <v>3626</v>
      </c>
      <c r="AG224" s="223" t="s">
        <v>3662</v>
      </c>
      <c r="AH224" s="116">
        <v>2025</v>
      </c>
      <c r="AI224" s="116">
        <v>3</v>
      </c>
      <c r="AJ224" s="223" t="s">
        <v>3663</v>
      </c>
      <c r="AK224" s="223" t="s">
        <v>35</v>
      </c>
      <c r="AL224" s="60">
        <v>871758686</v>
      </c>
      <c r="AM224" s="60"/>
    </row>
    <row r="225" spans="32:39">
      <c r="AF225" s="223" t="s">
        <v>3626</v>
      </c>
      <c r="AG225" s="223" t="s">
        <v>3662</v>
      </c>
      <c r="AH225" s="116">
        <v>2025</v>
      </c>
      <c r="AI225" s="116">
        <v>4</v>
      </c>
      <c r="AJ225" s="223" t="s">
        <v>3663</v>
      </c>
      <c r="AK225" s="223" t="s">
        <v>35</v>
      </c>
      <c r="AL225" s="60">
        <v>803533803</v>
      </c>
      <c r="AM225" s="60"/>
    </row>
    <row r="226" spans="32:39">
      <c r="AF226" s="223" t="s">
        <v>3626</v>
      </c>
      <c r="AG226" s="223" t="s">
        <v>3662</v>
      </c>
      <c r="AH226" s="116">
        <v>2025</v>
      </c>
      <c r="AI226" s="116">
        <v>5</v>
      </c>
      <c r="AJ226" s="223" t="s">
        <v>3663</v>
      </c>
      <c r="AK226" s="223" t="s">
        <v>35</v>
      </c>
      <c r="AL226" s="60">
        <v>845746349</v>
      </c>
      <c r="AM226" s="60"/>
    </row>
    <row r="227" spans="32:39">
      <c r="AF227" s="223" t="s">
        <v>3626</v>
      </c>
      <c r="AG227" s="223" t="s">
        <v>3662</v>
      </c>
      <c r="AH227" s="116">
        <v>2025</v>
      </c>
      <c r="AI227" s="116">
        <v>6</v>
      </c>
      <c r="AJ227" s="223" t="s">
        <v>3663</v>
      </c>
      <c r="AK227" s="223" t="s">
        <v>35</v>
      </c>
      <c r="AL227" s="60">
        <v>821800312</v>
      </c>
      <c r="AM227" s="60"/>
    </row>
    <row r="228" spans="32:39">
      <c r="AF228" s="223" t="s">
        <v>3626</v>
      </c>
      <c r="AG228" s="223" t="s">
        <v>3664</v>
      </c>
      <c r="AH228" s="116">
        <v>2025</v>
      </c>
      <c r="AI228" s="116">
        <v>1</v>
      </c>
      <c r="AJ228" s="223" t="s">
        <v>3665</v>
      </c>
      <c r="AK228" s="223" t="s">
        <v>34</v>
      </c>
      <c r="AL228" s="60">
        <v>165253371</v>
      </c>
      <c r="AM228" s="60"/>
    </row>
    <row r="229" spans="32:39">
      <c r="AF229" s="223" t="s">
        <v>3626</v>
      </c>
      <c r="AG229" s="223" t="s">
        <v>3664</v>
      </c>
      <c r="AH229" s="116">
        <v>2025</v>
      </c>
      <c r="AI229" s="116">
        <v>2</v>
      </c>
      <c r="AJ229" s="223" t="s">
        <v>3665</v>
      </c>
      <c r="AK229" s="223" t="s">
        <v>34</v>
      </c>
      <c r="AL229" s="60">
        <v>158803256</v>
      </c>
      <c r="AM229" s="60"/>
    </row>
    <row r="230" spans="32:39">
      <c r="AF230" s="223" t="s">
        <v>3626</v>
      </c>
      <c r="AG230" s="223" t="s">
        <v>3664</v>
      </c>
      <c r="AH230" s="116">
        <v>2025</v>
      </c>
      <c r="AI230" s="116">
        <v>3</v>
      </c>
      <c r="AJ230" s="223" t="s">
        <v>3665</v>
      </c>
      <c r="AK230" s="223" t="s">
        <v>34</v>
      </c>
      <c r="AL230" s="60">
        <v>169938682</v>
      </c>
      <c r="AM230" s="60"/>
    </row>
    <row r="231" spans="32:39">
      <c r="AF231" s="223" t="s">
        <v>3626</v>
      </c>
      <c r="AG231" s="223" t="s">
        <v>3664</v>
      </c>
      <c r="AH231" s="116">
        <v>2025</v>
      </c>
      <c r="AI231" s="116">
        <v>4</v>
      </c>
      <c r="AJ231" s="223" t="s">
        <v>3665</v>
      </c>
      <c r="AK231" s="223" t="s">
        <v>34</v>
      </c>
      <c r="AL231" s="60">
        <v>158578825</v>
      </c>
      <c r="AM231" s="60"/>
    </row>
    <row r="232" spans="32:39">
      <c r="AF232" s="223" t="s">
        <v>3626</v>
      </c>
      <c r="AG232" s="223" t="s">
        <v>3664</v>
      </c>
      <c r="AH232" s="116">
        <v>2025</v>
      </c>
      <c r="AI232" s="116">
        <v>5</v>
      </c>
      <c r="AJ232" s="223" t="s">
        <v>3665</v>
      </c>
      <c r="AK232" s="223" t="s">
        <v>34</v>
      </c>
      <c r="AL232" s="60">
        <v>164036518</v>
      </c>
      <c r="AM232" s="60"/>
    </row>
    <row r="233" spans="32:39">
      <c r="AF233" s="223" t="s">
        <v>3626</v>
      </c>
      <c r="AG233" s="223" t="s">
        <v>3664</v>
      </c>
      <c r="AH233" s="116">
        <v>2025</v>
      </c>
      <c r="AI233" s="116">
        <v>6</v>
      </c>
      <c r="AJ233" s="223" t="s">
        <v>3665</v>
      </c>
      <c r="AK233" s="223" t="s">
        <v>34</v>
      </c>
      <c r="AL233" s="60">
        <v>181279986</v>
      </c>
      <c r="AM233" s="60"/>
    </row>
    <row r="234" spans="32:39">
      <c r="AF234" s="223" t="s">
        <v>3626</v>
      </c>
      <c r="AG234" s="223" t="s">
        <v>3664</v>
      </c>
      <c r="AH234" s="116">
        <v>2025</v>
      </c>
      <c r="AI234" s="116">
        <v>1</v>
      </c>
      <c r="AJ234" s="223" t="s">
        <v>3665</v>
      </c>
      <c r="AK234" s="223" t="s">
        <v>35</v>
      </c>
      <c r="AL234" s="60">
        <v>374022323</v>
      </c>
      <c r="AM234" s="60"/>
    </row>
    <row r="235" spans="32:39">
      <c r="AF235" s="223" t="s">
        <v>3626</v>
      </c>
      <c r="AG235" s="223" t="s">
        <v>3664</v>
      </c>
      <c r="AH235" s="116">
        <v>2025</v>
      </c>
      <c r="AI235" s="116">
        <v>2</v>
      </c>
      <c r="AJ235" s="223" t="s">
        <v>3665</v>
      </c>
      <c r="AK235" s="223" t="s">
        <v>35</v>
      </c>
      <c r="AL235" s="60">
        <v>369358056</v>
      </c>
      <c r="AM235" s="60"/>
    </row>
    <row r="236" spans="32:39">
      <c r="AF236" s="223" t="s">
        <v>3626</v>
      </c>
      <c r="AG236" s="223" t="s">
        <v>3664</v>
      </c>
      <c r="AH236" s="116">
        <v>2025</v>
      </c>
      <c r="AI236" s="116">
        <v>3</v>
      </c>
      <c r="AJ236" s="223" t="s">
        <v>3665</v>
      </c>
      <c r="AK236" s="223" t="s">
        <v>35</v>
      </c>
      <c r="AL236" s="60">
        <v>400808478</v>
      </c>
      <c r="AM236" s="60"/>
    </row>
    <row r="237" spans="32:39">
      <c r="AF237" s="223" t="s">
        <v>3626</v>
      </c>
      <c r="AG237" s="223" t="s">
        <v>3664</v>
      </c>
      <c r="AH237" s="116">
        <v>2025</v>
      </c>
      <c r="AI237" s="116">
        <v>4</v>
      </c>
      <c r="AJ237" s="223" t="s">
        <v>3665</v>
      </c>
      <c r="AK237" s="223" t="s">
        <v>35</v>
      </c>
      <c r="AL237" s="60">
        <v>378155702</v>
      </c>
      <c r="AM237" s="60"/>
    </row>
    <row r="238" spans="32:39">
      <c r="AF238" s="223" t="s">
        <v>3626</v>
      </c>
      <c r="AG238" s="223" t="s">
        <v>3664</v>
      </c>
      <c r="AH238" s="116">
        <v>2025</v>
      </c>
      <c r="AI238" s="116">
        <v>5</v>
      </c>
      <c r="AJ238" s="223" t="s">
        <v>3665</v>
      </c>
      <c r="AK238" s="223" t="s">
        <v>35</v>
      </c>
      <c r="AL238" s="60">
        <v>376052512</v>
      </c>
      <c r="AM238" s="60"/>
    </row>
    <row r="239" spans="32:39">
      <c r="AF239" s="223" t="s">
        <v>3626</v>
      </c>
      <c r="AG239" s="223" t="s">
        <v>3664</v>
      </c>
      <c r="AH239" s="116">
        <v>2025</v>
      </c>
      <c r="AI239" s="116">
        <v>6</v>
      </c>
      <c r="AJ239" s="223" t="s">
        <v>3665</v>
      </c>
      <c r="AK239" s="223" t="s">
        <v>35</v>
      </c>
      <c r="AL239" s="60">
        <v>372008646</v>
      </c>
      <c r="AM239" s="60"/>
    </row>
    <row r="240" spans="32:39">
      <c r="AF240" s="223" t="s">
        <v>3626</v>
      </c>
      <c r="AG240" s="223" t="s">
        <v>3666</v>
      </c>
      <c r="AH240" s="116">
        <v>2025</v>
      </c>
      <c r="AI240" s="116">
        <v>1</v>
      </c>
      <c r="AJ240" s="223" t="s">
        <v>3667</v>
      </c>
      <c r="AK240" s="223" t="s">
        <v>34</v>
      </c>
      <c r="AL240" s="60">
        <v>5203044393</v>
      </c>
      <c r="AM240" s="60"/>
    </row>
    <row r="241" spans="32:39">
      <c r="AF241" s="223" t="s">
        <v>3626</v>
      </c>
      <c r="AG241" s="223" t="s">
        <v>3666</v>
      </c>
      <c r="AH241" s="116">
        <v>2025</v>
      </c>
      <c r="AI241" s="116">
        <v>2</v>
      </c>
      <c r="AJ241" s="223" t="s">
        <v>3667</v>
      </c>
      <c r="AK241" s="223" t="s">
        <v>34</v>
      </c>
      <c r="AL241" s="60">
        <v>4254786296</v>
      </c>
      <c r="AM241" s="60"/>
    </row>
    <row r="242" spans="32:39">
      <c r="AF242" s="223" t="s">
        <v>3626</v>
      </c>
      <c r="AG242" s="223" t="s">
        <v>3666</v>
      </c>
      <c r="AH242" s="116">
        <v>2025</v>
      </c>
      <c r="AI242" s="116">
        <v>3</v>
      </c>
      <c r="AJ242" s="223" t="s">
        <v>3667</v>
      </c>
      <c r="AK242" s="223" t="s">
        <v>34</v>
      </c>
      <c r="AL242" s="60">
        <v>2524656077</v>
      </c>
      <c r="AM242" s="60"/>
    </row>
    <row r="243" spans="32:39">
      <c r="AF243" s="223" t="s">
        <v>3626</v>
      </c>
      <c r="AG243" s="223" t="s">
        <v>3666</v>
      </c>
      <c r="AH243" s="116">
        <v>2025</v>
      </c>
      <c r="AI243" s="116">
        <v>4</v>
      </c>
      <c r="AJ243" s="223" t="s">
        <v>3667</v>
      </c>
      <c r="AK243" s="223" t="s">
        <v>34</v>
      </c>
      <c r="AL243" s="60">
        <v>1884077148</v>
      </c>
      <c r="AM243" s="60"/>
    </row>
    <row r="244" spans="32:39">
      <c r="AF244" s="223" t="s">
        <v>3626</v>
      </c>
      <c r="AG244" s="223" t="s">
        <v>3666</v>
      </c>
      <c r="AH244" s="116">
        <v>2025</v>
      </c>
      <c r="AI244" s="116">
        <v>5</v>
      </c>
      <c r="AJ244" s="223" t="s">
        <v>3667</v>
      </c>
      <c r="AK244" s="223" t="s">
        <v>34</v>
      </c>
      <c r="AL244" s="60">
        <v>1873807175</v>
      </c>
      <c r="AM244" s="60"/>
    </row>
    <row r="245" spans="32:39">
      <c r="AF245" s="223" t="s">
        <v>3626</v>
      </c>
      <c r="AG245" s="223" t="s">
        <v>3666</v>
      </c>
      <c r="AH245" s="116">
        <v>2025</v>
      </c>
      <c r="AI245" s="116">
        <v>6</v>
      </c>
      <c r="AJ245" s="223" t="s">
        <v>3667</v>
      </c>
      <c r="AK245" s="223" t="s">
        <v>34</v>
      </c>
      <c r="AL245" s="60">
        <v>1594741635</v>
      </c>
      <c r="AM245" s="60"/>
    </row>
    <row r="246" spans="32:39">
      <c r="AF246" s="223" t="s">
        <v>3626</v>
      </c>
      <c r="AG246" s="223" t="s">
        <v>3666</v>
      </c>
      <c r="AH246" s="116">
        <v>2025</v>
      </c>
      <c r="AI246" s="116">
        <v>1</v>
      </c>
      <c r="AJ246" s="223" t="s">
        <v>3667</v>
      </c>
      <c r="AK246" s="223" t="s">
        <v>35</v>
      </c>
      <c r="AL246" s="60">
        <v>1472336250</v>
      </c>
      <c r="AM246" s="60"/>
    </row>
    <row r="247" spans="32:39">
      <c r="AF247" s="223" t="s">
        <v>3626</v>
      </c>
      <c r="AG247" s="223" t="s">
        <v>3666</v>
      </c>
      <c r="AH247" s="116">
        <v>2025</v>
      </c>
      <c r="AI247" s="116">
        <v>2</v>
      </c>
      <c r="AJ247" s="223" t="s">
        <v>3667</v>
      </c>
      <c r="AK247" s="223" t="s">
        <v>35</v>
      </c>
      <c r="AL247" s="60">
        <v>1031940250</v>
      </c>
      <c r="AM247" s="60"/>
    </row>
    <row r="248" spans="32:39">
      <c r="AF248" s="223" t="s">
        <v>3626</v>
      </c>
      <c r="AG248" s="223" t="s">
        <v>3666</v>
      </c>
      <c r="AH248" s="116">
        <v>2025</v>
      </c>
      <c r="AI248" s="116">
        <v>3</v>
      </c>
      <c r="AJ248" s="223" t="s">
        <v>3667</v>
      </c>
      <c r="AK248" s="223" t="s">
        <v>35</v>
      </c>
      <c r="AL248" s="60">
        <v>996689669</v>
      </c>
      <c r="AM248" s="60"/>
    </row>
    <row r="249" spans="32:39">
      <c r="AF249" s="223" t="s">
        <v>3626</v>
      </c>
      <c r="AG249" s="223" t="s">
        <v>3666</v>
      </c>
      <c r="AH249" s="116">
        <v>2025</v>
      </c>
      <c r="AI249" s="116">
        <v>4</v>
      </c>
      <c r="AJ249" s="223" t="s">
        <v>3667</v>
      </c>
      <c r="AK249" s="223" t="s">
        <v>35</v>
      </c>
      <c r="AL249" s="60">
        <v>671498753</v>
      </c>
      <c r="AM249" s="60"/>
    </row>
    <row r="250" spans="32:39">
      <c r="AF250" s="223" t="s">
        <v>3626</v>
      </c>
      <c r="AG250" s="223" t="s">
        <v>3666</v>
      </c>
      <c r="AH250" s="116">
        <v>2025</v>
      </c>
      <c r="AI250" s="116">
        <v>5</v>
      </c>
      <c r="AJ250" s="223" t="s">
        <v>3667</v>
      </c>
      <c r="AK250" s="223" t="s">
        <v>35</v>
      </c>
      <c r="AL250" s="60">
        <v>872884499</v>
      </c>
      <c r="AM250" s="60"/>
    </row>
    <row r="251" spans="32:39">
      <c r="AF251" s="223" t="s">
        <v>3626</v>
      </c>
      <c r="AG251" s="223" t="s">
        <v>3666</v>
      </c>
      <c r="AH251" s="116">
        <v>2025</v>
      </c>
      <c r="AI251" s="116">
        <v>6</v>
      </c>
      <c r="AJ251" s="223" t="s">
        <v>3667</v>
      </c>
      <c r="AK251" s="223" t="s">
        <v>35</v>
      </c>
      <c r="AL251" s="60">
        <v>836459300</v>
      </c>
      <c r="AM251" s="60"/>
    </row>
    <row r="252" spans="32:39">
      <c r="AF252" s="223" t="s">
        <v>3626</v>
      </c>
      <c r="AG252" s="223" t="s">
        <v>3668</v>
      </c>
      <c r="AH252" s="116">
        <v>2025</v>
      </c>
      <c r="AI252" s="116">
        <v>1</v>
      </c>
      <c r="AJ252" s="223" t="s">
        <v>3669</v>
      </c>
      <c r="AK252" s="223" t="s">
        <v>34</v>
      </c>
      <c r="AL252" s="60">
        <v>678003914</v>
      </c>
      <c r="AM252" s="60"/>
    </row>
    <row r="253" spans="32:39">
      <c r="AF253" s="223" t="s">
        <v>3626</v>
      </c>
      <c r="AG253" s="223" t="s">
        <v>3668</v>
      </c>
      <c r="AH253" s="116">
        <v>2025</v>
      </c>
      <c r="AI253" s="116">
        <v>2</v>
      </c>
      <c r="AJ253" s="223" t="s">
        <v>3669</v>
      </c>
      <c r="AK253" s="223" t="s">
        <v>34</v>
      </c>
      <c r="AL253" s="60">
        <v>623771385</v>
      </c>
      <c r="AM253" s="60"/>
    </row>
    <row r="254" spans="32:39">
      <c r="AF254" s="223" t="s">
        <v>3626</v>
      </c>
      <c r="AG254" s="223" t="s">
        <v>3668</v>
      </c>
      <c r="AH254" s="116">
        <v>2025</v>
      </c>
      <c r="AI254" s="116">
        <v>3</v>
      </c>
      <c r="AJ254" s="223" t="s">
        <v>3669</v>
      </c>
      <c r="AK254" s="223" t="s">
        <v>34</v>
      </c>
      <c r="AL254" s="60">
        <v>690164053</v>
      </c>
      <c r="AM254" s="60"/>
    </row>
    <row r="255" spans="32:39">
      <c r="AF255" s="223" t="s">
        <v>3626</v>
      </c>
      <c r="AG255" s="223" t="s">
        <v>3668</v>
      </c>
      <c r="AH255" s="116">
        <v>2025</v>
      </c>
      <c r="AI255" s="116">
        <v>4</v>
      </c>
      <c r="AJ255" s="223" t="s">
        <v>3669</v>
      </c>
      <c r="AK255" s="223" t="s">
        <v>34</v>
      </c>
      <c r="AL255" s="60">
        <v>523130171</v>
      </c>
      <c r="AM255" s="60"/>
    </row>
    <row r="256" spans="32:39">
      <c r="AF256" s="223" t="s">
        <v>3626</v>
      </c>
      <c r="AG256" s="223" t="s">
        <v>3668</v>
      </c>
      <c r="AH256" s="116">
        <v>2025</v>
      </c>
      <c r="AI256" s="116">
        <v>5</v>
      </c>
      <c r="AJ256" s="223" t="s">
        <v>3669</v>
      </c>
      <c r="AK256" s="223" t="s">
        <v>34</v>
      </c>
      <c r="AL256" s="60">
        <v>534628801</v>
      </c>
      <c r="AM256" s="60"/>
    </row>
    <row r="257" spans="32:39">
      <c r="AF257" s="223" t="s">
        <v>3626</v>
      </c>
      <c r="AG257" s="223" t="s">
        <v>3668</v>
      </c>
      <c r="AH257" s="116">
        <v>2025</v>
      </c>
      <c r="AI257" s="116">
        <v>6</v>
      </c>
      <c r="AJ257" s="223" t="s">
        <v>3669</v>
      </c>
      <c r="AK257" s="223" t="s">
        <v>34</v>
      </c>
      <c r="AL257" s="60">
        <v>512584169</v>
      </c>
      <c r="AM257" s="60"/>
    </row>
    <row r="258" spans="32:39">
      <c r="AF258" s="223" t="s">
        <v>3626</v>
      </c>
      <c r="AG258" s="223" t="s">
        <v>3668</v>
      </c>
      <c r="AH258" s="116">
        <v>2025</v>
      </c>
      <c r="AI258" s="116">
        <v>1</v>
      </c>
      <c r="AJ258" s="223" t="s">
        <v>3669</v>
      </c>
      <c r="AK258" s="223" t="s">
        <v>35</v>
      </c>
      <c r="AL258" s="60">
        <v>1151087498</v>
      </c>
      <c r="AM258" s="60"/>
    </row>
    <row r="259" spans="32:39">
      <c r="AF259" s="223" t="s">
        <v>3626</v>
      </c>
      <c r="AG259" s="223" t="s">
        <v>3668</v>
      </c>
      <c r="AH259" s="116">
        <v>2025</v>
      </c>
      <c r="AI259" s="116">
        <v>2</v>
      </c>
      <c r="AJ259" s="223" t="s">
        <v>3669</v>
      </c>
      <c r="AK259" s="223" t="s">
        <v>35</v>
      </c>
      <c r="AL259" s="60">
        <v>1123177241</v>
      </c>
      <c r="AM259" s="60"/>
    </row>
    <row r="260" spans="32:39">
      <c r="AF260" s="223" t="s">
        <v>3626</v>
      </c>
      <c r="AG260" s="223" t="s">
        <v>3668</v>
      </c>
      <c r="AH260" s="116">
        <v>2025</v>
      </c>
      <c r="AI260" s="116">
        <v>3</v>
      </c>
      <c r="AJ260" s="223" t="s">
        <v>3669</v>
      </c>
      <c r="AK260" s="223" t="s">
        <v>35</v>
      </c>
      <c r="AL260" s="60">
        <v>1193442673</v>
      </c>
      <c r="AM260" s="60"/>
    </row>
    <row r="261" spans="32:39">
      <c r="AF261" s="223" t="s">
        <v>3626</v>
      </c>
      <c r="AG261" s="223" t="s">
        <v>3668</v>
      </c>
      <c r="AH261" s="116">
        <v>2025</v>
      </c>
      <c r="AI261" s="116">
        <v>4</v>
      </c>
      <c r="AJ261" s="223" t="s">
        <v>3669</v>
      </c>
      <c r="AK261" s="223" t="s">
        <v>35</v>
      </c>
      <c r="AL261" s="60">
        <v>1108787696</v>
      </c>
      <c r="AM261" s="60"/>
    </row>
    <row r="262" spans="32:39">
      <c r="AF262" s="223" t="s">
        <v>3626</v>
      </c>
      <c r="AG262" s="223" t="s">
        <v>3668</v>
      </c>
      <c r="AH262" s="116">
        <v>2025</v>
      </c>
      <c r="AI262" s="116">
        <v>5</v>
      </c>
      <c r="AJ262" s="223" t="s">
        <v>3669</v>
      </c>
      <c r="AK262" s="223" t="s">
        <v>35</v>
      </c>
      <c r="AL262" s="60">
        <v>1123596610</v>
      </c>
      <c r="AM262" s="60"/>
    </row>
    <row r="263" spans="32:39">
      <c r="AF263" s="223" t="s">
        <v>3626</v>
      </c>
      <c r="AG263" s="223" t="s">
        <v>3668</v>
      </c>
      <c r="AH263" s="116">
        <v>2025</v>
      </c>
      <c r="AI263" s="116">
        <v>6</v>
      </c>
      <c r="AJ263" s="223" t="s">
        <v>3669</v>
      </c>
      <c r="AK263" s="223" t="s">
        <v>35</v>
      </c>
      <c r="AL263" s="60">
        <v>1081361091</v>
      </c>
      <c r="AM263" s="60"/>
    </row>
    <row r="264" spans="32:39">
      <c r="AF264" s="223" t="s">
        <v>3626</v>
      </c>
      <c r="AG264" s="223" t="s">
        <v>3670</v>
      </c>
      <c r="AH264" s="116">
        <v>2025</v>
      </c>
      <c r="AI264" s="116">
        <v>1</v>
      </c>
      <c r="AJ264" s="223" t="s">
        <v>3671</v>
      </c>
      <c r="AK264" s="223" t="s">
        <v>34</v>
      </c>
      <c r="AL264" s="60">
        <v>1922996313</v>
      </c>
      <c r="AM264" s="60"/>
    </row>
    <row r="265" spans="32:39">
      <c r="AF265" s="223" t="s">
        <v>3626</v>
      </c>
      <c r="AG265" s="223" t="s">
        <v>3670</v>
      </c>
      <c r="AH265" s="116">
        <v>2025</v>
      </c>
      <c r="AI265" s="116">
        <v>2</v>
      </c>
      <c r="AJ265" s="223" t="s">
        <v>3671</v>
      </c>
      <c r="AK265" s="223" t="s">
        <v>34</v>
      </c>
      <c r="AL265" s="60">
        <v>1814692450</v>
      </c>
      <c r="AM265" s="60"/>
    </row>
    <row r="266" spans="32:39">
      <c r="AF266" s="223" t="s">
        <v>3626</v>
      </c>
      <c r="AG266" s="223" t="s">
        <v>3670</v>
      </c>
      <c r="AH266" s="116">
        <v>2025</v>
      </c>
      <c r="AI266" s="116">
        <v>3</v>
      </c>
      <c r="AJ266" s="223" t="s">
        <v>3671</v>
      </c>
      <c r="AK266" s="223" t="s">
        <v>34</v>
      </c>
      <c r="AL266" s="60">
        <v>2091863470</v>
      </c>
      <c r="AM266" s="60"/>
    </row>
    <row r="267" spans="32:39">
      <c r="AF267" s="223" t="s">
        <v>3626</v>
      </c>
      <c r="AG267" s="223" t="s">
        <v>3670</v>
      </c>
      <c r="AH267" s="116">
        <v>2025</v>
      </c>
      <c r="AI267" s="116">
        <v>4</v>
      </c>
      <c r="AJ267" s="223" t="s">
        <v>3671</v>
      </c>
      <c r="AK267" s="223" t="s">
        <v>34</v>
      </c>
      <c r="AL267" s="60">
        <v>1264498744</v>
      </c>
      <c r="AM267" s="60"/>
    </row>
    <row r="268" spans="32:39">
      <c r="AF268" s="223" t="s">
        <v>3626</v>
      </c>
      <c r="AG268" s="223" t="s">
        <v>3670</v>
      </c>
      <c r="AH268" s="116">
        <v>2025</v>
      </c>
      <c r="AI268" s="116">
        <v>5</v>
      </c>
      <c r="AJ268" s="223" t="s">
        <v>3671</v>
      </c>
      <c r="AK268" s="223" t="s">
        <v>34</v>
      </c>
      <c r="AL268" s="60">
        <v>1432320229</v>
      </c>
      <c r="AM268" s="60"/>
    </row>
    <row r="269" spans="32:39">
      <c r="AF269" s="223" t="s">
        <v>3626</v>
      </c>
      <c r="AG269" s="223" t="s">
        <v>3670</v>
      </c>
      <c r="AH269" s="116">
        <v>2025</v>
      </c>
      <c r="AI269" s="116">
        <v>6</v>
      </c>
      <c r="AJ269" s="223" t="s">
        <v>3671</v>
      </c>
      <c r="AK269" s="223" t="s">
        <v>34</v>
      </c>
      <c r="AL269" s="60">
        <v>1583168742</v>
      </c>
      <c r="AM269" s="60"/>
    </row>
    <row r="270" spans="32:39">
      <c r="AF270" s="223" t="s">
        <v>3626</v>
      </c>
      <c r="AG270" s="223" t="s">
        <v>3670</v>
      </c>
      <c r="AH270" s="116">
        <v>2025</v>
      </c>
      <c r="AI270" s="116">
        <v>1</v>
      </c>
      <c r="AJ270" s="223" t="s">
        <v>3671</v>
      </c>
      <c r="AK270" s="223" t="s">
        <v>35</v>
      </c>
      <c r="AL270" s="60">
        <v>2534979480</v>
      </c>
      <c r="AM270" s="60"/>
    </row>
    <row r="271" spans="32:39">
      <c r="AF271" s="223" t="s">
        <v>3626</v>
      </c>
      <c r="AG271" s="223" t="s">
        <v>3670</v>
      </c>
      <c r="AH271" s="116">
        <v>2025</v>
      </c>
      <c r="AI271" s="116">
        <v>2</v>
      </c>
      <c r="AJ271" s="223" t="s">
        <v>3671</v>
      </c>
      <c r="AK271" s="223" t="s">
        <v>35</v>
      </c>
      <c r="AL271" s="60">
        <v>2734394395</v>
      </c>
      <c r="AM271" s="60"/>
    </row>
    <row r="272" spans="32:39">
      <c r="AF272" s="223" t="s">
        <v>3626</v>
      </c>
      <c r="AG272" s="223" t="s">
        <v>3670</v>
      </c>
      <c r="AH272" s="116">
        <v>2025</v>
      </c>
      <c r="AI272" s="116">
        <v>3</v>
      </c>
      <c r="AJ272" s="223" t="s">
        <v>3671</v>
      </c>
      <c r="AK272" s="223" t="s">
        <v>35</v>
      </c>
      <c r="AL272" s="60">
        <v>3057146206</v>
      </c>
      <c r="AM272" s="60"/>
    </row>
    <row r="273" spans="32:39">
      <c r="AF273" s="223" t="s">
        <v>3626</v>
      </c>
      <c r="AG273" s="223" t="s">
        <v>3670</v>
      </c>
      <c r="AH273" s="116">
        <v>2025</v>
      </c>
      <c r="AI273" s="116">
        <v>4</v>
      </c>
      <c r="AJ273" s="223" t="s">
        <v>3671</v>
      </c>
      <c r="AK273" s="223" t="s">
        <v>35</v>
      </c>
      <c r="AL273" s="60">
        <v>2933138161</v>
      </c>
      <c r="AM273" s="60"/>
    </row>
    <row r="274" spans="32:39">
      <c r="AF274" s="223" t="s">
        <v>3626</v>
      </c>
      <c r="AG274" s="223" t="s">
        <v>3670</v>
      </c>
      <c r="AH274" s="116">
        <v>2025</v>
      </c>
      <c r="AI274" s="116">
        <v>5</v>
      </c>
      <c r="AJ274" s="223" t="s">
        <v>3671</v>
      </c>
      <c r="AK274" s="223" t="s">
        <v>35</v>
      </c>
      <c r="AL274" s="60">
        <v>3099811177</v>
      </c>
      <c r="AM274" s="60"/>
    </row>
    <row r="275" spans="32:39">
      <c r="AF275" s="223" t="s">
        <v>3626</v>
      </c>
      <c r="AG275" s="223" t="s">
        <v>3670</v>
      </c>
      <c r="AH275" s="116">
        <v>2025</v>
      </c>
      <c r="AI275" s="116">
        <v>6</v>
      </c>
      <c r="AJ275" s="223" t="s">
        <v>3671</v>
      </c>
      <c r="AK275" s="223" t="s">
        <v>35</v>
      </c>
      <c r="AL275" s="60">
        <v>2985224995</v>
      </c>
      <c r="AM275" s="60"/>
    </row>
    <row r="276" spans="32:39">
      <c r="AF276" s="223" t="s">
        <v>3626</v>
      </c>
      <c r="AG276" s="223" t="s">
        <v>3672</v>
      </c>
      <c r="AH276" s="116">
        <v>2025</v>
      </c>
      <c r="AI276" s="116">
        <v>1</v>
      </c>
      <c r="AJ276" s="223" t="s">
        <v>3673</v>
      </c>
      <c r="AK276" s="223" t="s">
        <v>34</v>
      </c>
      <c r="AL276" s="60">
        <v>670094507</v>
      </c>
      <c r="AM276" s="60"/>
    </row>
    <row r="277" spans="32:39">
      <c r="AF277" s="223" t="s">
        <v>3626</v>
      </c>
      <c r="AG277" s="223" t="s">
        <v>3672</v>
      </c>
      <c r="AH277" s="116">
        <v>2025</v>
      </c>
      <c r="AI277" s="116">
        <v>2</v>
      </c>
      <c r="AJ277" s="223" t="s">
        <v>3673</v>
      </c>
      <c r="AK277" s="223" t="s">
        <v>34</v>
      </c>
      <c r="AL277" s="60">
        <v>665677709</v>
      </c>
      <c r="AM277" s="60"/>
    </row>
    <row r="278" spans="32:39">
      <c r="AF278" s="223" t="s">
        <v>3626</v>
      </c>
      <c r="AG278" s="223" t="s">
        <v>3672</v>
      </c>
      <c r="AH278" s="116">
        <v>2025</v>
      </c>
      <c r="AI278" s="116">
        <v>3</v>
      </c>
      <c r="AJ278" s="223" t="s">
        <v>3673</v>
      </c>
      <c r="AK278" s="223" t="s">
        <v>34</v>
      </c>
      <c r="AL278" s="60">
        <v>728777103</v>
      </c>
      <c r="AM278" s="60"/>
    </row>
    <row r="279" spans="32:39">
      <c r="AF279" s="223" t="s">
        <v>3626</v>
      </c>
      <c r="AG279" s="223" t="s">
        <v>3672</v>
      </c>
      <c r="AH279" s="116">
        <v>2025</v>
      </c>
      <c r="AI279" s="116">
        <v>4</v>
      </c>
      <c r="AJ279" s="223" t="s">
        <v>3673</v>
      </c>
      <c r="AK279" s="223" t="s">
        <v>34</v>
      </c>
      <c r="AL279" s="60">
        <v>610930817</v>
      </c>
      <c r="AM279" s="60"/>
    </row>
    <row r="280" spans="32:39">
      <c r="AF280" s="223" t="s">
        <v>3626</v>
      </c>
      <c r="AG280" s="223" t="s">
        <v>3672</v>
      </c>
      <c r="AH280" s="116">
        <v>2025</v>
      </c>
      <c r="AI280" s="116">
        <v>5</v>
      </c>
      <c r="AJ280" s="223" t="s">
        <v>3673</v>
      </c>
      <c r="AK280" s="223" t="s">
        <v>34</v>
      </c>
      <c r="AL280" s="60">
        <v>631158925</v>
      </c>
      <c r="AM280" s="60"/>
    </row>
    <row r="281" spans="32:39">
      <c r="AF281" s="223" t="s">
        <v>3626</v>
      </c>
      <c r="AG281" s="223" t="s">
        <v>3672</v>
      </c>
      <c r="AH281" s="116">
        <v>2025</v>
      </c>
      <c r="AI281" s="116">
        <v>6</v>
      </c>
      <c r="AJ281" s="223" t="s">
        <v>3673</v>
      </c>
      <c r="AK281" s="223" t="s">
        <v>34</v>
      </c>
      <c r="AL281" s="60">
        <v>608717860</v>
      </c>
      <c r="AM281" s="60"/>
    </row>
    <row r="282" spans="32:39">
      <c r="AF282" s="223" t="s">
        <v>3626</v>
      </c>
      <c r="AG282" s="223" t="s">
        <v>3672</v>
      </c>
      <c r="AH282" s="116">
        <v>2025</v>
      </c>
      <c r="AI282" s="116">
        <v>1</v>
      </c>
      <c r="AJ282" s="223" t="s">
        <v>3673</v>
      </c>
      <c r="AK282" s="223" t="s">
        <v>35</v>
      </c>
      <c r="AL282" s="60">
        <v>9098773608</v>
      </c>
      <c r="AM282" s="60"/>
    </row>
    <row r="283" spans="32:39">
      <c r="AF283" s="223" t="s">
        <v>3626</v>
      </c>
      <c r="AG283" s="223" t="s">
        <v>3672</v>
      </c>
      <c r="AH283" s="116">
        <v>2025</v>
      </c>
      <c r="AI283" s="116">
        <v>2</v>
      </c>
      <c r="AJ283" s="223" t="s">
        <v>3673</v>
      </c>
      <c r="AK283" s="223" t="s">
        <v>35</v>
      </c>
      <c r="AL283" s="60">
        <v>9233420197</v>
      </c>
      <c r="AM283" s="60"/>
    </row>
    <row r="284" spans="32:39">
      <c r="AF284" s="223" t="s">
        <v>3626</v>
      </c>
      <c r="AG284" s="223" t="s">
        <v>3672</v>
      </c>
      <c r="AH284" s="116">
        <v>2025</v>
      </c>
      <c r="AI284" s="116">
        <v>3</v>
      </c>
      <c r="AJ284" s="223" t="s">
        <v>3673</v>
      </c>
      <c r="AK284" s="223" t="s">
        <v>35</v>
      </c>
      <c r="AL284" s="60">
        <v>11489686692</v>
      </c>
      <c r="AM284" s="60"/>
    </row>
    <row r="285" spans="32:39">
      <c r="AF285" s="223" t="s">
        <v>3626</v>
      </c>
      <c r="AG285" s="223" t="s">
        <v>3672</v>
      </c>
      <c r="AH285" s="116">
        <v>2025</v>
      </c>
      <c r="AI285" s="116">
        <v>4</v>
      </c>
      <c r="AJ285" s="223" t="s">
        <v>3673</v>
      </c>
      <c r="AK285" s="223" t="s">
        <v>35</v>
      </c>
      <c r="AL285" s="60">
        <v>10545930357</v>
      </c>
      <c r="AM285" s="60"/>
    </row>
    <row r="286" spans="32:39">
      <c r="AF286" s="223" t="s">
        <v>3626</v>
      </c>
      <c r="AG286" s="223" t="s">
        <v>3672</v>
      </c>
      <c r="AH286" s="116">
        <v>2025</v>
      </c>
      <c r="AI286" s="116">
        <v>5</v>
      </c>
      <c r="AJ286" s="223" t="s">
        <v>3673</v>
      </c>
      <c r="AK286" s="223" t="s">
        <v>35</v>
      </c>
      <c r="AL286" s="60">
        <v>11563244429</v>
      </c>
      <c r="AM286" s="60"/>
    </row>
    <row r="287" spans="32:39">
      <c r="AF287" s="223" t="s">
        <v>3626</v>
      </c>
      <c r="AG287" s="223" t="s">
        <v>3672</v>
      </c>
      <c r="AH287" s="116">
        <v>2025</v>
      </c>
      <c r="AI287" s="116">
        <v>6</v>
      </c>
      <c r="AJ287" s="223" t="s">
        <v>3673</v>
      </c>
      <c r="AK287" s="223" t="s">
        <v>35</v>
      </c>
      <c r="AL287" s="60">
        <v>11403505715</v>
      </c>
      <c r="AM287" s="60"/>
    </row>
    <row r="288" spans="32:39">
      <c r="AF288" s="223" t="s">
        <v>3626</v>
      </c>
      <c r="AG288" s="223" t="s">
        <v>3674</v>
      </c>
      <c r="AH288" s="116">
        <v>2025</v>
      </c>
      <c r="AI288" s="116">
        <v>1</v>
      </c>
      <c r="AJ288" s="223" t="s">
        <v>3675</v>
      </c>
      <c r="AK288" s="223" t="s">
        <v>34</v>
      </c>
      <c r="AL288" s="60">
        <v>741678619</v>
      </c>
      <c r="AM288" s="60"/>
    </row>
    <row r="289" spans="32:39">
      <c r="AF289" s="223" t="s">
        <v>3626</v>
      </c>
      <c r="AG289" s="223" t="s">
        <v>3674</v>
      </c>
      <c r="AH289" s="116">
        <v>2025</v>
      </c>
      <c r="AI289" s="116">
        <v>2</v>
      </c>
      <c r="AJ289" s="223" t="s">
        <v>3675</v>
      </c>
      <c r="AK289" s="223" t="s">
        <v>34</v>
      </c>
      <c r="AL289" s="60">
        <v>728372008</v>
      </c>
      <c r="AM289" s="60"/>
    </row>
    <row r="290" spans="32:39">
      <c r="AF290" s="223" t="s">
        <v>3626</v>
      </c>
      <c r="AG290" s="223" t="s">
        <v>3674</v>
      </c>
      <c r="AH290" s="116">
        <v>2025</v>
      </c>
      <c r="AI290" s="116">
        <v>3</v>
      </c>
      <c r="AJ290" s="223" t="s">
        <v>3675</v>
      </c>
      <c r="AK290" s="223" t="s">
        <v>34</v>
      </c>
      <c r="AL290" s="60">
        <v>772745560</v>
      </c>
      <c r="AM290" s="60"/>
    </row>
    <row r="291" spans="32:39">
      <c r="AF291" s="223" t="s">
        <v>3626</v>
      </c>
      <c r="AG291" s="223" t="s">
        <v>3674</v>
      </c>
      <c r="AH291" s="116">
        <v>2025</v>
      </c>
      <c r="AI291" s="116">
        <v>4</v>
      </c>
      <c r="AJ291" s="223" t="s">
        <v>3675</v>
      </c>
      <c r="AK291" s="223" t="s">
        <v>34</v>
      </c>
      <c r="AL291" s="60">
        <v>576274582</v>
      </c>
      <c r="AM291" s="60"/>
    </row>
    <row r="292" spans="32:39">
      <c r="AF292" s="223" t="s">
        <v>3626</v>
      </c>
      <c r="AG292" s="223" t="s">
        <v>3674</v>
      </c>
      <c r="AH292" s="116">
        <v>2025</v>
      </c>
      <c r="AI292" s="116">
        <v>5</v>
      </c>
      <c r="AJ292" s="223" t="s">
        <v>3675</v>
      </c>
      <c r="AK292" s="223" t="s">
        <v>34</v>
      </c>
      <c r="AL292" s="60">
        <v>648407701</v>
      </c>
      <c r="AM292" s="60"/>
    </row>
    <row r="293" spans="32:39">
      <c r="AF293" s="223" t="s">
        <v>3626</v>
      </c>
      <c r="AG293" s="223" t="s">
        <v>3674</v>
      </c>
      <c r="AH293" s="116">
        <v>2025</v>
      </c>
      <c r="AI293" s="116">
        <v>6</v>
      </c>
      <c r="AJ293" s="223" t="s">
        <v>3675</v>
      </c>
      <c r="AK293" s="223" t="s">
        <v>34</v>
      </c>
      <c r="AL293" s="60">
        <v>713935035</v>
      </c>
      <c r="AM293" s="60"/>
    </row>
    <row r="294" spans="32:39">
      <c r="AF294" s="223" t="s">
        <v>3626</v>
      </c>
      <c r="AG294" s="223" t="s">
        <v>3674</v>
      </c>
      <c r="AH294" s="116">
        <v>2025</v>
      </c>
      <c r="AI294" s="116">
        <v>1</v>
      </c>
      <c r="AJ294" s="223" t="s">
        <v>3675</v>
      </c>
      <c r="AK294" s="223" t="s">
        <v>35</v>
      </c>
      <c r="AL294" s="60">
        <v>3687914021</v>
      </c>
      <c r="AM294" s="60"/>
    </row>
    <row r="295" spans="32:39">
      <c r="AF295" s="223" t="s">
        <v>3626</v>
      </c>
      <c r="AG295" s="223" t="s">
        <v>3674</v>
      </c>
      <c r="AH295" s="116">
        <v>2025</v>
      </c>
      <c r="AI295" s="116">
        <v>2</v>
      </c>
      <c r="AJ295" s="223" t="s">
        <v>3675</v>
      </c>
      <c r="AK295" s="223" t="s">
        <v>35</v>
      </c>
      <c r="AL295" s="60">
        <v>3711765343</v>
      </c>
      <c r="AM295" s="60"/>
    </row>
    <row r="296" spans="32:39">
      <c r="AF296" s="223" t="s">
        <v>3626</v>
      </c>
      <c r="AG296" s="223" t="s">
        <v>3674</v>
      </c>
      <c r="AH296" s="116">
        <v>2025</v>
      </c>
      <c r="AI296" s="116">
        <v>3</v>
      </c>
      <c r="AJ296" s="223" t="s">
        <v>3675</v>
      </c>
      <c r="AK296" s="223" t="s">
        <v>35</v>
      </c>
      <c r="AL296" s="60">
        <v>4126341425</v>
      </c>
      <c r="AM296" s="60"/>
    </row>
    <row r="297" spans="32:39">
      <c r="AF297" s="223" t="s">
        <v>3626</v>
      </c>
      <c r="AG297" s="223" t="s">
        <v>3674</v>
      </c>
      <c r="AH297" s="116">
        <v>2025</v>
      </c>
      <c r="AI297" s="116">
        <v>4</v>
      </c>
      <c r="AJ297" s="223" t="s">
        <v>3675</v>
      </c>
      <c r="AK297" s="223" t="s">
        <v>35</v>
      </c>
      <c r="AL297" s="60">
        <v>3997771761</v>
      </c>
      <c r="AM297" s="60"/>
    </row>
    <row r="298" spans="32:39">
      <c r="AF298" s="223" t="s">
        <v>3626</v>
      </c>
      <c r="AG298" s="223" t="s">
        <v>3674</v>
      </c>
      <c r="AH298" s="116">
        <v>2025</v>
      </c>
      <c r="AI298" s="116">
        <v>5</v>
      </c>
      <c r="AJ298" s="223" t="s">
        <v>3675</v>
      </c>
      <c r="AK298" s="223" t="s">
        <v>35</v>
      </c>
      <c r="AL298" s="60">
        <v>4175405901</v>
      </c>
      <c r="AM298" s="60"/>
    </row>
    <row r="299" spans="32:39">
      <c r="AF299" s="223" t="s">
        <v>3626</v>
      </c>
      <c r="AG299" s="223" t="s">
        <v>3674</v>
      </c>
      <c r="AH299" s="116">
        <v>2025</v>
      </c>
      <c r="AI299" s="116">
        <v>6</v>
      </c>
      <c r="AJ299" s="223" t="s">
        <v>3675</v>
      </c>
      <c r="AK299" s="223" t="s">
        <v>35</v>
      </c>
      <c r="AL299" s="60">
        <v>4164049714</v>
      </c>
      <c r="AM299" s="60"/>
    </row>
    <row r="300" spans="32:39">
      <c r="AF300" s="223" t="s">
        <v>3626</v>
      </c>
      <c r="AG300" s="223" t="s">
        <v>3676</v>
      </c>
      <c r="AH300" s="116">
        <v>2025</v>
      </c>
      <c r="AI300" s="116">
        <v>1</v>
      </c>
      <c r="AJ300" s="223" t="s">
        <v>3677</v>
      </c>
      <c r="AK300" s="223" t="s">
        <v>34</v>
      </c>
      <c r="AL300" s="60">
        <v>5240348739</v>
      </c>
      <c r="AM300" s="60"/>
    </row>
    <row r="301" spans="32:39">
      <c r="AF301" s="223" t="s">
        <v>3626</v>
      </c>
      <c r="AG301" s="223" t="s">
        <v>3676</v>
      </c>
      <c r="AH301" s="116">
        <v>2025</v>
      </c>
      <c r="AI301" s="116">
        <v>2</v>
      </c>
      <c r="AJ301" s="223" t="s">
        <v>3677</v>
      </c>
      <c r="AK301" s="223" t="s">
        <v>34</v>
      </c>
      <c r="AL301" s="60">
        <v>5272433204</v>
      </c>
      <c r="AM301" s="60"/>
    </row>
    <row r="302" spans="32:39">
      <c r="AF302" s="223" t="s">
        <v>3626</v>
      </c>
      <c r="AG302" s="223" t="s">
        <v>3676</v>
      </c>
      <c r="AH302" s="116">
        <v>2025</v>
      </c>
      <c r="AI302" s="116">
        <v>3</v>
      </c>
      <c r="AJ302" s="223" t="s">
        <v>3677</v>
      </c>
      <c r="AK302" s="223" t="s">
        <v>34</v>
      </c>
      <c r="AL302" s="60">
        <v>6249925636</v>
      </c>
      <c r="AM302" s="60"/>
    </row>
    <row r="303" spans="32:39">
      <c r="AF303" s="223" t="s">
        <v>3626</v>
      </c>
      <c r="AG303" s="223" t="s">
        <v>3676</v>
      </c>
      <c r="AH303" s="116">
        <v>2025</v>
      </c>
      <c r="AI303" s="116">
        <v>4</v>
      </c>
      <c r="AJ303" s="223" t="s">
        <v>3677</v>
      </c>
      <c r="AK303" s="223" t="s">
        <v>34</v>
      </c>
      <c r="AL303" s="60">
        <v>4719108735</v>
      </c>
      <c r="AM303" s="60"/>
    </row>
    <row r="304" spans="32:39">
      <c r="AF304" s="223" t="s">
        <v>3626</v>
      </c>
      <c r="AG304" s="223" t="s">
        <v>3676</v>
      </c>
      <c r="AH304" s="116">
        <v>2025</v>
      </c>
      <c r="AI304" s="116">
        <v>5</v>
      </c>
      <c r="AJ304" s="223" t="s">
        <v>3677</v>
      </c>
      <c r="AK304" s="223" t="s">
        <v>34</v>
      </c>
      <c r="AL304" s="60">
        <v>5283995556</v>
      </c>
      <c r="AM304" s="60"/>
    </row>
    <row r="305" spans="32:39">
      <c r="AF305" s="223" t="s">
        <v>3626</v>
      </c>
      <c r="AG305" s="223" t="s">
        <v>3676</v>
      </c>
      <c r="AH305" s="116">
        <v>2025</v>
      </c>
      <c r="AI305" s="116">
        <v>6</v>
      </c>
      <c r="AJ305" s="223" t="s">
        <v>3677</v>
      </c>
      <c r="AK305" s="223" t="s">
        <v>34</v>
      </c>
      <c r="AL305" s="60">
        <v>5252149304</v>
      </c>
      <c r="AM305" s="60"/>
    </row>
    <row r="306" spans="32:39">
      <c r="AF306" s="223" t="s">
        <v>3626</v>
      </c>
      <c r="AG306" s="223" t="s">
        <v>3676</v>
      </c>
      <c r="AH306" s="116">
        <v>2025</v>
      </c>
      <c r="AI306" s="116">
        <v>1</v>
      </c>
      <c r="AJ306" s="223" t="s">
        <v>3677</v>
      </c>
      <c r="AK306" s="223" t="s">
        <v>35</v>
      </c>
      <c r="AL306" s="60">
        <v>12644786937</v>
      </c>
    </row>
    <row r="307" spans="32:39">
      <c r="AF307" s="223" t="s">
        <v>3626</v>
      </c>
      <c r="AG307" s="223" t="s">
        <v>3676</v>
      </c>
      <c r="AH307" s="116">
        <v>2025</v>
      </c>
      <c r="AI307" s="116">
        <v>2</v>
      </c>
      <c r="AJ307" s="223" t="s">
        <v>3677</v>
      </c>
      <c r="AK307" s="223" t="s">
        <v>35</v>
      </c>
      <c r="AL307" s="60">
        <v>12674010336</v>
      </c>
    </row>
    <row r="308" spans="32:39">
      <c r="AF308" s="223" t="s">
        <v>3626</v>
      </c>
      <c r="AG308" s="223" t="s">
        <v>3676</v>
      </c>
      <c r="AH308" s="116">
        <v>2025</v>
      </c>
      <c r="AI308" s="116">
        <v>3</v>
      </c>
      <c r="AJ308" s="223" t="s">
        <v>3677</v>
      </c>
      <c r="AK308" s="223" t="s">
        <v>35</v>
      </c>
      <c r="AL308" s="60">
        <v>15305965276</v>
      </c>
    </row>
    <row r="309" spans="32:39">
      <c r="AF309" s="223" t="s">
        <v>3626</v>
      </c>
      <c r="AG309" s="223" t="s">
        <v>3676</v>
      </c>
      <c r="AH309" s="116">
        <v>2025</v>
      </c>
      <c r="AI309" s="116">
        <v>4</v>
      </c>
      <c r="AJ309" s="223" t="s">
        <v>3677</v>
      </c>
      <c r="AK309" s="223" t="s">
        <v>35</v>
      </c>
      <c r="AL309" s="60">
        <v>12262905865</v>
      </c>
    </row>
    <row r="310" spans="32:39">
      <c r="AF310" s="223" t="s">
        <v>3626</v>
      </c>
      <c r="AG310" s="223" t="s">
        <v>3676</v>
      </c>
      <c r="AH310" s="116">
        <v>2025</v>
      </c>
      <c r="AI310" s="116">
        <v>5</v>
      </c>
      <c r="AJ310" s="223" t="s">
        <v>3677</v>
      </c>
      <c r="AK310" s="223" t="s">
        <v>35</v>
      </c>
      <c r="AL310" s="60">
        <v>14075008115</v>
      </c>
    </row>
    <row r="311" spans="32:39">
      <c r="AF311" s="223" t="s">
        <v>3626</v>
      </c>
      <c r="AG311" s="223" t="s">
        <v>3676</v>
      </c>
      <c r="AH311" s="116">
        <v>2025</v>
      </c>
      <c r="AI311" s="116">
        <v>6</v>
      </c>
      <c r="AJ311" s="223" t="s">
        <v>3677</v>
      </c>
      <c r="AK311" s="223" t="s">
        <v>35</v>
      </c>
      <c r="AL311" s="60">
        <v>13863265379</v>
      </c>
    </row>
    <row r="312" spans="32:39">
      <c r="AF312" s="223" t="s">
        <v>3626</v>
      </c>
      <c r="AG312" s="223" t="s">
        <v>3678</v>
      </c>
      <c r="AH312" s="116">
        <v>2025</v>
      </c>
      <c r="AI312" s="116">
        <v>1</v>
      </c>
      <c r="AJ312" s="223" t="s">
        <v>3679</v>
      </c>
      <c r="AK312" s="223" t="s">
        <v>34</v>
      </c>
      <c r="AL312" s="60">
        <v>248932527</v>
      </c>
    </row>
    <row r="313" spans="32:39">
      <c r="AF313" s="223" t="s">
        <v>3626</v>
      </c>
      <c r="AG313" s="223" t="s">
        <v>3678</v>
      </c>
      <c r="AH313" s="116">
        <v>2025</v>
      </c>
      <c r="AI313" s="116">
        <v>2</v>
      </c>
      <c r="AJ313" s="223" t="s">
        <v>3679</v>
      </c>
      <c r="AK313" s="223" t="s">
        <v>34</v>
      </c>
      <c r="AL313" s="60">
        <v>246622163</v>
      </c>
    </row>
    <row r="314" spans="32:39">
      <c r="AF314" s="223" t="s">
        <v>3626</v>
      </c>
      <c r="AG314" s="223" t="s">
        <v>3678</v>
      </c>
      <c r="AH314" s="116">
        <v>2025</v>
      </c>
      <c r="AI314" s="116">
        <v>3</v>
      </c>
      <c r="AJ314" s="223" t="s">
        <v>3679</v>
      </c>
      <c r="AK314" s="223" t="s">
        <v>34</v>
      </c>
      <c r="AL314" s="60">
        <v>285541988</v>
      </c>
    </row>
    <row r="315" spans="32:39">
      <c r="AF315" s="223" t="s">
        <v>3626</v>
      </c>
      <c r="AG315" s="223" t="s">
        <v>3678</v>
      </c>
      <c r="AH315" s="116">
        <v>2025</v>
      </c>
      <c r="AI315" s="116">
        <v>4</v>
      </c>
      <c r="AJ315" s="223" t="s">
        <v>3679</v>
      </c>
      <c r="AK315" s="223" t="s">
        <v>34</v>
      </c>
      <c r="AL315" s="60">
        <v>218565632</v>
      </c>
    </row>
    <row r="316" spans="32:39">
      <c r="AF316" s="223" t="s">
        <v>3626</v>
      </c>
      <c r="AG316" s="223" t="s">
        <v>3678</v>
      </c>
      <c r="AH316" s="116">
        <v>2025</v>
      </c>
      <c r="AI316" s="116">
        <v>5</v>
      </c>
      <c r="AJ316" s="223" t="s">
        <v>3679</v>
      </c>
      <c r="AK316" s="223" t="s">
        <v>34</v>
      </c>
      <c r="AL316" s="60">
        <v>227261065</v>
      </c>
    </row>
    <row r="317" spans="32:39">
      <c r="AF317" s="223" t="s">
        <v>3626</v>
      </c>
      <c r="AG317" s="223" t="s">
        <v>3678</v>
      </c>
      <c r="AH317" s="116">
        <v>2025</v>
      </c>
      <c r="AI317" s="116">
        <v>6</v>
      </c>
      <c r="AJ317" s="223" t="s">
        <v>3679</v>
      </c>
      <c r="AK317" s="223" t="s">
        <v>34</v>
      </c>
      <c r="AL317" s="60">
        <v>260648512</v>
      </c>
    </row>
    <row r="318" spans="32:39">
      <c r="AF318" s="223" t="s">
        <v>3626</v>
      </c>
      <c r="AG318" s="223" t="s">
        <v>3678</v>
      </c>
      <c r="AH318" s="116">
        <v>2025</v>
      </c>
      <c r="AI318" s="116">
        <v>1</v>
      </c>
      <c r="AJ318" s="223" t="s">
        <v>3679</v>
      </c>
      <c r="AK318" s="223" t="s">
        <v>35</v>
      </c>
      <c r="AL318" s="60">
        <v>395086289</v>
      </c>
    </row>
    <row r="319" spans="32:39">
      <c r="AF319" s="223" t="s">
        <v>3626</v>
      </c>
      <c r="AG319" s="223" t="s">
        <v>3678</v>
      </c>
      <c r="AH319" s="116">
        <v>2025</v>
      </c>
      <c r="AI319" s="116">
        <v>2</v>
      </c>
      <c r="AJ319" s="223" t="s">
        <v>3679</v>
      </c>
      <c r="AK319" s="223" t="s">
        <v>35</v>
      </c>
      <c r="AL319" s="60">
        <v>356059593</v>
      </c>
    </row>
    <row r="320" spans="32:39">
      <c r="AF320" s="223" t="s">
        <v>3626</v>
      </c>
      <c r="AG320" s="223" t="s">
        <v>3678</v>
      </c>
      <c r="AH320" s="116">
        <v>2025</v>
      </c>
      <c r="AI320" s="116">
        <v>3</v>
      </c>
      <c r="AJ320" s="223" t="s">
        <v>3679</v>
      </c>
      <c r="AK320" s="223" t="s">
        <v>35</v>
      </c>
      <c r="AL320" s="60">
        <v>359647081</v>
      </c>
    </row>
    <row r="321" spans="32:38">
      <c r="AF321" s="223" t="s">
        <v>3626</v>
      </c>
      <c r="AG321" s="223" t="s">
        <v>3678</v>
      </c>
      <c r="AH321" s="116">
        <v>2025</v>
      </c>
      <c r="AI321" s="116">
        <v>4</v>
      </c>
      <c r="AJ321" s="223" t="s">
        <v>3679</v>
      </c>
      <c r="AK321" s="223" t="s">
        <v>35</v>
      </c>
      <c r="AL321" s="60">
        <v>327930861</v>
      </c>
    </row>
    <row r="322" spans="32:38">
      <c r="AF322" s="223" t="s">
        <v>3626</v>
      </c>
      <c r="AG322" s="223" t="s">
        <v>3678</v>
      </c>
      <c r="AH322" s="116">
        <v>2025</v>
      </c>
      <c r="AI322" s="116">
        <v>5</v>
      </c>
      <c r="AJ322" s="223" t="s">
        <v>3679</v>
      </c>
      <c r="AK322" s="223" t="s">
        <v>35</v>
      </c>
      <c r="AL322" s="60">
        <v>367384178</v>
      </c>
    </row>
    <row r="323" spans="32:38">
      <c r="AF323" s="223" t="s">
        <v>3626</v>
      </c>
      <c r="AG323" s="223" t="s">
        <v>3678</v>
      </c>
      <c r="AH323" s="116">
        <v>2025</v>
      </c>
      <c r="AI323" s="116">
        <v>6</v>
      </c>
      <c r="AJ323" s="223" t="s">
        <v>3679</v>
      </c>
      <c r="AK323" s="223" t="s">
        <v>35</v>
      </c>
      <c r="AL323" s="60">
        <v>353464883</v>
      </c>
    </row>
    <row r="324" spans="32:38">
      <c r="AF324" s="223" t="s">
        <v>3626</v>
      </c>
      <c r="AG324" s="223" t="s">
        <v>3680</v>
      </c>
      <c r="AH324" s="116">
        <v>2025</v>
      </c>
      <c r="AI324" s="116">
        <v>1</v>
      </c>
      <c r="AJ324" s="223" t="s">
        <v>3681</v>
      </c>
      <c r="AK324" s="223" t="s">
        <v>34</v>
      </c>
      <c r="AL324" s="60">
        <v>253441497</v>
      </c>
    </row>
    <row r="325" spans="32:38">
      <c r="AF325" s="223" t="s">
        <v>3626</v>
      </c>
      <c r="AG325" s="223" t="s">
        <v>3680</v>
      </c>
      <c r="AH325" s="116">
        <v>2025</v>
      </c>
      <c r="AI325" s="116">
        <v>2</v>
      </c>
      <c r="AJ325" s="223" t="s">
        <v>3681</v>
      </c>
      <c r="AK325" s="223" t="s">
        <v>34</v>
      </c>
      <c r="AL325" s="60">
        <v>243166882</v>
      </c>
    </row>
    <row r="326" spans="32:38">
      <c r="AF326" s="223" t="s">
        <v>3626</v>
      </c>
      <c r="AG326" s="223" t="s">
        <v>3680</v>
      </c>
      <c r="AH326" s="116">
        <v>2025</v>
      </c>
      <c r="AI326" s="116">
        <v>3</v>
      </c>
      <c r="AJ326" s="223" t="s">
        <v>3681</v>
      </c>
      <c r="AK326" s="223" t="s">
        <v>34</v>
      </c>
      <c r="AL326" s="60">
        <v>247626094</v>
      </c>
    </row>
    <row r="327" spans="32:38">
      <c r="AF327" s="223" t="s">
        <v>3626</v>
      </c>
      <c r="AG327" s="223" t="s">
        <v>3680</v>
      </c>
      <c r="AH327" s="116">
        <v>2025</v>
      </c>
      <c r="AI327" s="116">
        <v>4</v>
      </c>
      <c r="AJ327" s="223" t="s">
        <v>3681</v>
      </c>
      <c r="AK327" s="223" t="s">
        <v>34</v>
      </c>
      <c r="AL327" s="60">
        <v>191322998</v>
      </c>
    </row>
    <row r="328" spans="32:38">
      <c r="AF328" s="223" t="s">
        <v>3626</v>
      </c>
      <c r="AG328" s="223" t="s">
        <v>3680</v>
      </c>
      <c r="AH328" s="116">
        <v>2025</v>
      </c>
      <c r="AI328" s="116">
        <v>5</v>
      </c>
      <c r="AJ328" s="223" t="s">
        <v>3681</v>
      </c>
      <c r="AK328" s="223" t="s">
        <v>34</v>
      </c>
      <c r="AL328" s="60">
        <v>236687450</v>
      </c>
    </row>
    <row r="329" spans="32:38">
      <c r="AF329" s="223" t="s">
        <v>3626</v>
      </c>
      <c r="AG329" s="223" t="s">
        <v>3680</v>
      </c>
      <c r="AH329" s="116">
        <v>2025</v>
      </c>
      <c r="AI329" s="116">
        <v>6</v>
      </c>
      <c r="AJ329" s="223" t="s">
        <v>3681</v>
      </c>
      <c r="AK329" s="223" t="s">
        <v>34</v>
      </c>
      <c r="AL329" s="60">
        <v>215124141</v>
      </c>
    </row>
    <row r="330" spans="32:38">
      <c r="AF330" s="223" t="s">
        <v>3626</v>
      </c>
      <c r="AG330" s="223" t="s">
        <v>3680</v>
      </c>
      <c r="AH330" s="116">
        <v>2025</v>
      </c>
      <c r="AI330" s="116">
        <v>1</v>
      </c>
      <c r="AJ330" s="223" t="s">
        <v>3681</v>
      </c>
      <c r="AK330" s="223" t="s">
        <v>35</v>
      </c>
      <c r="AL330" s="60">
        <v>1297446205</v>
      </c>
    </row>
    <row r="331" spans="32:38">
      <c r="AF331" s="223" t="s">
        <v>3626</v>
      </c>
      <c r="AG331" s="223" t="s">
        <v>3680</v>
      </c>
      <c r="AH331" s="116">
        <v>2025</v>
      </c>
      <c r="AI331" s="116">
        <v>2</v>
      </c>
      <c r="AJ331" s="223" t="s">
        <v>3681</v>
      </c>
      <c r="AK331" s="223" t="s">
        <v>35</v>
      </c>
      <c r="AL331" s="60">
        <v>1335403919</v>
      </c>
    </row>
    <row r="332" spans="32:38">
      <c r="AF332" s="223" t="s">
        <v>3626</v>
      </c>
      <c r="AG332" s="223" t="s">
        <v>3680</v>
      </c>
      <c r="AH332" s="116">
        <v>2025</v>
      </c>
      <c r="AI332" s="116">
        <v>3</v>
      </c>
      <c r="AJ332" s="223" t="s">
        <v>3681</v>
      </c>
      <c r="AK332" s="223" t="s">
        <v>35</v>
      </c>
      <c r="AL332" s="60">
        <v>1405559608</v>
      </c>
    </row>
    <row r="333" spans="32:38">
      <c r="AF333" s="223" t="s">
        <v>3626</v>
      </c>
      <c r="AG333" s="223" t="s">
        <v>3680</v>
      </c>
      <c r="AH333" s="116">
        <v>2025</v>
      </c>
      <c r="AI333" s="116">
        <v>4</v>
      </c>
      <c r="AJ333" s="223" t="s">
        <v>3681</v>
      </c>
      <c r="AK333" s="223" t="s">
        <v>35</v>
      </c>
      <c r="AL333" s="60">
        <v>1367408890</v>
      </c>
    </row>
    <row r="334" spans="32:38">
      <c r="AF334" s="223" t="s">
        <v>3626</v>
      </c>
      <c r="AG334" s="223" t="s">
        <v>3680</v>
      </c>
      <c r="AH334" s="116">
        <v>2025</v>
      </c>
      <c r="AI334" s="116">
        <v>5</v>
      </c>
      <c r="AJ334" s="223" t="s">
        <v>3681</v>
      </c>
      <c r="AK334" s="223" t="s">
        <v>35</v>
      </c>
      <c r="AL334" s="60">
        <v>1495552302</v>
      </c>
    </row>
    <row r="335" spans="32:38">
      <c r="AF335" s="223" t="s">
        <v>3626</v>
      </c>
      <c r="AG335" s="223" t="s">
        <v>3680</v>
      </c>
      <c r="AH335" s="116">
        <v>2025</v>
      </c>
      <c r="AI335" s="116">
        <v>6</v>
      </c>
      <c r="AJ335" s="223" t="s">
        <v>3681</v>
      </c>
      <c r="AK335" s="223" t="s">
        <v>35</v>
      </c>
      <c r="AL335" s="60">
        <v>1399894408</v>
      </c>
    </row>
    <row r="336" spans="32:38">
      <c r="AF336" s="223" t="s">
        <v>3626</v>
      </c>
      <c r="AG336" s="223" t="s">
        <v>3682</v>
      </c>
      <c r="AH336" s="116">
        <v>2025</v>
      </c>
      <c r="AI336" s="116">
        <v>1</v>
      </c>
      <c r="AJ336" s="223" t="s">
        <v>3683</v>
      </c>
      <c r="AK336" s="223" t="s">
        <v>34</v>
      </c>
      <c r="AL336" s="60">
        <v>266245889</v>
      </c>
    </row>
    <row r="337" spans="32:38">
      <c r="AF337" s="223" t="s">
        <v>3626</v>
      </c>
      <c r="AG337" s="223" t="s">
        <v>3682</v>
      </c>
      <c r="AH337" s="116">
        <v>2025</v>
      </c>
      <c r="AI337" s="116">
        <v>2</v>
      </c>
      <c r="AJ337" s="223" t="s">
        <v>3683</v>
      </c>
      <c r="AK337" s="223" t="s">
        <v>34</v>
      </c>
      <c r="AL337" s="60">
        <v>237431457</v>
      </c>
    </row>
    <row r="338" spans="32:38">
      <c r="AF338" s="223" t="s">
        <v>3626</v>
      </c>
      <c r="AG338" s="223" t="s">
        <v>3682</v>
      </c>
      <c r="AH338" s="116">
        <v>2025</v>
      </c>
      <c r="AI338" s="116">
        <v>3</v>
      </c>
      <c r="AJ338" s="223" t="s">
        <v>3683</v>
      </c>
      <c r="AK338" s="223" t="s">
        <v>34</v>
      </c>
      <c r="AL338" s="60">
        <v>326007026</v>
      </c>
    </row>
    <row r="339" spans="32:38">
      <c r="AF339" s="223" t="s">
        <v>3626</v>
      </c>
      <c r="AG339" s="223" t="s">
        <v>3682</v>
      </c>
      <c r="AH339" s="116">
        <v>2025</v>
      </c>
      <c r="AI339" s="116">
        <v>4</v>
      </c>
      <c r="AJ339" s="223" t="s">
        <v>3683</v>
      </c>
      <c r="AK339" s="223" t="s">
        <v>34</v>
      </c>
      <c r="AL339" s="60">
        <v>241986080</v>
      </c>
    </row>
    <row r="340" spans="32:38">
      <c r="AF340" s="223" t="s">
        <v>3626</v>
      </c>
      <c r="AG340" s="223" t="s">
        <v>3682</v>
      </c>
      <c r="AH340" s="116">
        <v>2025</v>
      </c>
      <c r="AI340" s="116">
        <v>5</v>
      </c>
      <c r="AJ340" s="223" t="s">
        <v>3683</v>
      </c>
      <c r="AK340" s="223" t="s">
        <v>34</v>
      </c>
      <c r="AL340" s="60">
        <v>279688841</v>
      </c>
    </row>
    <row r="341" spans="32:38">
      <c r="AF341" s="223" t="s">
        <v>3626</v>
      </c>
      <c r="AG341" s="223" t="s">
        <v>3682</v>
      </c>
      <c r="AH341" s="116">
        <v>2025</v>
      </c>
      <c r="AI341" s="116">
        <v>6</v>
      </c>
      <c r="AJ341" s="223" t="s">
        <v>3683</v>
      </c>
      <c r="AK341" s="223" t="s">
        <v>34</v>
      </c>
      <c r="AL341" s="60">
        <v>308874447</v>
      </c>
    </row>
    <row r="342" spans="32:38">
      <c r="AF342" s="223" t="s">
        <v>3626</v>
      </c>
      <c r="AG342" s="223" t="s">
        <v>3682</v>
      </c>
      <c r="AH342" s="116">
        <v>2025</v>
      </c>
      <c r="AI342" s="116">
        <v>1</v>
      </c>
      <c r="AJ342" s="223" t="s">
        <v>3683</v>
      </c>
      <c r="AK342" s="223" t="s">
        <v>35</v>
      </c>
      <c r="AL342" s="60">
        <v>150073441</v>
      </c>
    </row>
    <row r="343" spans="32:38">
      <c r="AF343" s="223" t="s">
        <v>3626</v>
      </c>
      <c r="AG343" s="223" t="s">
        <v>3682</v>
      </c>
      <c r="AH343" s="116">
        <v>2025</v>
      </c>
      <c r="AI343" s="116">
        <v>2</v>
      </c>
      <c r="AJ343" s="223" t="s">
        <v>3683</v>
      </c>
      <c r="AK343" s="223" t="s">
        <v>35</v>
      </c>
      <c r="AL343" s="60">
        <v>153900742</v>
      </c>
    </row>
    <row r="344" spans="32:38">
      <c r="AF344" s="223" t="s">
        <v>3626</v>
      </c>
      <c r="AG344" s="223" t="s">
        <v>3682</v>
      </c>
      <c r="AH344" s="116">
        <v>2025</v>
      </c>
      <c r="AI344" s="116">
        <v>3</v>
      </c>
      <c r="AJ344" s="223" t="s">
        <v>3683</v>
      </c>
      <c r="AK344" s="223" t="s">
        <v>35</v>
      </c>
      <c r="AL344" s="60">
        <v>187894580</v>
      </c>
    </row>
    <row r="345" spans="32:38">
      <c r="AF345" s="223" t="s">
        <v>3626</v>
      </c>
      <c r="AG345" s="223" t="s">
        <v>3682</v>
      </c>
      <c r="AH345" s="116">
        <v>2025</v>
      </c>
      <c r="AI345" s="116">
        <v>4</v>
      </c>
      <c r="AJ345" s="223" t="s">
        <v>3683</v>
      </c>
      <c r="AK345" s="223" t="s">
        <v>35</v>
      </c>
      <c r="AL345" s="60">
        <v>161984942</v>
      </c>
    </row>
    <row r="346" spans="32:38">
      <c r="AF346" s="223" t="s">
        <v>3626</v>
      </c>
      <c r="AG346" s="223" t="s">
        <v>3682</v>
      </c>
      <c r="AH346" s="116">
        <v>2025</v>
      </c>
      <c r="AI346" s="116">
        <v>5</v>
      </c>
      <c r="AJ346" s="223" t="s">
        <v>3683</v>
      </c>
      <c r="AK346" s="223" t="s">
        <v>35</v>
      </c>
      <c r="AL346" s="60">
        <v>146477513</v>
      </c>
    </row>
    <row r="347" spans="32:38">
      <c r="AF347" s="223" t="s">
        <v>3626</v>
      </c>
      <c r="AG347" s="223" t="s">
        <v>3682</v>
      </c>
      <c r="AH347" s="116">
        <v>2025</v>
      </c>
      <c r="AI347" s="116">
        <v>6</v>
      </c>
      <c r="AJ347" s="223" t="s">
        <v>3683</v>
      </c>
      <c r="AK347" s="223" t="s">
        <v>35</v>
      </c>
      <c r="AL347" s="60">
        <v>156815750</v>
      </c>
    </row>
    <row r="348" spans="32:38">
      <c r="AF348" s="223" t="s">
        <v>3626</v>
      </c>
      <c r="AG348" s="223" t="s">
        <v>3684</v>
      </c>
      <c r="AH348" s="116">
        <v>2025</v>
      </c>
      <c r="AI348" s="116">
        <v>1</v>
      </c>
      <c r="AJ348" s="223" t="s">
        <v>3685</v>
      </c>
      <c r="AK348" s="223" t="s">
        <v>34</v>
      </c>
      <c r="AL348" s="60">
        <v>423667411</v>
      </c>
    </row>
    <row r="349" spans="32:38">
      <c r="AF349" s="223" t="s">
        <v>3626</v>
      </c>
      <c r="AG349" s="223" t="s">
        <v>3684</v>
      </c>
      <c r="AH349" s="116">
        <v>2025</v>
      </c>
      <c r="AI349" s="116">
        <v>2</v>
      </c>
      <c r="AJ349" s="223" t="s">
        <v>3685</v>
      </c>
      <c r="AK349" s="223" t="s">
        <v>34</v>
      </c>
      <c r="AL349" s="60">
        <v>185420878</v>
      </c>
    </row>
    <row r="350" spans="32:38">
      <c r="AF350" s="223" t="s">
        <v>3626</v>
      </c>
      <c r="AG350" s="223" t="s">
        <v>3684</v>
      </c>
      <c r="AH350" s="116">
        <v>2025</v>
      </c>
      <c r="AI350" s="116">
        <v>3</v>
      </c>
      <c r="AJ350" s="223" t="s">
        <v>3685</v>
      </c>
      <c r="AK350" s="223" t="s">
        <v>34</v>
      </c>
      <c r="AL350" s="60">
        <v>134042472</v>
      </c>
    </row>
    <row r="351" spans="32:38">
      <c r="AF351" s="223" t="s">
        <v>3626</v>
      </c>
      <c r="AG351" s="223" t="s">
        <v>3684</v>
      </c>
      <c r="AH351" s="116">
        <v>2025</v>
      </c>
      <c r="AI351" s="116">
        <v>4</v>
      </c>
      <c r="AJ351" s="223" t="s">
        <v>3685</v>
      </c>
      <c r="AK351" s="223" t="s">
        <v>34</v>
      </c>
      <c r="AL351" s="60">
        <v>67683337</v>
      </c>
    </row>
    <row r="352" spans="32:38">
      <c r="AF352" s="223" t="s">
        <v>3626</v>
      </c>
      <c r="AG352" s="223" t="s">
        <v>3684</v>
      </c>
      <c r="AH352" s="116">
        <v>2025</v>
      </c>
      <c r="AI352" s="116">
        <v>5</v>
      </c>
      <c r="AJ352" s="223" t="s">
        <v>3685</v>
      </c>
      <c r="AK352" s="223" t="s">
        <v>34</v>
      </c>
      <c r="AL352" s="60">
        <v>132964795</v>
      </c>
    </row>
    <row r="353" spans="32:38">
      <c r="AF353" s="223" t="s">
        <v>3626</v>
      </c>
      <c r="AG353" s="223" t="s">
        <v>3684</v>
      </c>
      <c r="AH353" s="116">
        <v>2025</v>
      </c>
      <c r="AI353" s="116">
        <v>6</v>
      </c>
      <c r="AJ353" s="223" t="s">
        <v>3685</v>
      </c>
      <c r="AK353" s="223" t="s">
        <v>34</v>
      </c>
      <c r="AL353" s="60">
        <v>94152685</v>
      </c>
    </row>
    <row r="354" spans="32:38">
      <c r="AF354" s="223" t="s">
        <v>3626</v>
      </c>
      <c r="AG354" s="223" t="s">
        <v>3684</v>
      </c>
      <c r="AH354" s="116">
        <v>2025</v>
      </c>
      <c r="AI354" s="116">
        <v>1</v>
      </c>
      <c r="AJ354" s="223" t="s">
        <v>3685</v>
      </c>
      <c r="AK354" s="223" t="s">
        <v>35</v>
      </c>
      <c r="AL354" s="60">
        <v>31706804</v>
      </c>
    </row>
    <row r="355" spans="32:38">
      <c r="AF355" s="223" t="s">
        <v>3626</v>
      </c>
      <c r="AG355" s="223" t="s">
        <v>3684</v>
      </c>
      <c r="AH355" s="116">
        <v>2025</v>
      </c>
      <c r="AI355" s="116">
        <v>2</v>
      </c>
      <c r="AJ355" s="223" t="s">
        <v>3685</v>
      </c>
      <c r="AK355" s="223" t="s">
        <v>35</v>
      </c>
      <c r="AL355" s="60">
        <v>28879857</v>
      </c>
    </row>
    <row r="356" spans="32:38">
      <c r="AF356" s="223" t="s">
        <v>3626</v>
      </c>
      <c r="AG356" s="223" t="s">
        <v>3684</v>
      </c>
      <c r="AH356" s="116">
        <v>2025</v>
      </c>
      <c r="AI356" s="116">
        <v>3</v>
      </c>
      <c r="AJ356" s="223" t="s">
        <v>3685</v>
      </c>
      <c r="AK356" s="223" t="s">
        <v>35</v>
      </c>
      <c r="AL356" s="60">
        <v>30928450</v>
      </c>
    </row>
    <row r="357" spans="32:38">
      <c r="AF357" s="223" t="s">
        <v>3626</v>
      </c>
      <c r="AG357" s="223" t="s">
        <v>3684</v>
      </c>
      <c r="AH357" s="116">
        <v>2025</v>
      </c>
      <c r="AI357" s="116">
        <v>4</v>
      </c>
      <c r="AJ357" s="223" t="s">
        <v>3685</v>
      </c>
      <c r="AK357" s="223" t="s">
        <v>35</v>
      </c>
      <c r="AL357" s="60">
        <v>12880705</v>
      </c>
    </row>
    <row r="358" spans="32:38">
      <c r="AF358" s="223" t="s">
        <v>3626</v>
      </c>
      <c r="AG358" s="223" t="s">
        <v>3684</v>
      </c>
      <c r="AH358" s="116">
        <v>2025</v>
      </c>
      <c r="AI358" s="116">
        <v>5</v>
      </c>
      <c r="AJ358" s="223" t="s">
        <v>3685</v>
      </c>
      <c r="AK358" s="223" t="s">
        <v>35</v>
      </c>
      <c r="AL358" s="60">
        <v>8763526</v>
      </c>
    </row>
    <row r="359" spans="32:38">
      <c r="AF359" s="223" t="s">
        <v>3626</v>
      </c>
      <c r="AG359" s="223" t="s">
        <v>3684</v>
      </c>
      <c r="AH359" s="116">
        <v>2025</v>
      </c>
      <c r="AI359" s="116">
        <v>6</v>
      </c>
      <c r="AJ359" s="223" t="s">
        <v>3685</v>
      </c>
      <c r="AK359" s="223" t="s">
        <v>35</v>
      </c>
      <c r="AL359" s="60">
        <v>8756572</v>
      </c>
    </row>
    <row r="360" spans="32:38">
      <c r="AF360" s="223" t="s">
        <v>3626</v>
      </c>
      <c r="AG360" s="223" t="s">
        <v>3686</v>
      </c>
      <c r="AH360" s="116">
        <v>2025</v>
      </c>
      <c r="AI360" s="116">
        <v>1</v>
      </c>
      <c r="AJ360" s="223" t="s">
        <v>3687</v>
      </c>
      <c r="AK360" s="223" t="s">
        <v>34</v>
      </c>
      <c r="AL360" s="60">
        <v>1538461934</v>
      </c>
    </row>
    <row r="361" spans="32:38">
      <c r="AF361" s="223" t="s">
        <v>3626</v>
      </c>
      <c r="AG361" s="223" t="s">
        <v>3686</v>
      </c>
      <c r="AH361" s="116">
        <v>2025</v>
      </c>
      <c r="AI361" s="116">
        <v>2</v>
      </c>
      <c r="AJ361" s="223" t="s">
        <v>3687</v>
      </c>
      <c r="AK361" s="223" t="s">
        <v>34</v>
      </c>
      <c r="AL361" s="60">
        <v>1299912687</v>
      </c>
    </row>
    <row r="362" spans="32:38">
      <c r="AF362" s="223" t="s">
        <v>3626</v>
      </c>
      <c r="AG362" s="223" t="s">
        <v>3686</v>
      </c>
      <c r="AH362" s="116">
        <v>2025</v>
      </c>
      <c r="AI362" s="116">
        <v>3</v>
      </c>
      <c r="AJ362" s="223" t="s">
        <v>3687</v>
      </c>
      <c r="AK362" s="223" t="s">
        <v>34</v>
      </c>
      <c r="AL362" s="60">
        <v>1611390316</v>
      </c>
    </row>
    <row r="363" spans="32:38">
      <c r="AF363" s="223" t="s">
        <v>3626</v>
      </c>
      <c r="AG363" s="223" t="s">
        <v>3686</v>
      </c>
      <c r="AH363" s="116">
        <v>2025</v>
      </c>
      <c r="AI363" s="116">
        <v>4</v>
      </c>
      <c r="AJ363" s="223" t="s">
        <v>3687</v>
      </c>
      <c r="AK363" s="223" t="s">
        <v>34</v>
      </c>
      <c r="AL363" s="60">
        <v>1605479015</v>
      </c>
    </row>
    <row r="364" spans="32:38">
      <c r="AF364" s="223" t="s">
        <v>3626</v>
      </c>
      <c r="AG364" s="223" t="s">
        <v>3686</v>
      </c>
      <c r="AH364" s="116">
        <v>2025</v>
      </c>
      <c r="AI364" s="116">
        <v>5</v>
      </c>
      <c r="AJ364" s="223" t="s">
        <v>3687</v>
      </c>
      <c r="AK364" s="223" t="s">
        <v>34</v>
      </c>
      <c r="AL364" s="60">
        <v>1595990183</v>
      </c>
    </row>
    <row r="365" spans="32:38">
      <c r="AF365" s="223" t="s">
        <v>3626</v>
      </c>
      <c r="AG365" s="223" t="s">
        <v>3686</v>
      </c>
      <c r="AH365" s="116">
        <v>2025</v>
      </c>
      <c r="AI365" s="116">
        <v>6</v>
      </c>
      <c r="AJ365" s="223" t="s">
        <v>3687</v>
      </c>
      <c r="AK365" s="223" t="s">
        <v>34</v>
      </c>
      <c r="AL365" s="60">
        <v>1413360673</v>
      </c>
    </row>
    <row r="366" spans="32:38">
      <c r="AF366" s="223" t="s">
        <v>3626</v>
      </c>
      <c r="AG366" s="223" t="s">
        <v>3686</v>
      </c>
      <c r="AH366" s="116">
        <v>2025</v>
      </c>
      <c r="AI366" s="116">
        <v>1</v>
      </c>
      <c r="AJ366" s="223" t="s">
        <v>3687</v>
      </c>
      <c r="AK366" s="223" t="s">
        <v>35</v>
      </c>
      <c r="AL366" s="60">
        <v>724566424</v>
      </c>
    </row>
    <row r="367" spans="32:38">
      <c r="AF367" s="223" t="s">
        <v>3626</v>
      </c>
      <c r="AG367" s="223" t="s">
        <v>3686</v>
      </c>
      <c r="AH367" s="116">
        <v>2025</v>
      </c>
      <c r="AI367" s="116">
        <v>2</v>
      </c>
      <c r="AJ367" s="223" t="s">
        <v>3687</v>
      </c>
      <c r="AK367" s="223" t="s">
        <v>35</v>
      </c>
      <c r="AL367" s="60">
        <v>779634580</v>
      </c>
    </row>
    <row r="368" spans="32:38">
      <c r="AF368" s="223" t="s">
        <v>3626</v>
      </c>
      <c r="AG368" s="223" t="s">
        <v>3686</v>
      </c>
      <c r="AH368" s="116">
        <v>2025</v>
      </c>
      <c r="AI368" s="116">
        <v>3</v>
      </c>
      <c r="AJ368" s="223" t="s">
        <v>3687</v>
      </c>
      <c r="AK368" s="223" t="s">
        <v>35</v>
      </c>
      <c r="AL368" s="60">
        <v>794785897</v>
      </c>
    </row>
    <row r="369" spans="32:38">
      <c r="AF369" s="223" t="s">
        <v>3626</v>
      </c>
      <c r="AG369" s="223" t="s">
        <v>3686</v>
      </c>
      <c r="AH369" s="116">
        <v>2025</v>
      </c>
      <c r="AI369" s="116">
        <v>4</v>
      </c>
      <c r="AJ369" s="223" t="s">
        <v>3687</v>
      </c>
      <c r="AK369" s="223" t="s">
        <v>35</v>
      </c>
      <c r="AL369" s="60">
        <v>829371835</v>
      </c>
    </row>
    <row r="370" spans="32:38">
      <c r="AF370" s="223" t="s">
        <v>3626</v>
      </c>
      <c r="AG370" s="223" t="s">
        <v>3686</v>
      </c>
      <c r="AH370" s="116">
        <v>2025</v>
      </c>
      <c r="AI370" s="116">
        <v>5</v>
      </c>
      <c r="AJ370" s="223" t="s">
        <v>3687</v>
      </c>
      <c r="AK370" s="223" t="s">
        <v>35</v>
      </c>
      <c r="AL370" s="60">
        <v>970992846</v>
      </c>
    </row>
    <row r="371" spans="32:38">
      <c r="AF371" s="223" t="s">
        <v>3626</v>
      </c>
      <c r="AG371" s="223" t="s">
        <v>3686</v>
      </c>
      <c r="AH371" s="116">
        <v>2025</v>
      </c>
      <c r="AI371" s="116">
        <v>6</v>
      </c>
      <c r="AJ371" s="223" t="s">
        <v>3687</v>
      </c>
      <c r="AK371" s="223" t="s">
        <v>35</v>
      </c>
      <c r="AL371" s="60">
        <v>899941222</v>
      </c>
    </row>
    <row r="372" spans="32:38">
      <c r="AF372" s="223" t="s">
        <v>3626</v>
      </c>
      <c r="AG372" s="223" t="s">
        <v>3688</v>
      </c>
      <c r="AH372" s="116">
        <v>2025</v>
      </c>
      <c r="AI372" s="116">
        <v>1</v>
      </c>
      <c r="AJ372" s="223" t="s">
        <v>3689</v>
      </c>
      <c r="AK372" s="223" t="s">
        <v>34</v>
      </c>
      <c r="AL372" s="60">
        <v>521030156</v>
      </c>
    </row>
    <row r="373" spans="32:38">
      <c r="AF373" s="223" t="s">
        <v>3626</v>
      </c>
      <c r="AG373" s="223" t="s">
        <v>3688</v>
      </c>
      <c r="AH373" s="116">
        <v>2025</v>
      </c>
      <c r="AI373" s="116">
        <v>2</v>
      </c>
      <c r="AJ373" s="223" t="s">
        <v>3689</v>
      </c>
      <c r="AK373" s="223" t="s">
        <v>34</v>
      </c>
      <c r="AL373" s="60">
        <v>503283634</v>
      </c>
    </row>
    <row r="374" spans="32:38">
      <c r="AF374" s="223" t="s">
        <v>3626</v>
      </c>
      <c r="AG374" s="223" t="s">
        <v>3688</v>
      </c>
      <c r="AH374" s="116">
        <v>2025</v>
      </c>
      <c r="AI374" s="116">
        <v>3</v>
      </c>
      <c r="AJ374" s="223" t="s">
        <v>3689</v>
      </c>
      <c r="AK374" s="223" t="s">
        <v>34</v>
      </c>
      <c r="AL374" s="60">
        <v>490898337</v>
      </c>
    </row>
    <row r="375" spans="32:38">
      <c r="AF375" s="223" t="s">
        <v>3626</v>
      </c>
      <c r="AG375" s="223" t="s">
        <v>3688</v>
      </c>
      <c r="AH375" s="116">
        <v>2025</v>
      </c>
      <c r="AI375" s="116">
        <v>4</v>
      </c>
      <c r="AJ375" s="223" t="s">
        <v>3689</v>
      </c>
      <c r="AK375" s="223" t="s">
        <v>34</v>
      </c>
      <c r="AL375" s="60">
        <v>334750594</v>
      </c>
    </row>
    <row r="376" spans="32:38">
      <c r="AF376" s="223" t="s">
        <v>3626</v>
      </c>
      <c r="AG376" s="223" t="s">
        <v>3688</v>
      </c>
      <c r="AH376" s="116">
        <v>2025</v>
      </c>
      <c r="AI376" s="116">
        <v>5</v>
      </c>
      <c r="AJ376" s="223" t="s">
        <v>3689</v>
      </c>
      <c r="AK376" s="223" t="s">
        <v>34</v>
      </c>
      <c r="AL376" s="60">
        <v>376088909</v>
      </c>
    </row>
    <row r="377" spans="32:38">
      <c r="AF377" s="223" t="s">
        <v>3626</v>
      </c>
      <c r="AG377" s="223" t="s">
        <v>3688</v>
      </c>
      <c r="AH377" s="116">
        <v>2025</v>
      </c>
      <c r="AI377" s="116">
        <v>6</v>
      </c>
      <c r="AJ377" s="223" t="s">
        <v>3689</v>
      </c>
      <c r="AK377" s="223" t="s">
        <v>34</v>
      </c>
      <c r="AL377" s="60">
        <v>369621144</v>
      </c>
    </row>
    <row r="378" spans="32:38">
      <c r="AF378" s="223" t="s">
        <v>3626</v>
      </c>
      <c r="AG378" s="223" t="s">
        <v>3688</v>
      </c>
      <c r="AH378" s="116">
        <v>2025</v>
      </c>
      <c r="AI378" s="116">
        <v>1</v>
      </c>
      <c r="AJ378" s="223" t="s">
        <v>3689</v>
      </c>
      <c r="AK378" s="223" t="s">
        <v>35</v>
      </c>
      <c r="AL378" s="60">
        <v>259848133</v>
      </c>
    </row>
    <row r="379" spans="32:38">
      <c r="AF379" s="223" t="s">
        <v>3626</v>
      </c>
      <c r="AG379" s="223" t="s">
        <v>3688</v>
      </c>
      <c r="AH379" s="116">
        <v>2025</v>
      </c>
      <c r="AI379" s="116">
        <v>2</v>
      </c>
      <c r="AJ379" s="223" t="s">
        <v>3689</v>
      </c>
      <c r="AK379" s="223" t="s">
        <v>35</v>
      </c>
      <c r="AL379" s="60">
        <v>252117855</v>
      </c>
    </row>
    <row r="380" spans="32:38">
      <c r="AF380" s="223" t="s">
        <v>3626</v>
      </c>
      <c r="AG380" s="223" t="s">
        <v>3688</v>
      </c>
      <c r="AH380" s="116">
        <v>2025</v>
      </c>
      <c r="AI380" s="116">
        <v>3</v>
      </c>
      <c r="AJ380" s="223" t="s">
        <v>3689</v>
      </c>
      <c r="AK380" s="223" t="s">
        <v>35</v>
      </c>
      <c r="AL380" s="60">
        <v>290161564</v>
      </c>
    </row>
    <row r="381" spans="32:38">
      <c r="AF381" s="223" t="s">
        <v>3626</v>
      </c>
      <c r="AG381" s="223" t="s">
        <v>3688</v>
      </c>
      <c r="AH381" s="116">
        <v>2025</v>
      </c>
      <c r="AI381" s="116">
        <v>4</v>
      </c>
      <c r="AJ381" s="223" t="s">
        <v>3689</v>
      </c>
      <c r="AK381" s="223" t="s">
        <v>35</v>
      </c>
      <c r="AL381" s="60">
        <v>343783527</v>
      </c>
    </row>
    <row r="382" spans="32:38">
      <c r="AF382" s="223" t="s">
        <v>3626</v>
      </c>
      <c r="AG382" s="223" t="s">
        <v>3688</v>
      </c>
      <c r="AH382" s="116">
        <v>2025</v>
      </c>
      <c r="AI382" s="116">
        <v>5</v>
      </c>
      <c r="AJ382" s="223" t="s">
        <v>3689</v>
      </c>
      <c r="AK382" s="223" t="s">
        <v>35</v>
      </c>
      <c r="AL382" s="60">
        <v>372961760</v>
      </c>
    </row>
    <row r="383" spans="32:38">
      <c r="AF383" s="223" t="s">
        <v>3626</v>
      </c>
      <c r="AG383" s="223" t="s">
        <v>3688</v>
      </c>
      <c r="AH383" s="116">
        <v>2025</v>
      </c>
      <c r="AI383" s="116">
        <v>6</v>
      </c>
      <c r="AJ383" s="223" t="s">
        <v>3689</v>
      </c>
      <c r="AK383" s="223" t="s">
        <v>35</v>
      </c>
      <c r="AL383" s="60">
        <v>347714672</v>
      </c>
    </row>
  </sheetData>
  <sortState xmlns:xlrd2="http://schemas.microsoft.com/office/spreadsheetml/2017/richdata2" ref="A5:Q67">
    <sortCondition ref="B5:B67"/>
    <sortCondition ref="C5:C67"/>
  </sortState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81C38-C2E8-4168-99D9-6C97F5D0A94E}">
  <sheetPr codeName="Sheet34"/>
  <dimension ref="A1:AM383"/>
  <sheetViews>
    <sheetView topLeftCell="A7" workbookViewId="0">
      <selection activeCell="D17" sqref="D17"/>
    </sheetView>
  </sheetViews>
  <sheetFormatPr defaultColWidth="9.140625" defaultRowHeight="14.45"/>
  <cols>
    <col min="1" max="1" width="46" style="27" customWidth="1"/>
    <col min="2" max="2" width="7.85546875" style="27" customWidth="1"/>
    <col min="3" max="3" width="12" style="27" customWidth="1"/>
    <col min="4" max="4" width="56.140625" style="27" customWidth="1"/>
    <col min="5" max="5" width="5.42578125" style="27" customWidth="1"/>
    <col min="6" max="6" width="50.7109375" style="27" customWidth="1"/>
    <col min="7" max="9" width="16.42578125" style="27" customWidth="1"/>
    <col min="10" max="12" width="12.28515625" style="27" bestFit="1" customWidth="1"/>
    <col min="13" max="13" width="5.42578125" style="27" customWidth="1"/>
    <col min="14" max="14" width="6.85546875" style="27" customWidth="1"/>
    <col min="15" max="15" width="10" style="27" customWidth="1"/>
    <col min="16" max="16" width="7.85546875" style="27" customWidth="1"/>
    <col min="17" max="18" width="9" style="27" customWidth="1"/>
    <col min="19" max="30" width="9.140625" style="27"/>
    <col min="31" max="32" width="11.7109375" style="27" bestFit="1" customWidth="1"/>
    <col min="33" max="37" width="9.140625" style="27"/>
    <col min="38" max="38" width="55.7109375" style="27" bestFit="1" customWidth="1"/>
    <col min="39" max="39" width="14.28515625" style="27" bestFit="1" customWidth="1"/>
    <col min="40" max="16384" width="9.140625" style="27"/>
  </cols>
  <sheetData>
    <row r="1" spans="1:39">
      <c r="A1" s="194" t="s">
        <v>3607</v>
      </c>
      <c r="AD1" s="27" t="s">
        <v>34</v>
      </c>
      <c r="AE1" s="27">
        <f>SUMIFS($AM$5:$AM$363,$AK$5:$AK$363,AD1,$AI$5:$AI$363,6)</f>
        <v>2442310453</v>
      </c>
      <c r="AF1" s="27">
        <f>SUMIFS('Full Imports'!$AL$5:$AL$383,'Full Imports'!$AK$5:$AK$383,'USMCA Imports'!AD1,'Full Imports'!$AI$5:$AI$383,6)</f>
        <v>29736629802</v>
      </c>
      <c r="AG1" s="27">
        <f>AE1/AF1</f>
        <v>8.2131380363612602E-2</v>
      </c>
    </row>
    <row r="2" spans="1:39">
      <c r="A2" s="194" t="s">
        <v>3608</v>
      </c>
      <c r="B2" s="195">
        <v>60</v>
      </c>
      <c r="G2" s="27">
        <v>1</v>
      </c>
      <c r="H2" s="27">
        <v>2</v>
      </c>
      <c r="I2" s="27">
        <v>3</v>
      </c>
      <c r="J2" s="27">
        <v>4</v>
      </c>
      <c r="K2" s="27">
        <v>5</v>
      </c>
      <c r="L2" s="27">
        <v>6</v>
      </c>
      <c r="M2" s="27">
        <v>7</v>
      </c>
      <c r="N2" s="27">
        <v>8</v>
      </c>
      <c r="O2" s="27">
        <v>9</v>
      </c>
      <c r="P2" s="27">
        <v>10</v>
      </c>
      <c r="Q2" s="27">
        <v>11</v>
      </c>
      <c r="R2" s="27">
        <v>12</v>
      </c>
    </row>
    <row r="3" spans="1:39">
      <c r="A3" s="194" t="s">
        <v>3609</v>
      </c>
      <c r="B3" s="194" t="s">
        <v>2254</v>
      </c>
      <c r="C3" s="194" t="s">
        <v>3610</v>
      </c>
      <c r="D3" s="194" t="s">
        <v>1857</v>
      </c>
      <c r="E3" s="194" t="s">
        <v>3611</v>
      </c>
      <c r="F3" s="194" t="s">
        <v>3690</v>
      </c>
      <c r="G3" s="194" t="s">
        <v>3612</v>
      </c>
      <c r="H3" s="194" t="s">
        <v>3613</v>
      </c>
      <c r="I3" s="194" t="s">
        <v>3614</v>
      </c>
      <c r="J3" s="194" t="s">
        <v>3615</v>
      </c>
      <c r="K3" s="194" t="s">
        <v>3616</v>
      </c>
      <c r="L3" s="194" t="s">
        <v>3617</v>
      </c>
      <c r="M3" s="194" t="s">
        <v>3618</v>
      </c>
      <c r="N3" s="194" t="s">
        <v>3619</v>
      </c>
      <c r="O3" s="194" t="s">
        <v>3620</v>
      </c>
      <c r="P3" s="194" t="s">
        <v>3621</v>
      </c>
      <c r="Q3" s="194" t="s">
        <v>3622</v>
      </c>
      <c r="R3" s="194" t="s">
        <v>3623</v>
      </c>
    </row>
    <row r="4" spans="1:39">
      <c r="A4" s="196" t="s">
        <v>3626</v>
      </c>
      <c r="B4" s="196" t="s">
        <v>34</v>
      </c>
      <c r="C4" s="196" t="s">
        <v>3658</v>
      </c>
      <c r="D4" s="196" t="s">
        <v>3659</v>
      </c>
      <c r="E4" s="195">
        <v>2025</v>
      </c>
      <c r="F4" s="196" t="s">
        <v>3691</v>
      </c>
      <c r="G4" s="42">
        <f>SUMIFS($AM$5:$AM$383,$AI$5:$AI$383,G$2,$AG$5:$AG$383,$C4,$AK$5:$AK$383,$B4)</f>
        <v>66332027</v>
      </c>
      <c r="H4" s="42">
        <f t="shared" ref="H4:L19" si="0">SUMIFS($AM$5:$AM$383,$AI$5:$AI$383,H$2,$AG$5:$AG$383,$C4,$AK$5:$AK$383,$B4)</f>
        <v>156823948</v>
      </c>
      <c r="I4" s="42">
        <f t="shared" si="0"/>
        <v>77208588</v>
      </c>
      <c r="J4" s="42">
        <f t="shared" si="0"/>
        <v>20266363</v>
      </c>
      <c r="K4" s="42">
        <f t="shared" si="0"/>
        <v>79331948</v>
      </c>
      <c r="L4" s="42">
        <f t="shared" si="0"/>
        <v>32554032</v>
      </c>
      <c r="M4" s="42">
        <v>0</v>
      </c>
      <c r="N4" s="42">
        <v>0</v>
      </c>
      <c r="O4" s="42">
        <v>0</v>
      </c>
      <c r="P4" s="42">
        <v>0</v>
      </c>
      <c r="Q4" s="42">
        <v>0</v>
      </c>
      <c r="R4" s="42">
        <v>0</v>
      </c>
      <c r="AF4" s="248" t="s">
        <v>3609</v>
      </c>
      <c r="AG4" s="248" t="s">
        <v>3610</v>
      </c>
      <c r="AH4" s="248" t="s">
        <v>3611</v>
      </c>
      <c r="AI4" s="248" t="s">
        <v>3692</v>
      </c>
      <c r="AJ4" s="248" t="s">
        <v>1857</v>
      </c>
      <c r="AK4" s="248" t="s">
        <v>2254</v>
      </c>
      <c r="AL4" s="248"/>
      <c r="AM4" s="248" t="s">
        <v>3693</v>
      </c>
    </row>
    <row r="5" spans="1:39">
      <c r="A5" s="196" t="s">
        <v>3626</v>
      </c>
      <c r="B5" s="196" t="s">
        <v>34</v>
      </c>
      <c r="C5" s="196" t="s">
        <v>3634</v>
      </c>
      <c r="D5" s="196" t="s">
        <v>3635</v>
      </c>
      <c r="E5" s="195">
        <v>2025</v>
      </c>
      <c r="F5" s="196" t="s">
        <v>3691</v>
      </c>
      <c r="G5" s="42">
        <f t="shared" ref="G5:L36" si="1">SUMIFS($AM$5:$AM$383,$AI$5:$AI$383,G$2,$AG$5:$AG$383,$C5,$AK$5:$AK$383,$B5)</f>
        <v>0</v>
      </c>
      <c r="H5" s="42">
        <f t="shared" si="0"/>
        <v>0</v>
      </c>
      <c r="I5" s="42">
        <f t="shared" si="0"/>
        <v>0</v>
      </c>
      <c r="J5" s="42">
        <f t="shared" si="0"/>
        <v>13621</v>
      </c>
      <c r="K5" s="42">
        <f t="shared" si="0"/>
        <v>0</v>
      </c>
      <c r="L5" s="42">
        <f t="shared" si="0"/>
        <v>0</v>
      </c>
      <c r="M5" s="42">
        <v>0</v>
      </c>
      <c r="N5" s="42">
        <v>0</v>
      </c>
      <c r="O5" s="42">
        <v>0</v>
      </c>
      <c r="P5" s="42">
        <v>0</v>
      </c>
      <c r="Q5" s="42">
        <v>0</v>
      </c>
      <c r="R5" s="42">
        <v>0</v>
      </c>
      <c r="AF5" s="223" t="s">
        <v>3693</v>
      </c>
      <c r="AG5" s="223" t="s">
        <v>3674</v>
      </c>
      <c r="AH5" s="116">
        <v>2025</v>
      </c>
      <c r="AI5" s="116">
        <v>2</v>
      </c>
      <c r="AJ5" s="223" t="s">
        <v>3675</v>
      </c>
      <c r="AK5" s="223" t="s">
        <v>34</v>
      </c>
      <c r="AL5" s="223"/>
      <c r="AM5" s="60">
        <v>175083666</v>
      </c>
    </row>
    <row r="6" spans="1:39">
      <c r="A6" s="196" t="s">
        <v>3626</v>
      </c>
      <c r="B6" s="196" t="s">
        <v>34</v>
      </c>
      <c r="C6" s="196" t="s">
        <v>3660</v>
      </c>
      <c r="D6" s="196" t="s">
        <v>3661</v>
      </c>
      <c r="E6" s="195">
        <v>2025</v>
      </c>
      <c r="F6" s="196" t="s">
        <v>3691</v>
      </c>
      <c r="G6" s="42">
        <f t="shared" si="1"/>
        <v>55239889</v>
      </c>
      <c r="H6" s="42">
        <f t="shared" si="0"/>
        <v>38970804</v>
      </c>
      <c r="I6" s="42">
        <f t="shared" si="0"/>
        <v>224646100</v>
      </c>
      <c r="J6" s="42">
        <f t="shared" si="0"/>
        <v>59670696</v>
      </c>
      <c r="K6" s="42">
        <f t="shared" si="0"/>
        <v>53077484</v>
      </c>
      <c r="L6" s="42">
        <f t="shared" si="0"/>
        <v>52063776</v>
      </c>
      <c r="M6" s="42">
        <v>0</v>
      </c>
      <c r="N6" s="42">
        <v>0</v>
      </c>
      <c r="O6" s="42">
        <v>0</v>
      </c>
      <c r="P6" s="42">
        <v>0</v>
      </c>
      <c r="Q6" s="42">
        <v>0</v>
      </c>
      <c r="R6" s="42">
        <v>0</v>
      </c>
      <c r="AF6" s="223" t="s">
        <v>3693</v>
      </c>
      <c r="AG6" s="223" t="s">
        <v>1782</v>
      </c>
      <c r="AH6" s="116">
        <v>2025</v>
      </c>
      <c r="AI6" s="116">
        <v>2</v>
      </c>
      <c r="AJ6" s="223" t="s">
        <v>3627</v>
      </c>
      <c r="AK6" s="223" t="s">
        <v>34</v>
      </c>
      <c r="AL6" s="223"/>
      <c r="AM6" s="60">
        <v>495303</v>
      </c>
    </row>
    <row r="7" spans="1:39">
      <c r="A7" s="196" t="s">
        <v>3626</v>
      </c>
      <c r="B7" s="196" t="s">
        <v>34</v>
      </c>
      <c r="C7" s="196" t="s">
        <v>3644</v>
      </c>
      <c r="D7" s="196" t="s">
        <v>3645</v>
      </c>
      <c r="E7" s="195">
        <v>2025</v>
      </c>
      <c r="F7" s="196" t="s">
        <v>3691</v>
      </c>
      <c r="G7" s="42">
        <f t="shared" si="1"/>
        <v>5138338</v>
      </c>
      <c r="H7" s="42">
        <f t="shared" si="0"/>
        <v>4695501</v>
      </c>
      <c r="I7" s="42">
        <f t="shared" si="0"/>
        <v>6676079</v>
      </c>
      <c r="J7" s="42">
        <f t="shared" si="0"/>
        <v>3107306</v>
      </c>
      <c r="K7" s="42">
        <f t="shared" si="0"/>
        <v>3717319</v>
      </c>
      <c r="L7" s="42">
        <f t="shared" si="0"/>
        <v>3555096</v>
      </c>
      <c r="M7" s="42">
        <v>0</v>
      </c>
      <c r="N7" s="42">
        <v>0</v>
      </c>
      <c r="O7" s="42">
        <v>0</v>
      </c>
      <c r="P7" s="42">
        <v>0</v>
      </c>
      <c r="Q7" s="42">
        <v>0</v>
      </c>
      <c r="R7" s="42">
        <v>0</v>
      </c>
      <c r="AF7" s="223" t="s">
        <v>3693</v>
      </c>
      <c r="AG7" s="223" t="s">
        <v>1782</v>
      </c>
      <c r="AH7" s="116">
        <v>2025</v>
      </c>
      <c r="AI7" s="116">
        <v>3</v>
      </c>
      <c r="AJ7" s="223" t="s">
        <v>3627</v>
      </c>
      <c r="AK7" s="223" t="s">
        <v>34</v>
      </c>
      <c r="AL7" s="223"/>
      <c r="AM7" s="60">
        <v>15149119</v>
      </c>
    </row>
    <row r="8" spans="1:39">
      <c r="A8" s="196" t="s">
        <v>3626</v>
      </c>
      <c r="B8" s="196" t="s">
        <v>34</v>
      </c>
      <c r="C8" s="196" t="s">
        <v>3662</v>
      </c>
      <c r="D8" s="196" t="s">
        <v>3663</v>
      </c>
      <c r="E8" s="195">
        <v>2025</v>
      </c>
      <c r="F8" s="196" t="s">
        <v>3691</v>
      </c>
      <c r="G8" s="42">
        <f t="shared" si="1"/>
        <v>20500340</v>
      </c>
      <c r="H8" s="42">
        <f t="shared" si="0"/>
        <v>19141573</v>
      </c>
      <c r="I8" s="42">
        <f t="shared" si="0"/>
        <v>94891153</v>
      </c>
      <c r="J8" s="42">
        <f t="shared" si="0"/>
        <v>21883883</v>
      </c>
      <c r="K8" s="42">
        <f t="shared" si="0"/>
        <v>17577468</v>
      </c>
      <c r="L8" s="42">
        <f t="shared" si="0"/>
        <v>18285014</v>
      </c>
      <c r="M8" s="42">
        <v>0</v>
      </c>
      <c r="N8" s="42">
        <v>0</v>
      </c>
      <c r="O8" s="42">
        <v>0</v>
      </c>
      <c r="P8" s="42">
        <v>0</v>
      </c>
      <c r="Q8" s="42">
        <v>0</v>
      </c>
      <c r="R8" s="42">
        <v>0</v>
      </c>
      <c r="AF8" s="223" t="s">
        <v>3693</v>
      </c>
      <c r="AG8" s="223" t="s">
        <v>1782</v>
      </c>
      <c r="AH8" s="116">
        <v>2025</v>
      </c>
      <c r="AI8" s="116">
        <v>4</v>
      </c>
      <c r="AJ8" s="223" t="s">
        <v>3627</v>
      </c>
      <c r="AK8" s="223" t="s">
        <v>34</v>
      </c>
      <c r="AL8" s="223"/>
      <c r="AM8" s="60">
        <v>582400</v>
      </c>
    </row>
    <row r="9" spans="1:39">
      <c r="A9" s="196" t="s">
        <v>3626</v>
      </c>
      <c r="B9" s="196" t="s">
        <v>34</v>
      </c>
      <c r="C9" s="196" t="s">
        <v>3636</v>
      </c>
      <c r="D9" s="196" t="s">
        <v>3637</v>
      </c>
      <c r="E9" s="195">
        <v>2025</v>
      </c>
      <c r="F9" s="196" t="s">
        <v>3691</v>
      </c>
      <c r="G9" s="42">
        <f t="shared" si="1"/>
        <v>6746742765</v>
      </c>
      <c r="H9" s="42">
        <f t="shared" si="0"/>
        <v>6252118910</v>
      </c>
      <c r="I9" s="42">
        <f t="shared" si="0"/>
        <v>2007015223</v>
      </c>
      <c r="J9" s="42">
        <f t="shared" si="0"/>
        <v>112856308</v>
      </c>
      <c r="K9" s="42">
        <f t="shared" si="0"/>
        <v>59689838</v>
      </c>
      <c r="L9" s="42">
        <f t="shared" si="0"/>
        <v>49218556</v>
      </c>
      <c r="M9" s="42">
        <v>0</v>
      </c>
      <c r="N9" s="42">
        <v>0</v>
      </c>
      <c r="O9" s="42">
        <v>0</v>
      </c>
      <c r="P9" s="42">
        <v>0</v>
      </c>
      <c r="Q9" s="42">
        <v>0</v>
      </c>
      <c r="R9" s="42">
        <v>0</v>
      </c>
      <c r="AF9" s="223" t="s">
        <v>3693</v>
      </c>
      <c r="AG9" s="223" t="s">
        <v>1782</v>
      </c>
      <c r="AH9" s="116">
        <v>2025</v>
      </c>
      <c r="AI9" s="116">
        <v>5</v>
      </c>
      <c r="AJ9" s="223" t="s">
        <v>3627</v>
      </c>
      <c r="AK9" s="223" t="s">
        <v>34</v>
      </c>
      <c r="AL9" s="223"/>
      <c r="AM9" s="60">
        <v>4214804</v>
      </c>
    </row>
    <row r="10" spans="1:39">
      <c r="A10" s="196" t="s">
        <v>3626</v>
      </c>
      <c r="B10" s="196" t="s">
        <v>34</v>
      </c>
      <c r="C10" s="196" t="s">
        <v>3664</v>
      </c>
      <c r="D10" s="196" t="s">
        <v>3665</v>
      </c>
      <c r="E10" s="195">
        <v>2025</v>
      </c>
      <c r="F10" s="196" t="s">
        <v>3691</v>
      </c>
      <c r="G10" s="42">
        <f t="shared" si="1"/>
        <v>3231898</v>
      </c>
      <c r="H10" s="42">
        <f t="shared" si="0"/>
        <v>2936494</v>
      </c>
      <c r="I10" s="42">
        <f t="shared" si="0"/>
        <v>11635706</v>
      </c>
      <c r="J10" s="42">
        <f t="shared" si="0"/>
        <v>5601435</v>
      </c>
      <c r="K10" s="42">
        <f t="shared" si="0"/>
        <v>4623378</v>
      </c>
      <c r="L10" s="42">
        <f t="shared" si="0"/>
        <v>4010198</v>
      </c>
      <c r="M10" s="42">
        <v>0</v>
      </c>
      <c r="N10" s="42">
        <v>0</v>
      </c>
      <c r="O10" s="42">
        <v>0</v>
      </c>
      <c r="P10" s="42">
        <v>0</v>
      </c>
      <c r="Q10" s="42">
        <v>0</v>
      </c>
      <c r="R10" s="42">
        <v>0</v>
      </c>
      <c r="AF10" s="223" t="s">
        <v>3693</v>
      </c>
      <c r="AG10" s="223" t="s">
        <v>1782</v>
      </c>
      <c r="AH10" s="116">
        <v>2025</v>
      </c>
      <c r="AI10" s="116">
        <v>6</v>
      </c>
      <c r="AJ10" s="223" t="s">
        <v>3627</v>
      </c>
      <c r="AK10" s="223" t="s">
        <v>34</v>
      </c>
      <c r="AL10" s="223"/>
      <c r="AM10" s="60">
        <v>222685</v>
      </c>
    </row>
    <row r="11" spans="1:39">
      <c r="A11" s="196" t="s">
        <v>3626</v>
      </c>
      <c r="B11" s="196" t="s">
        <v>34</v>
      </c>
      <c r="C11" s="196" t="s">
        <v>3646</v>
      </c>
      <c r="D11" s="196" t="s">
        <v>3647</v>
      </c>
      <c r="E11" s="195">
        <v>2025</v>
      </c>
      <c r="F11" s="196" t="s">
        <v>3691</v>
      </c>
      <c r="G11" s="42">
        <f t="shared" si="1"/>
        <v>5730891</v>
      </c>
      <c r="H11" s="42">
        <f t="shared" si="0"/>
        <v>6702352</v>
      </c>
      <c r="I11" s="42">
        <f t="shared" si="0"/>
        <v>5670379</v>
      </c>
      <c r="J11" s="42">
        <f t="shared" si="0"/>
        <v>3790215</v>
      </c>
      <c r="K11" s="42">
        <f t="shared" si="0"/>
        <v>3474162</v>
      </c>
      <c r="L11" s="42">
        <f t="shared" si="0"/>
        <v>3209733</v>
      </c>
      <c r="M11" s="42">
        <v>0</v>
      </c>
      <c r="N11" s="42">
        <v>0</v>
      </c>
      <c r="O11" s="42">
        <v>0</v>
      </c>
      <c r="P11" s="42">
        <v>0</v>
      </c>
      <c r="Q11" s="42">
        <v>0</v>
      </c>
      <c r="R11" s="42">
        <v>0</v>
      </c>
      <c r="AF11" s="223" t="s">
        <v>3693</v>
      </c>
      <c r="AG11" s="223" t="s">
        <v>3628</v>
      </c>
      <c r="AH11" s="116">
        <v>2025</v>
      </c>
      <c r="AI11" s="116">
        <v>1</v>
      </c>
      <c r="AJ11" s="223" t="s">
        <v>3629</v>
      </c>
      <c r="AK11" s="223" t="s">
        <v>34</v>
      </c>
      <c r="AL11" s="223"/>
      <c r="AM11" s="60">
        <v>311685</v>
      </c>
    </row>
    <row r="12" spans="1:39">
      <c r="A12" s="196" t="s">
        <v>3626</v>
      </c>
      <c r="B12" s="196" t="s">
        <v>34</v>
      </c>
      <c r="C12" s="196" t="s">
        <v>3666</v>
      </c>
      <c r="D12" s="196" t="s">
        <v>3667</v>
      </c>
      <c r="E12" s="195">
        <v>2025</v>
      </c>
      <c r="F12" s="196" t="s">
        <v>3691</v>
      </c>
      <c r="G12" s="42">
        <f t="shared" si="1"/>
        <v>5818050</v>
      </c>
      <c r="H12" s="42">
        <f t="shared" si="0"/>
        <v>5977109</v>
      </c>
      <c r="I12" s="42">
        <f t="shared" si="0"/>
        <v>176445173</v>
      </c>
      <c r="J12" s="42">
        <f t="shared" si="0"/>
        <v>1069641903</v>
      </c>
      <c r="K12" s="42">
        <f t="shared" si="0"/>
        <v>904727457</v>
      </c>
      <c r="L12" s="42">
        <f t="shared" si="0"/>
        <v>826721366</v>
      </c>
      <c r="M12" s="42">
        <v>0</v>
      </c>
      <c r="N12" s="42">
        <v>0</v>
      </c>
      <c r="O12" s="42">
        <v>0</v>
      </c>
      <c r="P12" s="42">
        <v>0</v>
      </c>
      <c r="Q12" s="42">
        <v>0</v>
      </c>
      <c r="R12" s="42">
        <v>0</v>
      </c>
      <c r="AF12" s="223" t="s">
        <v>3693</v>
      </c>
      <c r="AG12" s="223" t="s">
        <v>3628</v>
      </c>
      <c r="AH12" s="116">
        <v>2025</v>
      </c>
      <c r="AI12" s="116">
        <v>2</v>
      </c>
      <c r="AJ12" s="223" t="s">
        <v>3629</v>
      </c>
      <c r="AK12" s="223" t="s">
        <v>34</v>
      </c>
      <c r="AL12" s="223"/>
      <c r="AM12" s="60">
        <v>100076</v>
      </c>
    </row>
    <row r="13" spans="1:39">
      <c r="A13" s="196" t="s">
        <v>3626</v>
      </c>
      <c r="B13" s="196" t="s">
        <v>34</v>
      </c>
      <c r="C13" s="196" t="s">
        <v>3628</v>
      </c>
      <c r="D13" s="196" t="s">
        <v>3629</v>
      </c>
      <c r="E13" s="195">
        <v>2025</v>
      </c>
      <c r="F13" s="196" t="s">
        <v>3691</v>
      </c>
      <c r="G13" s="42">
        <f t="shared" si="1"/>
        <v>311685</v>
      </c>
      <c r="H13" s="42">
        <f t="shared" si="0"/>
        <v>100076</v>
      </c>
      <c r="I13" s="42">
        <f t="shared" si="0"/>
        <v>3147342</v>
      </c>
      <c r="J13" s="42">
        <f t="shared" si="0"/>
        <v>235651</v>
      </c>
      <c r="K13" s="42">
        <f t="shared" si="0"/>
        <v>126884</v>
      </c>
      <c r="L13" s="42">
        <f t="shared" si="0"/>
        <v>118308</v>
      </c>
      <c r="M13" s="42">
        <v>0</v>
      </c>
      <c r="N13" s="42">
        <v>0</v>
      </c>
      <c r="O13" s="42">
        <v>0</v>
      </c>
      <c r="P13" s="42">
        <v>0</v>
      </c>
      <c r="Q13" s="42">
        <v>0</v>
      </c>
      <c r="R13" s="42">
        <v>0</v>
      </c>
      <c r="AF13" s="223" t="s">
        <v>3693</v>
      </c>
      <c r="AG13" s="223" t="s">
        <v>3628</v>
      </c>
      <c r="AH13" s="116">
        <v>2025</v>
      </c>
      <c r="AI13" s="116">
        <v>3</v>
      </c>
      <c r="AJ13" s="223" t="s">
        <v>3629</v>
      </c>
      <c r="AK13" s="223" t="s">
        <v>34</v>
      </c>
      <c r="AL13" s="223"/>
      <c r="AM13" s="60">
        <v>3147342</v>
      </c>
    </row>
    <row r="14" spans="1:39">
      <c r="A14" s="196" t="s">
        <v>3626</v>
      </c>
      <c r="B14" s="196" t="s">
        <v>34</v>
      </c>
      <c r="C14" s="196" t="s">
        <v>3668</v>
      </c>
      <c r="D14" s="196" t="s">
        <v>3669</v>
      </c>
      <c r="E14" s="195">
        <v>2025</v>
      </c>
      <c r="F14" s="196" t="s">
        <v>3691</v>
      </c>
      <c r="G14" s="42">
        <f t="shared" si="1"/>
        <v>84440650</v>
      </c>
      <c r="H14" s="42">
        <f t="shared" si="0"/>
        <v>62562102</v>
      </c>
      <c r="I14" s="42">
        <f t="shared" si="0"/>
        <v>181623321</v>
      </c>
      <c r="J14" s="42">
        <f t="shared" si="0"/>
        <v>247294760</v>
      </c>
      <c r="K14" s="42">
        <f t="shared" si="0"/>
        <v>238464551</v>
      </c>
      <c r="L14" s="42">
        <f t="shared" si="0"/>
        <v>191536478</v>
      </c>
      <c r="M14" s="42">
        <v>0</v>
      </c>
      <c r="N14" s="42">
        <v>0</v>
      </c>
      <c r="O14" s="42">
        <v>0</v>
      </c>
      <c r="P14" s="42">
        <v>0</v>
      </c>
      <c r="Q14" s="42">
        <v>0</v>
      </c>
      <c r="R14" s="42">
        <v>0</v>
      </c>
      <c r="AF14" s="223" t="s">
        <v>3693</v>
      </c>
      <c r="AG14" s="223" t="s">
        <v>3628</v>
      </c>
      <c r="AH14" s="116">
        <v>2025</v>
      </c>
      <c r="AI14" s="116">
        <v>4</v>
      </c>
      <c r="AJ14" s="223" t="s">
        <v>3629</v>
      </c>
      <c r="AK14" s="223" t="s">
        <v>34</v>
      </c>
      <c r="AL14" s="223"/>
      <c r="AM14" s="60">
        <v>235651</v>
      </c>
    </row>
    <row r="15" spans="1:39">
      <c r="A15" s="196" t="s">
        <v>3626</v>
      </c>
      <c r="B15" s="196" t="s">
        <v>34</v>
      </c>
      <c r="C15" s="196" t="s">
        <v>3648</v>
      </c>
      <c r="D15" s="196" t="s">
        <v>3649</v>
      </c>
      <c r="E15" s="195">
        <v>2025</v>
      </c>
      <c r="F15" s="196" t="s">
        <v>3691</v>
      </c>
      <c r="G15" s="42">
        <f t="shared" si="1"/>
        <v>12989348</v>
      </c>
      <c r="H15" s="42">
        <f t="shared" si="0"/>
        <v>11679824</v>
      </c>
      <c r="I15" s="42">
        <f t="shared" si="0"/>
        <v>10076690</v>
      </c>
      <c r="J15" s="42">
        <f t="shared" si="0"/>
        <v>10339013</v>
      </c>
      <c r="K15" s="42">
        <f t="shared" si="0"/>
        <v>11389020</v>
      </c>
      <c r="L15" s="42">
        <f t="shared" si="0"/>
        <v>11299724</v>
      </c>
      <c r="M15" s="42">
        <v>0</v>
      </c>
      <c r="N15" s="42">
        <v>0</v>
      </c>
      <c r="O15" s="42">
        <v>0</v>
      </c>
      <c r="P15" s="42">
        <v>0</v>
      </c>
      <c r="Q15" s="42">
        <v>0</v>
      </c>
      <c r="R15" s="42">
        <v>0</v>
      </c>
      <c r="AF15" s="223" t="s">
        <v>3693</v>
      </c>
      <c r="AG15" s="223" t="s">
        <v>3628</v>
      </c>
      <c r="AH15" s="116">
        <v>2025</v>
      </c>
      <c r="AI15" s="116">
        <v>5</v>
      </c>
      <c r="AJ15" s="223" t="s">
        <v>3629</v>
      </c>
      <c r="AK15" s="223" t="s">
        <v>34</v>
      </c>
      <c r="AL15" s="223"/>
      <c r="AM15" s="60">
        <v>126884</v>
      </c>
    </row>
    <row r="16" spans="1:39">
      <c r="A16" s="196" t="s">
        <v>3626</v>
      </c>
      <c r="B16" s="196" t="s">
        <v>34</v>
      </c>
      <c r="C16" s="196" t="s">
        <v>3670</v>
      </c>
      <c r="D16" s="196" t="s">
        <v>3671</v>
      </c>
      <c r="E16" s="195">
        <v>2025</v>
      </c>
      <c r="F16" s="196" t="s">
        <v>3691</v>
      </c>
      <c r="G16" s="42">
        <f t="shared" si="1"/>
        <v>118987719</v>
      </c>
      <c r="H16" s="42">
        <f t="shared" si="0"/>
        <v>93847513</v>
      </c>
      <c r="I16" s="42">
        <f t="shared" si="0"/>
        <v>286778338</v>
      </c>
      <c r="J16" s="42">
        <f t="shared" si="0"/>
        <v>190287508</v>
      </c>
      <c r="K16" s="42">
        <f t="shared" si="0"/>
        <v>208223942</v>
      </c>
      <c r="L16" s="42">
        <f t="shared" si="0"/>
        <v>166361432</v>
      </c>
      <c r="M16" s="42">
        <v>0</v>
      </c>
      <c r="N16" s="42">
        <v>0</v>
      </c>
      <c r="O16" s="42">
        <v>0</v>
      </c>
      <c r="P16" s="42">
        <v>0</v>
      </c>
      <c r="Q16" s="42">
        <v>0</v>
      </c>
      <c r="R16" s="42">
        <v>0</v>
      </c>
      <c r="AF16" s="223" t="s">
        <v>3693</v>
      </c>
      <c r="AG16" s="223" t="s">
        <v>3628</v>
      </c>
      <c r="AH16" s="116">
        <v>2025</v>
      </c>
      <c r="AI16" s="116">
        <v>6</v>
      </c>
      <c r="AJ16" s="223" t="s">
        <v>3629</v>
      </c>
      <c r="AK16" s="223" t="s">
        <v>34</v>
      </c>
      <c r="AL16" s="223"/>
      <c r="AM16" s="60">
        <v>118308</v>
      </c>
    </row>
    <row r="17" spans="1:39">
      <c r="A17" s="196" t="s">
        <v>3626</v>
      </c>
      <c r="B17" s="196" t="s">
        <v>34</v>
      </c>
      <c r="C17" s="196" t="s">
        <v>3638</v>
      </c>
      <c r="D17" s="196" t="s">
        <v>3639</v>
      </c>
      <c r="E17" s="195">
        <v>2025</v>
      </c>
      <c r="F17" s="196" t="s">
        <v>3691</v>
      </c>
      <c r="G17" s="42">
        <f t="shared" si="1"/>
        <v>5257</v>
      </c>
      <c r="H17" s="42">
        <f t="shared" si="0"/>
        <v>11140</v>
      </c>
      <c r="I17" s="42">
        <f t="shared" si="0"/>
        <v>1536418</v>
      </c>
      <c r="J17" s="42">
        <f t="shared" si="0"/>
        <v>1046420</v>
      </c>
      <c r="K17" s="42">
        <f t="shared" si="0"/>
        <v>2079536</v>
      </c>
      <c r="L17" s="42">
        <f t="shared" si="0"/>
        <v>3946470</v>
      </c>
      <c r="M17" s="42">
        <v>0</v>
      </c>
      <c r="N17" s="42">
        <v>0</v>
      </c>
      <c r="O17" s="42">
        <v>0</v>
      </c>
      <c r="P17" s="42">
        <v>0</v>
      </c>
      <c r="Q17" s="42">
        <v>0</v>
      </c>
      <c r="R17" s="42">
        <v>0</v>
      </c>
      <c r="AF17" s="223" t="s">
        <v>3693</v>
      </c>
      <c r="AG17" s="223" t="s">
        <v>3630</v>
      </c>
      <c r="AH17" s="116">
        <v>2025</v>
      </c>
      <c r="AI17" s="116">
        <v>1</v>
      </c>
      <c r="AJ17" s="223" t="s">
        <v>3631</v>
      </c>
      <c r="AK17" s="223" t="s">
        <v>34</v>
      </c>
      <c r="AL17" s="223"/>
      <c r="AM17" s="60">
        <v>0</v>
      </c>
    </row>
    <row r="18" spans="1:39">
      <c r="A18" s="196" t="s">
        <v>3626</v>
      </c>
      <c r="B18" s="196" t="s">
        <v>34</v>
      </c>
      <c r="C18" s="196" t="s">
        <v>3672</v>
      </c>
      <c r="D18" s="196" t="s">
        <v>3673</v>
      </c>
      <c r="E18" s="195">
        <v>2025</v>
      </c>
      <c r="F18" s="196" t="s">
        <v>3691</v>
      </c>
      <c r="G18" s="42">
        <f t="shared" si="1"/>
        <v>17754928</v>
      </c>
      <c r="H18" s="42">
        <f t="shared" si="0"/>
        <v>19500939</v>
      </c>
      <c r="I18" s="42">
        <f t="shared" si="0"/>
        <v>188891844</v>
      </c>
      <c r="J18" s="42">
        <f t="shared" si="0"/>
        <v>131909145</v>
      </c>
      <c r="K18" s="42">
        <f t="shared" si="0"/>
        <v>137215407</v>
      </c>
      <c r="L18" s="42">
        <f t="shared" si="0"/>
        <v>119872026</v>
      </c>
      <c r="M18" s="42">
        <v>0</v>
      </c>
      <c r="N18" s="42">
        <v>0</v>
      </c>
      <c r="O18" s="42">
        <v>0</v>
      </c>
      <c r="P18" s="42">
        <v>0</v>
      </c>
      <c r="Q18" s="42">
        <v>0</v>
      </c>
      <c r="R18" s="42">
        <v>0</v>
      </c>
      <c r="AF18" s="223" t="s">
        <v>3693</v>
      </c>
      <c r="AG18" s="223" t="s">
        <v>3630</v>
      </c>
      <c r="AH18" s="116">
        <v>2025</v>
      </c>
      <c r="AI18" s="116">
        <v>2</v>
      </c>
      <c r="AJ18" s="223" t="s">
        <v>3631</v>
      </c>
      <c r="AK18" s="223" t="s">
        <v>34</v>
      </c>
      <c r="AL18" s="223"/>
      <c r="AM18" s="60">
        <v>0</v>
      </c>
    </row>
    <row r="19" spans="1:39">
      <c r="A19" s="196" t="s">
        <v>3626</v>
      </c>
      <c r="B19" s="196" t="s">
        <v>34</v>
      </c>
      <c r="C19" s="196" t="s">
        <v>3650</v>
      </c>
      <c r="D19" s="196" t="s">
        <v>3651</v>
      </c>
      <c r="E19" s="195">
        <v>2025</v>
      </c>
      <c r="F19" s="196" t="s">
        <v>3691</v>
      </c>
      <c r="G19" s="42">
        <f t="shared" si="1"/>
        <v>778491</v>
      </c>
      <c r="H19" s="42">
        <f t="shared" si="0"/>
        <v>642263</v>
      </c>
      <c r="I19" s="42">
        <f t="shared" si="0"/>
        <v>1276416</v>
      </c>
      <c r="J19" s="42">
        <f t="shared" si="0"/>
        <v>706769</v>
      </c>
      <c r="K19" s="42">
        <f t="shared" si="0"/>
        <v>868611</v>
      </c>
      <c r="L19" s="42">
        <f t="shared" si="0"/>
        <v>721381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AF19" s="223" t="s">
        <v>3693</v>
      </c>
      <c r="AG19" s="223" t="s">
        <v>3630</v>
      </c>
      <c r="AH19" s="116">
        <v>2025</v>
      </c>
      <c r="AI19" s="116">
        <v>3</v>
      </c>
      <c r="AJ19" s="223" t="s">
        <v>3631</v>
      </c>
      <c r="AK19" s="223" t="s">
        <v>34</v>
      </c>
      <c r="AL19" s="223"/>
      <c r="AM19" s="60">
        <v>178808</v>
      </c>
    </row>
    <row r="20" spans="1:39">
      <c r="A20" s="196" t="s">
        <v>3626</v>
      </c>
      <c r="B20" s="196" t="s">
        <v>34</v>
      </c>
      <c r="C20" s="196" t="s">
        <v>3674</v>
      </c>
      <c r="D20" s="196" t="s">
        <v>3675</v>
      </c>
      <c r="E20" s="195">
        <v>2025</v>
      </c>
      <c r="F20" s="196" t="s">
        <v>3691</v>
      </c>
      <c r="G20" s="42">
        <f t="shared" si="1"/>
        <v>157404597</v>
      </c>
      <c r="H20" s="42">
        <f t="shared" si="1"/>
        <v>175083666</v>
      </c>
      <c r="I20" s="42">
        <f t="shared" si="1"/>
        <v>128866981</v>
      </c>
      <c r="J20" s="42">
        <f t="shared" si="1"/>
        <v>82226337</v>
      </c>
      <c r="K20" s="42">
        <f t="shared" si="1"/>
        <v>80370584</v>
      </c>
      <c r="L20" s="42">
        <f t="shared" si="1"/>
        <v>85430610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AF20" s="223" t="s">
        <v>3693</v>
      </c>
      <c r="AG20" s="223" t="s">
        <v>3630</v>
      </c>
      <c r="AH20" s="116">
        <v>2025</v>
      </c>
      <c r="AI20" s="116">
        <v>4</v>
      </c>
      <c r="AJ20" s="223" t="s">
        <v>3631</v>
      </c>
      <c r="AK20" s="223" t="s">
        <v>34</v>
      </c>
      <c r="AL20" s="223"/>
      <c r="AM20" s="60">
        <v>608054</v>
      </c>
    </row>
    <row r="21" spans="1:39">
      <c r="A21" s="196" t="s">
        <v>3626</v>
      </c>
      <c r="B21" s="196" t="s">
        <v>34</v>
      </c>
      <c r="C21" s="196" t="s">
        <v>3632</v>
      </c>
      <c r="D21" s="196" t="s">
        <v>3633</v>
      </c>
      <c r="E21" s="195">
        <v>2025</v>
      </c>
      <c r="F21" s="196" t="s">
        <v>3691</v>
      </c>
      <c r="G21" s="42">
        <f t="shared" si="1"/>
        <v>284629</v>
      </c>
      <c r="H21" s="42">
        <f t="shared" si="1"/>
        <v>329944</v>
      </c>
      <c r="I21" s="42">
        <f t="shared" si="1"/>
        <v>1171385</v>
      </c>
      <c r="J21" s="42">
        <f t="shared" si="1"/>
        <v>181201</v>
      </c>
      <c r="K21" s="42">
        <f t="shared" si="1"/>
        <v>359321</v>
      </c>
      <c r="L21" s="42">
        <f t="shared" si="1"/>
        <v>348359</v>
      </c>
      <c r="M21" s="42">
        <v>0</v>
      </c>
      <c r="N21" s="42">
        <v>0</v>
      </c>
      <c r="O21" s="42">
        <v>0</v>
      </c>
      <c r="P21" s="42">
        <v>0</v>
      </c>
      <c r="Q21" s="42">
        <v>0</v>
      </c>
      <c r="R21" s="42">
        <v>0</v>
      </c>
      <c r="AF21" s="223" t="s">
        <v>3693</v>
      </c>
      <c r="AG21" s="223" t="s">
        <v>3630</v>
      </c>
      <c r="AH21" s="116">
        <v>2025</v>
      </c>
      <c r="AI21" s="116">
        <v>5</v>
      </c>
      <c r="AJ21" s="223" t="s">
        <v>3631</v>
      </c>
      <c r="AK21" s="223" t="s">
        <v>34</v>
      </c>
      <c r="AL21" s="223"/>
      <c r="AM21" s="60">
        <v>97937</v>
      </c>
    </row>
    <row r="22" spans="1:39">
      <c r="A22" s="196" t="s">
        <v>3626</v>
      </c>
      <c r="B22" s="196" t="s">
        <v>34</v>
      </c>
      <c r="C22" s="196" t="s">
        <v>3676</v>
      </c>
      <c r="D22" s="196" t="s">
        <v>3677</v>
      </c>
      <c r="E22" s="195">
        <v>2025</v>
      </c>
      <c r="F22" s="196" t="s">
        <v>3691</v>
      </c>
      <c r="G22" s="42">
        <f t="shared" si="1"/>
        <v>497590529</v>
      </c>
      <c r="H22" s="42">
        <f t="shared" si="1"/>
        <v>436645788</v>
      </c>
      <c r="I22" s="42">
        <f t="shared" si="1"/>
        <v>715737137</v>
      </c>
      <c r="J22" s="42">
        <f t="shared" si="1"/>
        <v>765782649</v>
      </c>
      <c r="K22" s="42">
        <f t="shared" si="1"/>
        <v>443195996</v>
      </c>
      <c r="L22" s="42">
        <f t="shared" si="1"/>
        <v>453544047</v>
      </c>
      <c r="M22" s="42">
        <v>0</v>
      </c>
      <c r="N22" s="42">
        <v>0</v>
      </c>
      <c r="O22" s="42">
        <v>0</v>
      </c>
      <c r="P22" s="42">
        <v>0</v>
      </c>
      <c r="Q22" s="42">
        <v>0</v>
      </c>
      <c r="R22" s="42">
        <v>0</v>
      </c>
      <c r="AF22" s="223" t="s">
        <v>3693</v>
      </c>
      <c r="AG22" s="223" t="s">
        <v>3630</v>
      </c>
      <c r="AH22" s="116">
        <v>2025</v>
      </c>
      <c r="AI22" s="116">
        <v>6</v>
      </c>
      <c r="AJ22" s="223" t="s">
        <v>3631</v>
      </c>
      <c r="AK22" s="223" t="s">
        <v>34</v>
      </c>
      <c r="AL22" s="223"/>
      <c r="AM22" s="60">
        <v>54002</v>
      </c>
    </row>
    <row r="23" spans="1:39">
      <c r="A23" s="196" t="s">
        <v>3626</v>
      </c>
      <c r="B23" s="196" t="s">
        <v>34</v>
      </c>
      <c r="C23" s="196" t="s">
        <v>3652</v>
      </c>
      <c r="D23" s="196" t="s">
        <v>3653</v>
      </c>
      <c r="E23" s="195">
        <v>2025</v>
      </c>
      <c r="F23" s="196" t="s">
        <v>3691</v>
      </c>
      <c r="G23" s="42">
        <f t="shared" si="1"/>
        <v>832668</v>
      </c>
      <c r="H23" s="42">
        <f t="shared" si="1"/>
        <v>2977716</v>
      </c>
      <c r="I23" s="42">
        <f t="shared" si="1"/>
        <v>13167079</v>
      </c>
      <c r="J23" s="42">
        <f t="shared" si="1"/>
        <v>1210616</v>
      </c>
      <c r="K23" s="42">
        <f t="shared" si="1"/>
        <v>1218817</v>
      </c>
      <c r="L23" s="42">
        <f t="shared" si="1"/>
        <v>1170471</v>
      </c>
      <c r="M23" s="42">
        <v>0</v>
      </c>
      <c r="N23" s="42">
        <v>0</v>
      </c>
      <c r="O23" s="42">
        <v>0</v>
      </c>
      <c r="P23" s="42">
        <v>0</v>
      </c>
      <c r="Q23" s="42">
        <v>0</v>
      </c>
      <c r="R23" s="42">
        <v>0</v>
      </c>
      <c r="AF23" s="223" t="s">
        <v>3693</v>
      </c>
      <c r="AG23" s="223" t="s">
        <v>3632</v>
      </c>
      <c r="AH23" s="116">
        <v>2025</v>
      </c>
      <c r="AI23" s="116">
        <v>1</v>
      </c>
      <c r="AJ23" s="223" t="s">
        <v>3633</v>
      </c>
      <c r="AK23" s="223" t="s">
        <v>34</v>
      </c>
      <c r="AL23" s="223"/>
      <c r="AM23" s="60">
        <v>284629</v>
      </c>
    </row>
    <row r="24" spans="1:39">
      <c r="A24" s="196" t="s">
        <v>3626</v>
      </c>
      <c r="B24" s="196" t="s">
        <v>34</v>
      </c>
      <c r="C24" s="196" t="s">
        <v>3678</v>
      </c>
      <c r="D24" s="196" t="s">
        <v>3679</v>
      </c>
      <c r="E24" s="195">
        <v>2025</v>
      </c>
      <c r="F24" s="196" t="s">
        <v>3691</v>
      </c>
      <c r="G24" s="42">
        <f t="shared" si="1"/>
        <v>92258</v>
      </c>
      <c r="H24" s="42">
        <f t="shared" si="1"/>
        <v>103062</v>
      </c>
      <c r="I24" s="42">
        <f t="shared" si="1"/>
        <v>8272737</v>
      </c>
      <c r="J24" s="42">
        <f t="shared" si="1"/>
        <v>27646238</v>
      </c>
      <c r="K24" s="42">
        <f t="shared" si="1"/>
        <v>27310118</v>
      </c>
      <c r="L24" s="42">
        <f t="shared" si="1"/>
        <v>26749236</v>
      </c>
      <c r="M24" s="42">
        <v>0</v>
      </c>
      <c r="N24" s="42">
        <v>0</v>
      </c>
      <c r="O24" s="42">
        <v>0</v>
      </c>
      <c r="P24" s="42">
        <v>0</v>
      </c>
      <c r="Q24" s="42">
        <v>0</v>
      </c>
      <c r="R24" s="42">
        <v>0</v>
      </c>
      <c r="AF24" s="223" t="s">
        <v>3693</v>
      </c>
      <c r="AG24" s="223" t="s">
        <v>3632</v>
      </c>
      <c r="AH24" s="116">
        <v>2025</v>
      </c>
      <c r="AI24" s="116">
        <v>2</v>
      </c>
      <c r="AJ24" s="223" t="s">
        <v>3633</v>
      </c>
      <c r="AK24" s="223" t="s">
        <v>34</v>
      </c>
      <c r="AL24" s="223"/>
      <c r="AM24" s="60">
        <v>329944</v>
      </c>
    </row>
    <row r="25" spans="1:39">
      <c r="A25" s="196" t="s">
        <v>3626</v>
      </c>
      <c r="B25" s="196" t="s">
        <v>34</v>
      </c>
      <c r="C25" s="196" t="s">
        <v>3640</v>
      </c>
      <c r="D25" s="196" t="s">
        <v>3641</v>
      </c>
      <c r="E25" s="195">
        <v>2025</v>
      </c>
      <c r="F25" s="196" t="s">
        <v>3691</v>
      </c>
      <c r="G25" s="42">
        <f t="shared" si="1"/>
        <v>23898005</v>
      </c>
      <c r="H25" s="42">
        <f t="shared" si="1"/>
        <v>32790300</v>
      </c>
      <c r="I25" s="42">
        <f t="shared" si="1"/>
        <v>202856393</v>
      </c>
      <c r="J25" s="42">
        <f t="shared" si="1"/>
        <v>69392248</v>
      </c>
      <c r="K25" s="42">
        <f t="shared" si="1"/>
        <v>70169104</v>
      </c>
      <c r="L25" s="42">
        <f t="shared" si="1"/>
        <v>59661744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AF25" s="223" t="s">
        <v>3693</v>
      </c>
      <c r="AG25" s="223" t="s">
        <v>3632</v>
      </c>
      <c r="AH25" s="116">
        <v>2025</v>
      </c>
      <c r="AI25" s="116">
        <v>3</v>
      </c>
      <c r="AJ25" s="223" t="s">
        <v>3633</v>
      </c>
      <c r="AK25" s="223" t="s">
        <v>34</v>
      </c>
      <c r="AL25" s="223"/>
      <c r="AM25" s="60">
        <v>1171385</v>
      </c>
    </row>
    <row r="26" spans="1:39">
      <c r="A26" s="196" t="s">
        <v>3626</v>
      </c>
      <c r="B26" s="196" t="s">
        <v>34</v>
      </c>
      <c r="C26" s="196" t="s">
        <v>3680</v>
      </c>
      <c r="D26" s="196" t="s">
        <v>3681</v>
      </c>
      <c r="E26" s="195">
        <v>2025</v>
      </c>
      <c r="F26" s="196" t="s">
        <v>3691</v>
      </c>
      <c r="G26" s="42">
        <f t="shared" si="1"/>
        <v>11866399</v>
      </c>
      <c r="H26" s="42">
        <f t="shared" si="1"/>
        <v>10824321</v>
      </c>
      <c r="I26" s="42">
        <f t="shared" si="1"/>
        <v>30786471</v>
      </c>
      <c r="J26" s="42">
        <f t="shared" si="1"/>
        <v>16464586</v>
      </c>
      <c r="K26" s="42">
        <f t="shared" si="1"/>
        <v>14865367</v>
      </c>
      <c r="L26" s="42">
        <f t="shared" si="1"/>
        <v>12839301</v>
      </c>
      <c r="M26" s="42">
        <v>0</v>
      </c>
      <c r="N26" s="42">
        <v>0</v>
      </c>
      <c r="O26" s="42">
        <v>0</v>
      </c>
      <c r="P26" s="42">
        <v>0</v>
      </c>
      <c r="Q26" s="42">
        <v>0</v>
      </c>
      <c r="R26" s="42">
        <v>0</v>
      </c>
      <c r="AF26" s="223" t="s">
        <v>3693</v>
      </c>
      <c r="AG26" s="223" t="s">
        <v>3632</v>
      </c>
      <c r="AH26" s="116">
        <v>2025</v>
      </c>
      <c r="AI26" s="116">
        <v>4</v>
      </c>
      <c r="AJ26" s="223" t="s">
        <v>3633</v>
      </c>
      <c r="AK26" s="223" t="s">
        <v>34</v>
      </c>
      <c r="AL26" s="223"/>
      <c r="AM26" s="60">
        <v>181201</v>
      </c>
    </row>
    <row r="27" spans="1:39">
      <c r="A27" s="196" t="s">
        <v>3626</v>
      </c>
      <c r="B27" s="196" t="s">
        <v>34</v>
      </c>
      <c r="C27" s="196" t="s">
        <v>3654</v>
      </c>
      <c r="D27" s="196" t="s">
        <v>3655</v>
      </c>
      <c r="E27" s="195">
        <v>2025</v>
      </c>
      <c r="F27" s="196" t="s">
        <v>3691</v>
      </c>
      <c r="G27" s="42">
        <f t="shared" si="1"/>
        <v>4627065</v>
      </c>
      <c r="H27" s="42">
        <f t="shared" si="1"/>
        <v>3248132</v>
      </c>
      <c r="I27" s="42">
        <f t="shared" si="1"/>
        <v>20031529</v>
      </c>
      <c r="J27" s="42">
        <f t="shared" si="1"/>
        <v>14780520</v>
      </c>
      <c r="K27" s="42">
        <f t="shared" si="1"/>
        <v>10430650</v>
      </c>
      <c r="L27" s="42">
        <f t="shared" si="1"/>
        <v>8993475</v>
      </c>
      <c r="M27" s="42">
        <v>0</v>
      </c>
      <c r="N27" s="42">
        <v>0</v>
      </c>
      <c r="O27" s="42">
        <v>0</v>
      </c>
      <c r="P27" s="42">
        <v>0</v>
      </c>
      <c r="Q27" s="42">
        <v>0</v>
      </c>
      <c r="R27" s="42">
        <v>0</v>
      </c>
      <c r="AF27" s="223" t="s">
        <v>3693</v>
      </c>
      <c r="AG27" s="223" t="s">
        <v>3632</v>
      </c>
      <c r="AH27" s="116">
        <v>2025</v>
      </c>
      <c r="AI27" s="116">
        <v>5</v>
      </c>
      <c r="AJ27" s="223" t="s">
        <v>3633</v>
      </c>
      <c r="AK27" s="223" t="s">
        <v>34</v>
      </c>
      <c r="AL27" s="223"/>
      <c r="AM27" s="60">
        <v>359321</v>
      </c>
    </row>
    <row r="28" spans="1:39">
      <c r="A28" s="196" t="s">
        <v>3626</v>
      </c>
      <c r="B28" s="196" t="s">
        <v>34</v>
      </c>
      <c r="C28" s="196" t="s">
        <v>3682</v>
      </c>
      <c r="D28" s="196" t="s">
        <v>3683</v>
      </c>
      <c r="E28" s="195">
        <v>2025</v>
      </c>
      <c r="F28" s="196" t="s">
        <v>3691</v>
      </c>
      <c r="G28" s="42">
        <f t="shared" si="1"/>
        <v>0</v>
      </c>
      <c r="H28" s="42">
        <f t="shared" si="1"/>
        <v>0</v>
      </c>
      <c r="I28" s="42">
        <f t="shared" si="1"/>
        <v>3351890</v>
      </c>
      <c r="J28" s="42">
        <f t="shared" si="1"/>
        <v>2197098</v>
      </c>
      <c r="K28" s="42">
        <f t="shared" si="1"/>
        <v>1210938</v>
      </c>
      <c r="L28" s="42">
        <f t="shared" si="1"/>
        <v>1407475</v>
      </c>
      <c r="M28" s="42">
        <v>0</v>
      </c>
      <c r="N28" s="42">
        <v>0</v>
      </c>
      <c r="O28" s="42">
        <v>0</v>
      </c>
      <c r="P28" s="42">
        <v>0</v>
      </c>
      <c r="Q28" s="42">
        <v>0</v>
      </c>
      <c r="R28" s="42">
        <v>0</v>
      </c>
      <c r="AF28" s="223" t="s">
        <v>3693</v>
      </c>
      <c r="AG28" s="223" t="s">
        <v>3632</v>
      </c>
      <c r="AH28" s="116">
        <v>2025</v>
      </c>
      <c r="AI28" s="116">
        <v>6</v>
      </c>
      <c r="AJ28" s="223" t="s">
        <v>3633</v>
      </c>
      <c r="AK28" s="223" t="s">
        <v>34</v>
      </c>
      <c r="AL28" s="223"/>
      <c r="AM28" s="60">
        <v>348359</v>
      </c>
    </row>
    <row r="29" spans="1:39">
      <c r="A29" s="196" t="s">
        <v>3626</v>
      </c>
      <c r="B29" s="196" t="s">
        <v>34</v>
      </c>
      <c r="C29" s="196" t="s">
        <v>3630</v>
      </c>
      <c r="D29" s="196" t="s">
        <v>3631</v>
      </c>
      <c r="E29" s="195">
        <v>2025</v>
      </c>
      <c r="F29" s="196" t="s">
        <v>3691</v>
      </c>
      <c r="G29" s="42">
        <f t="shared" si="1"/>
        <v>0</v>
      </c>
      <c r="H29" s="42">
        <f t="shared" si="1"/>
        <v>0</v>
      </c>
      <c r="I29" s="42">
        <f t="shared" si="1"/>
        <v>178808</v>
      </c>
      <c r="J29" s="42">
        <f t="shared" si="1"/>
        <v>608054</v>
      </c>
      <c r="K29" s="42">
        <f t="shared" si="1"/>
        <v>97937</v>
      </c>
      <c r="L29" s="42">
        <f t="shared" si="1"/>
        <v>54002</v>
      </c>
      <c r="M29" s="42">
        <v>0</v>
      </c>
      <c r="N29" s="42">
        <v>0</v>
      </c>
      <c r="O29" s="42">
        <v>0</v>
      </c>
      <c r="P29" s="42">
        <v>0</v>
      </c>
      <c r="Q29" s="42">
        <v>0</v>
      </c>
      <c r="R29" s="42">
        <v>0</v>
      </c>
      <c r="AF29" s="223" t="s">
        <v>3693</v>
      </c>
      <c r="AG29" s="223" t="s">
        <v>3634</v>
      </c>
      <c r="AH29" s="116">
        <v>2025</v>
      </c>
      <c r="AI29" s="116">
        <v>1</v>
      </c>
      <c r="AJ29" s="223" t="s">
        <v>3635</v>
      </c>
      <c r="AK29" s="223" t="s">
        <v>34</v>
      </c>
      <c r="AL29" s="223"/>
      <c r="AM29" s="60">
        <v>0</v>
      </c>
    </row>
    <row r="30" spans="1:39">
      <c r="A30" s="196" t="s">
        <v>3626</v>
      </c>
      <c r="B30" s="196" t="s">
        <v>34</v>
      </c>
      <c r="C30" s="196" t="s">
        <v>3684</v>
      </c>
      <c r="D30" s="196" t="s">
        <v>3685</v>
      </c>
      <c r="E30" s="195">
        <v>2025</v>
      </c>
      <c r="F30" s="196" t="s">
        <v>3691</v>
      </c>
      <c r="G30" s="42">
        <f t="shared" si="1"/>
        <v>18700941</v>
      </c>
      <c r="H30" s="42">
        <f t="shared" si="1"/>
        <v>14838818</v>
      </c>
      <c r="I30" s="42">
        <f t="shared" si="1"/>
        <v>8479528</v>
      </c>
      <c r="J30" s="42">
        <f t="shared" si="1"/>
        <v>12938981</v>
      </c>
      <c r="K30" s="42">
        <f t="shared" si="1"/>
        <v>2320495</v>
      </c>
      <c r="L30" s="42">
        <f t="shared" si="1"/>
        <v>1518790</v>
      </c>
      <c r="M30" s="42">
        <v>0</v>
      </c>
      <c r="N30" s="42">
        <v>0</v>
      </c>
      <c r="O30" s="42">
        <v>0</v>
      </c>
      <c r="P30" s="42">
        <v>0</v>
      </c>
      <c r="Q30" s="42">
        <v>0</v>
      </c>
      <c r="R30" s="42">
        <v>0</v>
      </c>
      <c r="AF30" s="223" t="s">
        <v>3693</v>
      </c>
      <c r="AG30" s="223" t="s">
        <v>3634</v>
      </c>
      <c r="AH30" s="116">
        <v>2025</v>
      </c>
      <c r="AI30" s="116">
        <v>2</v>
      </c>
      <c r="AJ30" s="223" t="s">
        <v>3635</v>
      </c>
      <c r="AK30" s="223" t="s">
        <v>34</v>
      </c>
      <c r="AL30" s="223"/>
      <c r="AM30" s="60">
        <v>0</v>
      </c>
    </row>
    <row r="31" spans="1:39">
      <c r="A31" s="196" t="s">
        <v>3626</v>
      </c>
      <c r="B31" s="196" t="s">
        <v>34</v>
      </c>
      <c r="C31" s="196" t="s">
        <v>3642</v>
      </c>
      <c r="D31" s="196" t="s">
        <v>3643</v>
      </c>
      <c r="E31" s="195">
        <v>2025</v>
      </c>
      <c r="F31" s="196" t="s">
        <v>3691</v>
      </c>
      <c r="G31" s="42">
        <f t="shared" si="1"/>
        <v>5132031</v>
      </c>
      <c r="H31" s="42">
        <f t="shared" si="1"/>
        <v>6372781</v>
      </c>
      <c r="I31" s="42">
        <f t="shared" si="1"/>
        <v>10541644</v>
      </c>
      <c r="J31" s="42">
        <f t="shared" si="1"/>
        <v>5026310</v>
      </c>
      <c r="K31" s="42">
        <f t="shared" si="1"/>
        <v>5517792</v>
      </c>
      <c r="L31" s="42">
        <f t="shared" si="1"/>
        <v>5139969</v>
      </c>
      <c r="M31" s="42">
        <v>0</v>
      </c>
      <c r="N31" s="42">
        <v>0</v>
      </c>
      <c r="O31" s="42">
        <v>0</v>
      </c>
      <c r="P31" s="42">
        <v>0</v>
      </c>
      <c r="Q31" s="42">
        <v>0</v>
      </c>
      <c r="R31" s="42">
        <v>0</v>
      </c>
      <c r="AF31" s="223" t="s">
        <v>3693</v>
      </c>
      <c r="AG31" s="223" t="s">
        <v>3634</v>
      </c>
      <c r="AH31" s="116">
        <v>2025</v>
      </c>
      <c r="AI31" s="116">
        <v>3</v>
      </c>
      <c r="AJ31" s="223" t="s">
        <v>3635</v>
      </c>
      <c r="AK31" s="223" t="s">
        <v>34</v>
      </c>
      <c r="AL31" s="223"/>
      <c r="AM31" s="60">
        <v>0</v>
      </c>
    </row>
    <row r="32" spans="1:39">
      <c r="A32" s="196" t="s">
        <v>3626</v>
      </c>
      <c r="B32" s="196" t="s">
        <v>34</v>
      </c>
      <c r="C32" s="196" t="s">
        <v>3686</v>
      </c>
      <c r="D32" s="196" t="s">
        <v>3687</v>
      </c>
      <c r="E32" s="195">
        <v>2025</v>
      </c>
      <c r="F32" s="196" t="s">
        <v>3691</v>
      </c>
      <c r="G32" s="42">
        <f t="shared" si="1"/>
        <v>77642864</v>
      </c>
      <c r="H32" s="42">
        <f t="shared" si="1"/>
        <v>51242702</v>
      </c>
      <c r="I32" s="42">
        <f t="shared" si="1"/>
        <v>31672915</v>
      </c>
      <c r="J32" s="42">
        <f t="shared" si="1"/>
        <v>64818210</v>
      </c>
      <c r="K32" s="42">
        <f t="shared" si="1"/>
        <v>82366951</v>
      </c>
      <c r="L32" s="42">
        <f t="shared" si="1"/>
        <v>79053453</v>
      </c>
      <c r="M32" s="42">
        <v>0</v>
      </c>
      <c r="N32" s="42">
        <v>0</v>
      </c>
      <c r="O32" s="42">
        <v>0</v>
      </c>
      <c r="P32" s="42">
        <v>0</v>
      </c>
      <c r="Q32" s="42">
        <v>0</v>
      </c>
      <c r="R32" s="42">
        <v>0</v>
      </c>
      <c r="AF32" s="223" t="s">
        <v>3693</v>
      </c>
      <c r="AG32" s="223" t="s">
        <v>3634</v>
      </c>
      <c r="AH32" s="116">
        <v>2025</v>
      </c>
      <c r="AI32" s="116">
        <v>4</v>
      </c>
      <c r="AJ32" s="223" t="s">
        <v>3635</v>
      </c>
      <c r="AK32" s="223" t="s">
        <v>34</v>
      </c>
      <c r="AL32" s="223"/>
      <c r="AM32" s="60">
        <v>13621</v>
      </c>
    </row>
    <row r="33" spans="1:39">
      <c r="A33" s="196" t="s">
        <v>3626</v>
      </c>
      <c r="B33" s="196" t="s">
        <v>34</v>
      </c>
      <c r="C33" s="196" t="s">
        <v>1782</v>
      </c>
      <c r="D33" s="196" t="s">
        <v>3627</v>
      </c>
      <c r="E33" s="195">
        <v>2025</v>
      </c>
      <c r="F33" s="196" t="s">
        <v>3691</v>
      </c>
      <c r="G33" s="42">
        <f t="shared" si="1"/>
        <v>5332336</v>
      </c>
      <c r="H33" s="42">
        <f t="shared" si="1"/>
        <v>495303</v>
      </c>
      <c r="I33" s="42">
        <f t="shared" si="1"/>
        <v>15149119</v>
      </c>
      <c r="J33" s="42">
        <f t="shared" si="1"/>
        <v>582400</v>
      </c>
      <c r="K33" s="42">
        <f t="shared" si="1"/>
        <v>4214804</v>
      </c>
      <c r="L33" s="42">
        <f t="shared" si="1"/>
        <v>222685</v>
      </c>
      <c r="M33" s="42">
        <v>0</v>
      </c>
      <c r="N33" s="42">
        <v>0</v>
      </c>
      <c r="O33" s="42">
        <v>0</v>
      </c>
      <c r="P33" s="42">
        <v>0</v>
      </c>
      <c r="Q33" s="42">
        <v>0</v>
      </c>
      <c r="R33" s="42">
        <v>0</v>
      </c>
      <c r="AF33" s="223" t="s">
        <v>3693</v>
      </c>
      <c r="AG33" s="223" t="s">
        <v>3634</v>
      </c>
      <c r="AH33" s="116">
        <v>2025</v>
      </c>
      <c r="AI33" s="116">
        <v>5</v>
      </c>
      <c r="AJ33" s="223" t="s">
        <v>3635</v>
      </c>
      <c r="AK33" s="223" t="s">
        <v>34</v>
      </c>
      <c r="AL33" s="223"/>
      <c r="AM33" s="60">
        <v>0</v>
      </c>
    </row>
    <row r="34" spans="1:39">
      <c r="A34" s="196" t="s">
        <v>3626</v>
      </c>
      <c r="B34" s="196" t="s">
        <v>35</v>
      </c>
      <c r="C34" s="196" t="s">
        <v>3686</v>
      </c>
      <c r="D34" s="196" t="s">
        <v>3687</v>
      </c>
      <c r="E34" s="195">
        <v>2025</v>
      </c>
      <c r="F34" s="196" t="s">
        <v>3691</v>
      </c>
      <c r="G34" s="42">
        <f t="shared" si="1"/>
        <v>29227226</v>
      </c>
      <c r="H34" s="42">
        <f t="shared" si="1"/>
        <v>21274176</v>
      </c>
      <c r="I34" s="42">
        <f t="shared" si="1"/>
        <v>30153572</v>
      </c>
      <c r="J34" s="42">
        <f t="shared" si="1"/>
        <v>17185372</v>
      </c>
      <c r="K34" s="42">
        <f t="shared" si="1"/>
        <v>29678351</v>
      </c>
      <c r="L34" s="42">
        <f t="shared" si="1"/>
        <v>38994700</v>
      </c>
      <c r="M34" s="42">
        <v>0</v>
      </c>
      <c r="N34" s="42">
        <v>0</v>
      </c>
      <c r="O34" s="42">
        <v>0</v>
      </c>
      <c r="P34" s="42">
        <v>0</v>
      </c>
      <c r="Q34" s="42">
        <v>0</v>
      </c>
      <c r="R34" s="42">
        <v>0</v>
      </c>
      <c r="AF34" s="223" t="s">
        <v>3693</v>
      </c>
      <c r="AG34" s="223" t="s">
        <v>3634</v>
      </c>
      <c r="AH34" s="116">
        <v>2025</v>
      </c>
      <c r="AI34" s="116">
        <v>6</v>
      </c>
      <c r="AJ34" s="223" t="s">
        <v>3635</v>
      </c>
      <c r="AK34" s="223" t="s">
        <v>34</v>
      </c>
      <c r="AL34" s="223"/>
      <c r="AM34" s="60">
        <v>0</v>
      </c>
    </row>
    <row r="35" spans="1:39">
      <c r="A35" s="196" t="s">
        <v>3626</v>
      </c>
      <c r="B35" s="196" t="s">
        <v>35</v>
      </c>
      <c r="C35" s="196" t="s">
        <v>1782</v>
      </c>
      <c r="D35" s="196" t="s">
        <v>3627</v>
      </c>
      <c r="E35" s="195">
        <v>2025</v>
      </c>
      <c r="F35" s="196" t="s">
        <v>3691</v>
      </c>
      <c r="G35" s="42">
        <f t="shared" si="1"/>
        <v>1170319</v>
      </c>
      <c r="H35" s="42">
        <f t="shared" si="1"/>
        <v>965828</v>
      </c>
      <c r="I35" s="42">
        <f t="shared" si="1"/>
        <v>98480455</v>
      </c>
      <c r="J35" s="42">
        <f t="shared" si="1"/>
        <v>438266</v>
      </c>
      <c r="K35" s="42">
        <f t="shared" si="1"/>
        <v>496528</v>
      </c>
      <c r="L35" s="42">
        <f t="shared" si="1"/>
        <v>448839</v>
      </c>
      <c r="M35" s="42">
        <v>0</v>
      </c>
      <c r="N35" s="42">
        <v>0</v>
      </c>
      <c r="O35" s="42">
        <v>0</v>
      </c>
      <c r="P35" s="42">
        <v>0</v>
      </c>
      <c r="Q35" s="42">
        <v>0</v>
      </c>
      <c r="R35" s="42">
        <v>0</v>
      </c>
      <c r="AF35" s="223" t="s">
        <v>3693</v>
      </c>
      <c r="AG35" s="223" t="s">
        <v>3636</v>
      </c>
      <c r="AH35" s="116">
        <v>2025</v>
      </c>
      <c r="AI35" s="116">
        <v>1</v>
      </c>
      <c r="AJ35" s="223" t="s">
        <v>3637</v>
      </c>
      <c r="AK35" s="223" t="s">
        <v>34</v>
      </c>
      <c r="AL35" s="223"/>
      <c r="AM35" s="60">
        <v>6746742765</v>
      </c>
    </row>
    <row r="36" spans="1:39">
      <c r="A36" s="196" t="s">
        <v>3626</v>
      </c>
      <c r="B36" s="196" t="s">
        <v>35</v>
      </c>
      <c r="C36" s="196" t="s">
        <v>3628</v>
      </c>
      <c r="D36" s="196" t="s">
        <v>3629</v>
      </c>
      <c r="E36" s="195">
        <v>2025</v>
      </c>
      <c r="F36" s="196" t="s">
        <v>3691</v>
      </c>
      <c r="G36" s="42">
        <f t="shared" si="1"/>
        <v>0</v>
      </c>
      <c r="H36" s="42">
        <f t="shared" si="1"/>
        <v>0</v>
      </c>
      <c r="I36" s="42">
        <f t="shared" si="1"/>
        <v>9690792</v>
      </c>
      <c r="J36" s="42">
        <f t="shared" si="1"/>
        <v>66625</v>
      </c>
      <c r="K36" s="42">
        <f t="shared" si="1"/>
        <v>13858</v>
      </c>
      <c r="L36" s="42">
        <f t="shared" si="1"/>
        <v>3337</v>
      </c>
      <c r="M36" s="42">
        <v>0</v>
      </c>
      <c r="N36" s="42">
        <v>0</v>
      </c>
      <c r="O36" s="42">
        <v>0</v>
      </c>
      <c r="P36" s="42">
        <v>0</v>
      </c>
      <c r="Q36" s="42">
        <v>0</v>
      </c>
      <c r="R36" s="42">
        <v>0</v>
      </c>
      <c r="AF36" s="223" t="s">
        <v>3693</v>
      </c>
      <c r="AG36" s="223" t="s">
        <v>3636</v>
      </c>
      <c r="AH36" s="116">
        <v>2025</v>
      </c>
      <c r="AI36" s="116">
        <v>2</v>
      </c>
      <c r="AJ36" s="223" t="s">
        <v>3637</v>
      </c>
      <c r="AK36" s="223" t="s">
        <v>34</v>
      </c>
      <c r="AL36" s="223"/>
      <c r="AM36" s="60">
        <v>6252118910</v>
      </c>
    </row>
    <row r="37" spans="1:39">
      <c r="A37" s="196" t="s">
        <v>3626</v>
      </c>
      <c r="B37" s="196" t="s">
        <v>35</v>
      </c>
      <c r="C37" s="196" t="s">
        <v>3630</v>
      </c>
      <c r="D37" s="196" t="s">
        <v>3631</v>
      </c>
      <c r="E37" s="195">
        <v>2025</v>
      </c>
      <c r="F37" s="196" t="s">
        <v>3691</v>
      </c>
      <c r="G37" s="42">
        <f t="shared" ref="G37:L63" si="2">SUMIFS($AM$5:$AM$383,$AI$5:$AI$383,G$2,$AG$5:$AG$383,$C37,$AK$5:$AK$383,$B37)</f>
        <v>0</v>
      </c>
      <c r="H37" s="42">
        <f t="shared" si="2"/>
        <v>31041</v>
      </c>
      <c r="I37" s="42">
        <f t="shared" si="2"/>
        <v>23356</v>
      </c>
      <c r="J37" s="42">
        <f t="shared" si="2"/>
        <v>52230</v>
      </c>
      <c r="K37" s="42">
        <f t="shared" si="2"/>
        <v>7714</v>
      </c>
      <c r="L37" s="42">
        <f t="shared" si="2"/>
        <v>71956</v>
      </c>
      <c r="M37" s="42">
        <v>0</v>
      </c>
      <c r="N37" s="42">
        <v>0</v>
      </c>
      <c r="O37" s="42">
        <v>0</v>
      </c>
      <c r="P37" s="42">
        <v>0</v>
      </c>
      <c r="Q37" s="42">
        <v>0</v>
      </c>
      <c r="R37" s="42">
        <v>0</v>
      </c>
      <c r="AF37" s="223" t="s">
        <v>3693</v>
      </c>
      <c r="AG37" s="223" t="s">
        <v>3636</v>
      </c>
      <c r="AH37" s="116">
        <v>2025</v>
      </c>
      <c r="AI37" s="116">
        <v>3</v>
      </c>
      <c r="AJ37" s="223" t="s">
        <v>3637</v>
      </c>
      <c r="AK37" s="223" t="s">
        <v>34</v>
      </c>
      <c r="AL37" s="223"/>
      <c r="AM37" s="60">
        <v>2007015223</v>
      </c>
    </row>
    <row r="38" spans="1:39">
      <c r="A38" s="196" t="s">
        <v>3626</v>
      </c>
      <c r="B38" s="196" t="s">
        <v>35</v>
      </c>
      <c r="C38" s="196" t="s">
        <v>3632</v>
      </c>
      <c r="D38" s="196" t="s">
        <v>3633</v>
      </c>
      <c r="E38" s="195">
        <v>2025</v>
      </c>
      <c r="F38" s="196" t="s">
        <v>3691</v>
      </c>
      <c r="G38" s="42">
        <f t="shared" si="2"/>
        <v>0</v>
      </c>
      <c r="H38" s="42">
        <f t="shared" si="2"/>
        <v>0</v>
      </c>
      <c r="I38" s="42">
        <f t="shared" si="2"/>
        <v>146403</v>
      </c>
      <c r="J38" s="42">
        <f t="shared" si="2"/>
        <v>32289</v>
      </c>
      <c r="K38" s="42">
        <f t="shared" si="2"/>
        <v>2184</v>
      </c>
      <c r="L38" s="42">
        <f t="shared" si="2"/>
        <v>0</v>
      </c>
      <c r="M38" s="42">
        <v>0</v>
      </c>
      <c r="N38" s="42">
        <v>0</v>
      </c>
      <c r="O38" s="42">
        <v>0</v>
      </c>
      <c r="P38" s="42">
        <v>0</v>
      </c>
      <c r="Q38" s="42">
        <v>0</v>
      </c>
      <c r="R38" s="42">
        <v>0</v>
      </c>
      <c r="AF38" s="223" t="s">
        <v>3693</v>
      </c>
      <c r="AG38" s="223" t="s">
        <v>3636</v>
      </c>
      <c r="AH38" s="116">
        <v>2025</v>
      </c>
      <c r="AI38" s="116">
        <v>4</v>
      </c>
      <c r="AJ38" s="223" t="s">
        <v>3637</v>
      </c>
      <c r="AK38" s="223" t="s">
        <v>34</v>
      </c>
      <c r="AL38" s="223"/>
      <c r="AM38" s="60">
        <v>112856308</v>
      </c>
    </row>
    <row r="39" spans="1:39">
      <c r="A39" s="196" t="s">
        <v>3626</v>
      </c>
      <c r="B39" s="196" t="s">
        <v>35</v>
      </c>
      <c r="C39" s="196" t="s">
        <v>3636</v>
      </c>
      <c r="D39" s="196" t="s">
        <v>3637</v>
      </c>
      <c r="E39" s="195">
        <v>2025</v>
      </c>
      <c r="F39" s="196" t="s">
        <v>3691</v>
      </c>
      <c r="G39" s="42">
        <f t="shared" si="2"/>
        <v>736002226</v>
      </c>
      <c r="H39" s="42">
        <f t="shared" si="2"/>
        <v>583691779</v>
      </c>
      <c r="I39" s="42">
        <f t="shared" si="2"/>
        <v>150967320</v>
      </c>
      <c r="J39" s="42">
        <f t="shared" si="2"/>
        <v>109592484</v>
      </c>
      <c r="K39" s="42">
        <f t="shared" si="2"/>
        <v>281970762</v>
      </c>
      <c r="L39" s="42">
        <f t="shared" si="2"/>
        <v>302816844</v>
      </c>
      <c r="M39" s="42">
        <v>0</v>
      </c>
      <c r="N39" s="42">
        <v>0</v>
      </c>
      <c r="O39" s="42">
        <v>0</v>
      </c>
      <c r="P39" s="42">
        <v>0</v>
      </c>
      <c r="Q39" s="42">
        <v>0</v>
      </c>
      <c r="R39" s="42">
        <v>0</v>
      </c>
      <c r="AF39" s="223" t="s">
        <v>3693</v>
      </c>
      <c r="AG39" s="223" t="s">
        <v>3636</v>
      </c>
      <c r="AH39" s="116">
        <v>2025</v>
      </c>
      <c r="AI39" s="116">
        <v>5</v>
      </c>
      <c r="AJ39" s="223" t="s">
        <v>3637</v>
      </c>
      <c r="AK39" s="223" t="s">
        <v>34</v>
      </c>
      <c r="AL39" s="223"/>
      <c r="AM39" s="60">
        <v>59689838</v>
      </c>
    </row>
    <row r="40" spans="1:39">
      <c r="A40" s="196" t="s">
        <v>3626</v>
      </c>
      <c r="B40" s="196" t="s">
        <v>35</v>
      </c>
      <c r="C40" s="196" t="s">
        <v>3638</v>
      </c>
      <c r="D40" s="196" t="s">
        <v>3639</v>
      </c>
      <c r="E40" s="195">
        <v>2025</v>
      </c>
      <c r="F40" s="196" t="s">
        <v>3691</v>
      </c>
      <c r="G40" s="42">
        <f t="shared" si="2"/>
        <v>7874</v>
      </c>
      <c r="H40" s="42">
        <f t="shared" si="2"/>
        <v>12248</v>
      </c>
      <c r="I40" s="42">
        <f t="shared" si="2"/>
        <v>776822</v>
      </c>
      <c r="J40" s="42">
        <f t="shared" si="2"/>
        <v>113036</v>
      </c>
      <c r="K40" s="42">
        <f t="shared" si="2"/>
        <v>71748</v>
      </c>
      <c r="L40" s="42">
        <f t="shared" si="2"/>
        <v>92020</v>
      </c>
      <c r="M40" s="42">
        <v>0</v>
      </c>
      <c r="N40" s="42">
        <v>0</v>
      </c>
      <c r="O40" s="42">
        <v>0</v>
      </c>
      <c r="P40" s="42">
        <v>0</v>
      </c>
      <c r="Q40" s="42">
        <v>0</v>
      </c>
      <c r="R40" s="42">
        <v>0</v>
      </c>
      <c r="AF40" s="223" t="s">
        <v>3693</v>
      </c>
      <c r="AG40" s="223" t="s">
        <v>3636</v>
      </c>
      <c r="AH40" s="116">
        <v>2025</v>
      </c>
      <c r="AI40" s="116">
        <v>6</v>
      </c>
      <c r="AJ40" s="223" t="s">
        <v>3637</v>
      </c>
      <c r="AK40" s="223" t="s">
        <v>34</v>
      </c>
      <c r="AL40" s="223"/>
      <c r="AM40" s="60">
        <v>49218556</v>
      </c>
    </row>
    <row r="41" spans="1:39">
      <c r="A41" s="196" t="s">
        <v>3626</v>
      </c>
      <c r="B41" s="196" t="s">
        <v>35</v>
      </c>
      <c r="C41" s="196" t="s">
        <v>3640</v>
      </c>
      <c r="D41" s="196" t="s">
        <v>3641</v>
      </c>
      <c r="E41" s="195">
        <v>2025</v>
      </c>
      <c r="F41" s="196" t="s">
        <v>3691</v>
      </c>
      <c r="G41" s="42">
        <f t="shared" si="2"/>
        <v>20801228</v>
      </c>
      <c r="H41" s="42">
        <f t="shared" si="2"/>
        <v>11134707</v>
      </c>
      <c r="I41" s="42">
        <f t="shared" si="2"/>
        <v>85443475</v>
      </c>
      <c r="J41" s="42">
        <f t="shared" si="2"/>
        <v>32655364</v>
      </c>
      <c r="K41" s="42">
        <f t="shared" si="2"/>
        <v>31582163</v>
      </c>
      <c r="L41" s="42">
        <f t="shared" si="2"/>
        <v>6291393</v>
      </c>
      <c r="M41" s="42">
        <v>0</v>
      </c>
      <c r="N41" s="42">
        <v>0</v>
      </c>
      <c r="O41" s="42">
        <v>0</v>
      </c>
      <c r="P41" s="42">
        <v>0</v>
      </c>
      <c r="Q41" s="42">
        <v>0</v>
      </c>
      <c r="R41" s="42">
        <v>0</v>
      </c>
      <c r="AF41" s="223" t="s">
        <v>3693</v>
      </c>
      <c r="AG41" s="223" t="s">
        <v>3638</v>
      </c>
      <c r="AH41" s="116">
        <v>2025</v>
      </c>
      <c r="AI41" s="116">
        <v>1</v>
      </c>
      <c r="AJ41" s="223" t="s">
        <v>3639</v>
      </c>
      <c r="AK41" s="223" t="s">
        <v>34</v>
      </c>
      <c r="AL41" s="223"/>
      <c r="AM41" s="60">
        <v>5257</v>
      </c>
    </row>
    <row r="42" spans="1:39">
      <c r="A42" s="196" t="s">
        <v>3626</v>
      </c>
      <c r="B42" s="196" t="s">
        <v>35</v>
      </c>
      <c r="C42" s="196" t="s">
        <v>3642</v>
      </c>
      <c r="D42" s="196" t="s">
        <v>3643</v>
      </c>
      <c r="E42" s="195">
        <v>2025</v>
      </c>
      <c r="F42" s="196" t="s">
        <v>3691</v>
      </c>
      <c r="G42" s="42">
        <f t="shared" si="2"/>
        <v>4374200</v>
      </c>
      <c r="H42" s="42">
        <f t="shared" si="2"/>
        <v>9392638</v>
      </c>
      <c r="I42" s="42">
        <f t="shared" si="2"/>
        <v>14865639</v>
      </c>
      <c r="J42" s="42">
        <f t="shared" si="2"/>
        <v>39747304</v>
      </c>
      <c r="K42" s="42">
        <f t="shared" si="2"/>
        <v>49826362</v>
      </c>
      <c r="L42" s="42">
        <f t="shared" si="2"/>
        <v>54869885</v>
      </c>
      <c r="M42" s="42">
        <v>0</v>
      </c>
      <c r="N42" s="42">
        <v>0</v>
      </c>
      <c r="O42" s="42">
        <v>0</v>
      </c>
      <c r="P42" s="42">
        <v>0</v>
      </c>
      <c r="Q42" s="42">
        <v>0</v>
      </c>
      <c r="R42" s="42">
        <v>0</v>
      </c>
      <c r="AF42" s="223" t="s">
        <v>3693</v>
      </c>
      <c r="AG42" s="223" t="s">
        <v>3638</v>
      </c>
      <c r="AH42" s="116">
        <v>2025</v>
      </c>
      <c r="AI42" s="116">
        <v>2</v>
      </c>
      <c r="AJ42" s="223" t="s">
        <v>3639</v>
      </c>
      <c r="AK42" s="223" t="s">
        <v>34</v>
      </c>
      <c r="AL42" s="223"/>
      <c r="AM42" s="60">
        <v>11140</v>
      </c>
    </row>
    <row r="43" spans="1:39">
      <c r="A43" s="196" t="s">
        <v>3626</v>
      </c>
      <c r="B43" s="196" t="s">
        <v>35</v>
      </c>
      <c r="C43" s="196" t="s">
        <v>3644</v>
      </c>
      <c r="D43" s="196" t="s">
        <v>3645</v>
      </c>
      <c r="E43" s="195">
        <v>2025</v>
      </c>
      <c r="F43" s="196" t="s">
        <v>3691</v>
      </c>
      <c r="G43" s="42">
        <f t="shared" si="2"/>
        <v>8243681</v>
      </c>
      <c r="H43" s="42">
        <f t="shared" si="2"/>
        <v>6254596</v>
      </c>
      <c r="I43" s="42">
        <f t="shared" si="2"/>
        <v>8485969</v>
      </c>
      <c r="J43" s="42">
        <f t="shared" si="2"/>
        <v>6093980</v>
      </c>
      <c r="K43" s="42">
        <f t="shared" si="2"/>
        <v>6149255</v>
      </c>
      <c r="L43" s="42">
        <f t="shared" si="2"/>
        <v>5330669</v>
      </c>
      <c r="M43" s="42">
        <v>0</v>
      </c>
      <c r="N43" s="42">
        <v>0</v>
      </c>
      <c r="O43" s="42">
        <v>0</v>
      </c>
      <c r="P43" s="42">
        <v>0</v>
      </c>
      <c r="Q43" s="42">
        <v>0</v>
      </c>
      <c r="R43" s="42">
        <v>0</v>
      </c>
      <c r="AF43" s="223" t="s">
        <v>3693</v>
      </c>
      <c r="AG43" s="223" t="s">
        <v>3638</v>
      </c>
      <c r="AH43" s="116">
        <v>2025</v>
      </c>
      <c r="AI43" s="116">
        <v>3</v>
      </c>
      <c r="AJ43" s="223" t="s">
        <v>3639</v>
      </c>
      <c r="AK43" s="223" t="s">
        <v>34</v>
      </c>
      <c r="AL43" s="223"/>
      <c r="AM43" s="60">
        <v>1536418</v>
      </c>
    </row>
    <row r="44" spans="1:39">
      <c r="A44" s="196" t="s">
        <v>3626</v>
      </c>
      <c r="B44" s="196" t="s">
        <v>35</v>
      </c>
      <c r="C44" s="196" t="s">
        <v>3646</v>
      </c>
      <c r="D44" s="196" t="s">
        <v>3647</v>
      </c>
      <c r="E44" s="195">
        <v>2025</v>
      </c>
      <c r="F44" s="196" t="s">
        <v>3691</v>
      </c>
      <c r="G44" s="42">
        <f t="shared" si="2"/>
        <v>14994467</v>
      </c>
      <c r="H44" s="42">
        <f t="shared" si="2"/>
        <v>15838269</v>
      </c>
      <c r="I44" s="42">
        <f t="shared" si="2"/>
        <v>18110177</v>
      </c>
      <c r="J44" s="42">
        <f t="shared" si="2"/>
        <v>13449047</v>
      </c>
      <c r="K44" s="42">
        <f t="shared" si="2"/>
        <v>15579374</v>
      </c>
      <c r="L44" s="42">
        <f t="shared" si="2"/>
        <v>13429292</v>
      </c>
      <c r="M44" s="42">
        <v>0</v>
      </c>
      <c r="N44" s="42">
        <v>0</v>
      </c>
      <c r="O44" s="42">
        <v>0</v>
      </c>
      <c r="P44" s="42">
        <v>0</v>
      </c>
      <c r="Q44" s="42">
        <v>0</v>
      </c>
      <c r="R44" s="42">
        <v>0</v>
      </c>
      <c r="AF44" s="223" t="s">
        <v>3693</v>
      </c>
      <c r="AG44" s="223" t="s">
        <v>3638</v>
      </c>
      <c r="AH44" s="116">
        <v>2025</v>
      </c>
      <c r="AI44" s="116">
        <v>4</v>
      </c>
      <c r="AJ44" s="223" t="s">
        <v>3639</v>
      </c>
      <c r="AK44" s="223" t="s">
        <v>34</v>
      </c>
      <c r="AL44" s="223"/>
      <c r="AM44" s="60">
        <v>1046420</v>
      </c>
    </row>
    <row r="45" spans="1:39">
      <c r="A45" s="196" t="s">
        <v>3626</v>
      </c>
      <c r="B45" s="196" t="s">
        <v>35</v>
      </c>
      <c r="C45" s="196" t="s">
        <v>3648</v>
      </c>
      <c r="D45" s="196" t="s">
        <v>3649</v>
      </c>
      <c r="E45" s="195">
        <v>2025</v>
      </c>
      <c r="F45" s="196" t="s">
        <v>3691</v>
      </c>
      <c r="G45" s="42">
        <f t="shared" si="2"/>
        <v>19255867</v>
      </c>
      <c r="H45" s="42">
        <f t="shared" si="2"/>
        <v>20437062</v>
      </c>
      <c r="I45" s="42">
        <f t="shared" si="2"/>
        <v>27715333</v>
      </c>
      <c r="J45" s="42">
        <f t="shared" si="2"/>
        <v>11777939</v>
      </c>
      <c r="K45" s="42">
        <f t="shared" si="2"/>
        <v>8072954</v>
      </c>
      <c r="L45" s="42">
        <f t="shared" si="2"/>
        <v>8412644</v>
      </c>
      <c r="M45" s="42">
        <v>0</v>
      </c>
      <c r="N45" s="42">
        <v>0</v>
      </c>
      <c r="O45" s="42">
        <v>0</v>
      </c>
      <c r="P45" s="42">
        <v>0</v>
      </c>
      <c r="Q45" s="42">
        <v>0</v>
      </c>
      <c r="R45" s="42">
        <v>0</v>
      </c>
      <c r="AF45" s="223" t="s">
        <v>3693</v>
      </c>
      <c r="AG45" s="223" t="s">
        <v>3638</v>
      </c>
      <c r="AH45" s="116">
        <v>2025</v>
      </c>
      <c r="AI45" s="116">
        <v>5</v>
      </c>
      <c r="AJ45" s="223" t="s">
        <v>3639</v>
      </c>
      <c r="AK45" s="223" t="s">
        <v>34</v>
      </c>
      <c r="AL45" s="223"/>
      <c r="AM45" s="60">
        <v>2079536</v>
      </c>
    </row>
    <row r="46" spans="1:39">
      <c r="A46" s="196" t="s">
        <v>3626</v>
      </c>
      <c r="B46" s="196" t="s">
        <v>35</v>
      </c>
      <c r="C46" s="196" t="s">
        <v>3650</v>
      </c>
      <c r="D46" s="196" t="s">
        <v>3651</v>
      </c>
      <c r="E46" s="195">
        <v>2025</v>
      </c>
      <c r="F46" s="196" t="s">
        <v>3691</v>
      </c>
      <c r="G46" s="42">
        <f t="shared" si="2"/>
        <v>1994235</v>
      </c>
      <c r="H46" s="42">
        <f t="shared" si="2"/>
        <v>4982784</v>
      </c>
      <c r="I46" s="42">
        <f t="shared" si="2"/>
        <v>8718616</v>
      </c>
      <c r="J46" s="42">
        <f t="shared" si="2"/>
        <v>2474898</v>
      </c>
      <c r="K46" s="42">
        <f t="shared" si="2"/>
        <v>3390759</v>
      </c>
      <c r="L46" s="42">
        <f t="shared" si="2"/>
        <v>2611689</v>
      </c>
      <c r="M46" s="42">
        <v>0</v>
      </c>
      <c r="N46" s="42">
        <v>0</v>
      </c>
      <c r="O46" s="42">
        <v>0</v>
      </c>
      <c r="P46" s="42">
        <v>0</v>
      </c>
      <c r="Q46" s="42">
        <v>0</v>
      </c>
      <c r="R46" s="42">
        <v>0</v>
      </c>
      <c r="AF46" s="223" t="s">
        <v>3693</v>
      </c>
      <c r="AG46" s="223" t="s">
        <v>3638</v>
      </c>
      <c r="AH46" s="116">
        <v>2025</v>
      </c>
      <c r="AI46" s="116">
        <v>6</v>
      </c>
      <c r="AJ46" s="223" t="s">
        <v>3639</v>
      </c>
      <c r="AK46" s="223" t="s">
        <v>34</v>
      </c>
      <c r="AL46" s="223"/>
      <c r="AM46" s="60">
        <v>3946470</v>
      </c>
    </row>
    <row r="47" spans="1:39">
      <c r="A47" s="196" t="s">
        <v>3626</v>
      </c>
      <c r="B47" s="196" t="s">
        <v>35</v>
      </c>
      <c r="C47" s="196" t="s">
        <v>3652</v>
      </c>
      <c r="D47" s="196" t="s">
        <v>3653</v>
      </c>
      <c r="E47" s="195">
        <v>2025</v>
      </c>
      <c r="F47" s="196" t="s">
        <v>3691</v>
      </c>
      <c r="G47" s="42">
        <f t="shared" si="2"/>
        <v>681375</v>
      </c>
      <c r="H47" s="42">
        <f t="shared" si="2"/>
        <v>671235</v>
      </c>
      <c r="I47" s="42">
        <f t="shared" si="2"/>
        <v>4827009</v>
      </c>
      <c r="J47" s="42">
        <f t="shared" si="2"/>
        <v>1803744</v>
      </c>
      <c r="K47" s="42">
        <f t="shared" si="2"/>
        <v>1160869</v>
      </c>
      <c r="L47" s="42">
        <f t="shared" si="2"/>
        <v>897159</v>
      </c>
      <c r="M47" s="42">
        <v>0</v>
      </c>
      <c r="N47" s="42">
        <v>0</v>
      </c>
      <c r="O47" s="42">
        <v>0</v>
      </c>
      <c r="P47" s="42">
        <v>0</v>
      </c>
      <c r="Q47" s="42">
        <v>0</v>
      </c>
      <c r="R47" s="42">
        <v>0</v>
      </c>
      <c r="AF47" s="223" t="s">
        <v>3693</v>
      </c>
      <c r="AG47" s="223" t="s">
        <v>3640</v>
      </c>
      <c r="AH47" s="116">
        <v>2025</v>
      </c>
      <c r="AI47" s="116">
        <v>1</v>
      </c>
      <c r="AJ47" s="223" t="s">
        <v>3641</v>
      </c>
      <c r="AK47" s="223" t="s">
        <v>34</v>
      </c>
      <c r="AL47" s="223"/>
      <c r="AM47" s="60">
        <v>23898005</v>
      </c>
    </row>
    <row r="48" spans="1:39">
      <c r="A48" s="196" t="s">
        <v>3626</v>
      </c>
      <c r="B48" s="196" t="s">
        <v>35</v>
      </c>
      <c r="C48" s="196" t="s">
        <v>3654</v>
      </c>
      <c r="D48" s="196" t="s">
        <v>3655</v>
      </c>
      <c r="E48" s="195">
        <v>2025</v>
      </c>
      <c r="F48" s="196" t="s">
        <v>3691</v>
      </c>
      <c r="G48" s="42">
        <f t="shared" si="2"/>
        <v>7573447</v>
      </c>
      <c r="H48" s="42">
        <f t="shared" si="2"/>
        <v>6506385</v>
      </c>
      <c r="I48" s="42">
        <f t="shared" si="2"/>
        <v>22311153</v>
      </c>
      <c r="J48" s="42">
        <f t="shared" si="2"/>
        <v>15122522</v>
      </c>
      <c r="K48" s="42">
        <f t="shared" si="2"/>
        <v>18384494</v>
      </c>
      <c r="L48" s="42">
        <f t="shared" si="2"/>
        <v>17470757</v>
      </c>
      <c r="M48" s="42">
        <v>0</v>
      </c>
      <c r="N48" s="42">
        <v>0</v>
      </c>
      <c r="O48" s="42">
        <v>0</v>
      </c>
      <c r="P48" s="42">
        <v>0</v>
      </c>
      <c r="Q48" s="42">
        <v>0</v>
      </c>
      <c r="R48" s="42">
        <v>0</v>
      </c>
      <c r="AF48" s="223" t="s">
        <v>3693</v>
      </c>
      <c r="AG48" s="223" t="s">
        <v>3640</v>
      </c>
      <c r="AH48" s="116">
        <v>2025</v>
      </c>
      <c r="AI48" s="116">
        <v>2</v>
      </c>
      <c r="AJ48" s="223" t="s">
        <v>3641</v>
      </c>
      <c r="AK48" s="223" t="s">
        <v>34</v>
      </c>
      <c r="AL48" s="223"/>
      <c r="AM48" s="60">
        <v>32790300</v>
      </c>
    </row>
    <row r="49" spans="1:39">
      <c r="A49" s="196" t="s">
        <v>3626</v>
      </c>
      <c r="B49" s="196" t="s">
        <v>35</v>
      </c>
      <c r="C49" s="196" t="s">
        <v>3656</v>
      </c>
      <c r="D49" s="196" t="s">
        <v>3657</v>
      </c>
      <c r="E49" s="195">
        <v>2025</v>
      </c>
      <c r="F49" s="196" t="s">
        <v>3691</v>
      </c>
      <c r="G49" s="42">
        <f t="shared" si="2"/>
        <v>0</v>
      </c>
      <c r="H49" s="42">
        <f t="shared" si="2"/>
        <v>0</v>
      </c>
      <c r="I49" s="42">
        <f t="shared" si="2"/>
        <v>3110784</v>
      </c>
      <c r="J49" s="42">
        <f t="shared" si="2"/>
        <v>4404040</v>
      </c>
      <c r="K49" s="42">
        <f t="shared" si="2"/>
        <v>3840846</v>
      </c>
      <c r="L49" s="42">
        <f t="shared" si="2"/>
        <v>2494239</v>
      </c>
      <c r="M49" s="42">
        <v>0</v>
      </c>
      <c r="N49" s="42">
        <v>0</v>
      </c>
      <c r="O49" s="42">
        <v>0</v>
      </c>
      <c r="P49" s="42">
        <v>0</v>
      </c>
      <c r="Q49" s="42">
        <v>0</v>
      </c>
      <c r="R49" s="42">
        <v>0</v>
      </c>
      <c r="AF49" s="223" t="s">
        <v>3693</v>
      </c>
      <c r="AG49" s="223" t="s">
        <v>3640</v>
      </c>
      <c r="AH49" s="116">
        <v>2025</v>
      </c>
      <c r="AI49" s="116">
        <v>3</v>
      </c>
      <c r="AJ49" s="223" t="s">
        <v>3641</v>
      </c>
      <c r="AK49" s="223" t="s">
        <v>34</v>
      </c>
      <c r="AL49" s="223"/>
      <c r="AM49" s="60">
        <v>202856393</v>
      </c>
    </row>
    <row r="50" spans="1:39">
      <c r="A50" s="196" t="s">
        <v>3626</v>
      </c>
      <c r="B50" s="196" t="s">
        <v>35</v>
      </c>
      <c r="C50" s="196" t="s">
        <v>3658</v>
      </c>
      <c r="D50" s="196" t="s">
        <v>3659</v>
      </c>
      <c r="E50" s="195">
        <v>2025</v>
      </c>
      <c r="F50" s="196" t="s">
        <v>3691</v>
      </c>
      <c r="G50" s="42">
        <f t="shared" si="2"/>
        <v>227251926</v>
      </c>
      <c r="H50" s="42">
        <f t="shared" si="2"/>
        <v>27240254</v>
      </c>
      <c r="I50" s="42">
        <f t="shared" si="2"/>
        <v>3145935</v>
      </c>
      <c r="J50" s="42">
        <f t="shared" si="2"/>
        <v>172304</v>
      </c>
      <c r="K50" s="42">
        <f t="shared" si="2"/>
        <v>18075701</v>
      </c>
      <c r="L50" s="42">
        <f t="shared" si="2"/>
        <v>39672085</v>
      </c>
      <c r="M50" s="42">
        <v>0</v>
      </c>
      <c r="N50" s="42">
        <v>0</v>
      </c>
      <c r="O50" s="42">
        <v>0</v>
      </c>
      <c r="P50" s="42">
        <v>0</v>
      </c>
      <c r="Q50" s="42">
        <v>0</v>
      </c>
      <c r="R50" s="42">
        <v>0</v>
      </c>
      <c r="AF50" s="223" t="s">
        <v>3693</v>
      </c>
      <c r="AG50" s="223" t="s">
        <v>3640</v>
      </c>
      <c r="AH50" s="116">
        <v>2025</v>
      </c>
      <c r="AI50" s="116">
        <v>4</v>
      </c>
      <c r="AJ50" s="223" t="s">
        <v>3641</v>
      </c>
      <c r="AK50" s="223" t="s">
        <v>34</v>
      </c>
      <c r="AL50" s="223"/>
      <c r="AM50" s="60">
        <v>69392248</v>
      </c>
    </row>
    <row r="51" spans="1:39">
      <c r="A51" s="196" t="s">
        <v>3626</v>
      </c>
      <c r="B51" s="196" t="s">
        <v>35</v>
      </c>
      <c r="C51" s="196" t="s">
        <v>3660</v>
      </c>
      <c r="D51" s="196" t="s">
        <v>3661</v>
      </c>
      <c r="E51" s="195">
        <v>2025</v>
      </c>
      <c r="F51" s="196" t="s">
        <v>3691</v>
      </c>
      <c r="G51" s="42">
        <f t="shared" si="2"/>
        <v>35386450</v>
      </c>
      <c r="H51" s="42">
        <f t="shared" si="2"/>
        <v>33268530</v>
      </c>
      <c r="I51" s="42">
        <f t="shared" si="2"/>
        <v>68991915</v>
      </c>
      <c r="J51" s="42">
        <f t="shared" si="2"/>
        <v>41218827</v>
      </c>
      <c r="K51" s="42">
        <f t="shared" si="2"/>
        <v>32180984</v>
      </c>
      <c r="L51" s="42">
        <f t="shared" si="2"/>
        <v>31952570</v>
      </c>
      <c r="M51" s="42">
        <v>0</v>
      </c>
      <c r="N51" s="42">
        <v>0</v>
      </c>
      <c r="O51" s="42">
        <v>0</v>
      </c>
      <c r="P51" s="42">
        <v>0</v>
      </c>
      <c r="Q51" s="42">
        <v>0</v>
      </c>
      <c r="R51" s="42">
        <v>0</v>
      </c>
      <c r="AF51" s="223" t="s">
        <v>3693</v>
      </c>
      <c r="AG51" s="223" t="s">
        <v>3640</v>
      </c>
      <c r="AH51" s="116">
        <v>2025</v>
      </c>
      <c r="AI51" s="116">
        <v>5</v>
      </c>
      <c r="AJ51" s="223" t="s">
        <v>3641</v>
      </c>
      <c r="AK51" s="223" t="s">
        <v>34</v>
      </c>
      <c r="AL51" s="223"/>
      <c r="AM51" s="60">
        <v>70169104</v>
      </c>
    </row>
    <row r="52" spans="1:39">
      <c r="A52" s="196" t="s">
        <v>3626</v>
      </c>
      <c r="B52" s="196" t="s">
        <v>35</v>
      </c>
      <c r="C52" s="196" t="s">
        <v>3662</v>
      </c>
      <c r="D52" s="196" t="s">
        <v>3663</v>
      </c>
      <c r="E52" s="195">
        <v>2025</v>
      </c>
      <c r="F52" s="196" t="s">
        <v>3691</v>
      </c>
      <c r="G52" s="42">
        <f t="shared" si="2"/>
        <v>92371132</v>
      </c>
      <c r="H52" s="42">
        <f t="shared" si="2"/>
        <v>83369622</v>
      </c>
      <c r="I52" s="42">
        <f t="shared" si="2"/>
        <v>114634809</v>
      </c>
      <c r="J52" s="42">
        <f t="shared" si="2"/>
        <v>57394119</v>
      </c>
      <c r="K52" s="42">
        <f t="shared" si="2"/>
        <v>61528782</v>
      </c>
      <c r="L52" s="42">
        <f t="shared" si="2"/>
        <v>52191926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AF52" s="223" t="s">
        <v>3693</v>
      </c>
      <c r="AG52" s="223" t="s">
        <v>3640</v>
      </c>
      <c r="AH52" s="116">
        <v>2025</v>
      </c>
      <c r="AI52" s="116">
        <v>6</v>
      </c>
      <c r="AJ52" s="223" t="s">
        <v>3641</v>
      </c>
      <c r="AK52" s="223" t="s">
        <v>34</v>
      </c>
      <c r="AL52" s="223"/>
      <c r="AM52" s="60">
        <v>59661744</v>
      </c>
    </row>
    <row r="53" spans="1:39">
      <c r="A53" s="196" t="s">
        <v>3626</v>
      </c>
      <c r="B53" s="196" t="s">
        <v>35</v>
      </c>
      <c r="C53" s="196" t="s">
        <v>3664</v>
      </c>
      <c r="D53" s="196" t="s">
        <v>3665</v>
      </c>
      <c r="E53" s="195">
        <v>2025</v>
      </c>
      <c r="F53" s="196" t="s">
        <v>3691</v>
      </c>
      <c r="G53" s="42">
        <f t="shared" si="2"/>
        <v>13544280</v>
      </c>
      <c r="H53" s="42">
        <f t="shared" si="2"/>
        <v>14831013</v>
      </c>
      <c r="I53" s="42">
        <f t="shared" si="2"/>
        <v>25087564</v>
      </c>
      <c r="J53" s="42">
        <f t="shared" si="2"/>
        <v>13986879</v>
      </c>
      <c r="K53" s="42">
        <f t="shared" si="2"/>
        <v>12284955</v>
      </c>
      <c r="L53" s="42">
        <f t="shared" si="2"/>
        <v>11983704</v>
      </c>
      <c r="M53" s="42">
        <v>0</v>
      </c>
      <c r="N53" s="42">
        <v>0</v>
      </c>
      <c r="O53" s="42">
        <v>0</v>
      </c>
      <c r="P53" s="42">
        <v>0</v>
      </c>
      <c r="Q53" s="42">
        <v>0</v>
      </c>
      <c r="R53" s="42">
        <v>0</v>
      </c>
      <c r="AF53" s="223" t="s">
        <v>3693</v>
      </c>
      <c r="AG53" s="223" t="s">
        <v>3642</v>
      </c>
      <c r="AH53" s="116">
        <v>2025</v>
      </c>
      <c r="AI53" s="116">
        <v>1</v>
      </c>
      <c r="AJ53" s="223" t="s">
        <v>3643</v>
      </c>
      <c r="AK53" s="223" t="s">
        <v>34</v>
      </c>
      <c r="AL53" s="223"/>
      <c r="AM53" s="60">
        <v>5132031</v>
      </c>
    </row>
    <row r="54" spans="1:39">
      <c r="A54" s="196" t="s">
        <v>3626</v>
      </c>
      <c r="B54" s="196" t="s">
        <v>35</v>
      </c>
      <c r="C54" s="196" t="s">
        <v>3666</v>
      </c>
      <c r="D54" s="196" t="s">
        <v>3667</v>
      </c>
      <c r="E54" s="195">
        <v>2025</v>
      </c>
      <c r="F54" s="196" t="s">
        <v>3691</v>
      </c>
      <c r="G54" s="42">
        <f t="shared" si="2"/>
        <v>13983704</v>
      </c>
      <c r="H54" s="42">
        <f t="shared" si="2"/>
        <v>58625846</v>
      </c>
      <c r="I54" s="42">
        <f t="shared" si="2"/>
        <v>35744850</v>
      </c>
      <c r="J54" s="42">
        <f t="shared" si="2"/>
        <v>155369401</v>
      </c>
      <c r="K54" s="42">
        <f t="shared" si="2"/>
        <v>215188318</v>
      </c>
      <c r="L54" s="42">
        <f t="shared" si="2"/>
        <v>135657728</v>
      </c>
      <c r="M54" s="42">
        <v>0</v>
      </c>
      <c r="N54" s="42">
        <v>0</v>
      </c>
      <c r="O54" s="42">
        <v>0</v>
      </c>
      <c r="P54" s="42">
        <v>0</v>
      </c>
      <c r="Q54" s="42">
        <v>0</v>
      </c>
      <c r="R54" s="42">
        <v>0</v>
      </c>
      <c r="AF54" s="223" t="s">
        <v>3693</v>
      </c>
      <c r="AG54" s="223" t="s">
        <v>3642</v>
      </c>
      <c r="AH54" s="116">
        <v>2025</v>
      </c>
      <c r="AI54" s="116">
        <v>2</v>
      </c>
      <c r="AJ54" s="223" t="s">
        <v>3643</v>
      </c>
      <c r="AK54" s="223" t="s">
        <v>34</v>
      </c>
      <c r="AL54" s="223"/>
      <c r="AM54" s="60">
        <v>6372781</v>
      </c>
    </row>
    <row r="55" spans="1:39">
      <c r="A55" s="196" t="s">
        <v>3626</v>
      </c>
      <c r="B55" s="196" t="s">
        <v>35</v>
      </c>
      <c r="C55" s="196" t="s">
        <v>3668</v>
      </c>
      <c r="D55" s="196" t="s">
        <v>3669</v>
      </c>
      <c r="E55" s="195">
        <v>2025</v>
      </c>
      <c r="F55" s="196" t="s">
        <v>3691</v>
      </c>
      <c r="G55" s="42">
        <f t="shared" si="2"/>
        <v>239763722</v>
      </c>
      <c r="H55" s="42">
        <f t="shared" si="2"/>
        <v>231577871</v>
      </c>
      <c r="I55" s="42">
        <f t="shared" si="2"/>
        <v>368929538</v>
      </c>
      <c r="J55" s="42">
        <f t="shared" si="2"/>
        <v>456075822</v>
      </c>
      <c r="K55" s="42">
        <f t="shared" si="2"/>
        <v>425012492</v>
      </c>
      <c r="L55" s="42">
        <f t="shared" si="2"/>
        <v>345732260</v>
      </c>
      <c r="M55" s="42">
        <v>0</v>
      </c>
      <c r="N55" s="42">
        <v>0</v>
      </c>
      <c r="O55" s="42">
        <v>0</v>
      </c>
      <c r="P55" s="42">
        <v>0</v>
      </c>
      <c r="Q55" s="42">
        <v>0</v>
      </c>
      <c r="R55" s="42">
        <v>0</v>
      </c>
      <c r="AF55" s="223" t="s">
        <v>3693</v>
      </c>
      <c r="AG55" s="223" t="s">
        <v>3642</v>
      </c>
      <c r="AH55" s="116">
        <v>2025</v>
      </c>
      <c r="AI55" s="116">
        <v>3</v>
      </c>
      <c r="AJ55" s="223" t="s">
        <v>3643</v>
      </c>
      <c r="AK55" s="223" t="s">
        <v>34</v>
      </c>
      <c r="AL55" s="223"/>
      <c r="AM55" s="60">
        <v>10541644</v>
      </c>
    </row>
    <row r="56" spans="1:39">
      <c r="A56" s="196" t="s">
        <v>3626</v>
      </c>
      <c r="B56" s="196" t="s">
        <v>35</v>
      </c>
      <c r="C56" s="196" t="s">
        <v>3670</v>
      </c>
      <c r="D56" s="196" t="s">
        <v>3671</v>
      </c>
      <c r="E56" s="195">
        <v>2025</v>
      </c>
      <c r="F56" s="196" t="s">
        <v>3691</v>
      </c>
      <c r="G56" s="42">
        <f t="shared" si="2"/>
        <v>370302145</v>
      </c>
      <c r="H56" s="42">
        <f t="shared" si="2"/>
        <v>400216438</v>
      </c>
      <c r="I56" s="42">
        <f t="shared" si="2"/>
        <v>1046856445</v>
      </c>
      <c r="J56" s="42">
        <f t="shared" si="2"/>
        <v>1032378229</v>
      </c>
      <c r="K56" s="42">
        <f t="shared" si="2"/>
        <v>1027683825</v>
      </c>
      <c r="L56" s="42">
        <f t="shared" si="2"/>
        <v>808386463</v>
      </c>
      <c r="M56" s="42">
        <v>0</v>
      </c>
      <c r="N56" s="42">
        <v>0</v>
      </c>
      <c r="O56" s="42">
        <v>0</v>
      </c>
      <c r="P56" s="42">
        <v>0</v>
      </c>
      <c r="Q56" s="42">
        <v>0</v>
      </c>
      <c r="R56" s="42">
        <v>0</v>
      </c>
      <c r="AF56" s="223" t="s">
        <v>3693</v>
      </c>
      <c r="AG56" s="223" t="s">
        <v>3642</v>
      </c>
      <c r="AH56" s="116">
        <v>2025</v>
      </c>
      <c r="AI56" s="116">
        <v>4</v>
      </c>
      <c r="AJ56" s="223" t="s">
        <v>3643</v>
      </c>
      <c r="AK56" s="223" t="s">
        <v>34</v>
      </c>
      <c r="AL56" s="223"/>
      <c r="AM56" s="60">
        <v>5026310</v>
      </c>
    </row>
    <row r="57" spans="1:39">
      <c r="A57" s="196" t="s">
        <v>3626</v>
      </c>
      <c r="B57" s="196" t="s">
        <v>35</v>
      </c>
      <c r="C57" s="196" t="s">
        <v>3672</v>
      </c>
      <c r="D57" s="196" t="s">
        <v>3673</v>
      </c>
      <c r="E57" s="195">
        <v>2025</v>
      </c>
      <c r="F57" s="196" t="s">
        <v>3691</v>
      </c>
      <c r="G57" s="42">
        <f t="shared" si="2"/>
        <v>86793340</v>
      </c>
      <c r="H57" s="42">
        <f t="shared" si="2"/>
        <v>76613461</v>
      </c>
      <c r="I57" s="42">
        <f t="shared" si="2"/>
        <v>1947886622</v>
      </c>
      <c r="J57" s="42">
        <f t="shared" si="2"/>
        <v>874838434</v>
      </c>
      <c r="K57" s="42">
        <f t="shared" si="2"/>
        <v>577251165</v>
      </c>
      <c r="L57" s="42">
        <f t="shared" si="2"/>
        <v>486017633</v>
      </c>
      <c r="M57" s="42">
        <v>0</v>
      </c>
      <c r="N57" s="42">
        <v>0</v>
      </c>
      <c r="O57" s="42">
        <v>0</v>
      </c>
      <c r="P57" s="42">
        <v>0</v>
      </c>
      <c r="Q57" s="42">
        <v>0</v>
      </c>
      <c r="R57" s="42">
        <v>0</v>
      </c>
      <c r="AF57" s="223" t="s">
        <v>3693</v>
      </c>
      <c r="AG57" s="223" t="s">
        <v>3642</v>
      </c>
      <c r="AH57" s="116">
        <v>2025</v>
      </c>
      <c r="AI57" s="116">
        <v>5</v>
      </c>
      <c r="AJ57" s="223" t="s">
        <v>3643</v>
      </c>
      <c r="AK57" s="223" t="s">
        <v>34</v>
      </c>
      <c r="AL57" s="223"/>
      <c r="AM57" s="60">
        <v>5517792</v>
      </c>
    </row>
    <row r="58" spans="1:39">
      <c r="A58" s="196" t="s">
        <v>3626</v>
      </c>
      <c r="B58" s="196" t="s">
        <v>35</v>
      </c>
      <c r="C58" s="196" t="s">
        <v>3674</v>
      </c>
      <c r="D58" s="196" t="s">
        <v>3675</v>
      </c>
      <c r="E58" s="195">
        <v>2025</v>
      </c>
      <c r="F58" s="196" t="s">
        <v>3691</v>
      </c>
      <c r="G58" s="42">
        <f t="shared" si="2"/>
        <v>559467649</v>
      </c>
      <c r="H58" s="42">
        <f t="shared" si="2"/>
        <v>497655750</v>
      </c>
      <c r="I58" s="42">
        <f t="shared" si="2"/>
        <v>724901413</v>
      </c>
      <c r="J58" s="42">
        <f t="shared" si="2"/>
        <v>515074279</v>
      </c>
      <c r="K58" s="42">
        <f t="shared" si="2"/>
        <v>465446704</v>
      </c>
      <c r="L58" s="42">
        <f t="shared" si="2"/>
        <v>417827510</v>
      </c>
      <c r="M58" s="42">
        <v>0</v>
      </c>
      <c r="N58" s="42">
        <v>0</v>
      </c>
      <c r="O58" s="42">
        <v>0</v>
      </c>
      <c r="P58" s="42">
        <v>0</v>
      </c>
      <c r="Q58" s="42">
        <v>0</v>
      </c>
      <c r="R58" s="42">
        <v>0</v>
      </c>
      <c r="AF58" s="223" t="s">
        <v>3693</v>
      </c>
      <c r="AG58" s="223" t="s">
        <v>3642</v>
      </c>
      <c r="AH58" s="116">
        <v>2025</v>
      </c>
      <c r="AI58" s="116">
        <v>6</v>
      </c>
      <c r="AJ58" s="223" t="s">
        <v>3643</v>
      </c>
      <c r="AK58" s="223" t="s">
        <v>34</v>
      </c>
      <c r="AL58" s="223"/>
      <c r="AM58" s="60">
        <v>5139969</v>
      </c>
    </row>
    <row r="59" spans="1:39">
      <c r="A59" s="196" t="s">
        <v>3626</v>
      </c>
      <c r="B59" s="196" t="s">
        <v>35</v>
      </c>
      <c r="C59" s="196" t="s">
        <v>3676</v>
      </c>
      <c r="D59" s="196" t="s">
        <v>3677</v>
      </c>
      <c r="E59" s="195">
        <v>2025</v>
      </c>
      <c r="F59" s="196" t="s">
        <v>3691</v>
      </c>
      <c r="G59" s="42">
        <f t="shared" si="2"/>
        <v>2081088416</v>
      </c>
      <c r="H59" s="42">
        <f t="shared" si="2"/>
        <v>1997092918</v>
      </c>
      <c r="I59" s="42">
        <f t="shared" si="2"/>
        <v>2417242160</v>
      </c>
      <c r="J59" s="42">
        <f t="shared" si="2"/>
        <v>3336929864</v>
      </c>
      <c r="K59" s="42">
        <f t="shared" si="2"/>
        <v>4079351630</v>
      </c>
      <c r="L59" s="42">
        <f t="shared" si="2"/>
        <v>3957980408</v>
      </c>
      <c r="M59" s="42">
        <v>0</v>
      </c>
      <c r="N59" s="42">
        <v>0</v>
      </c>
      <c r="O59" s="42">
        <v>0</v>
      </c>
      <c r="P59" s="42">
        <v>0</v>
      </c>
      <c r="Q59" s="42">
        <v>0</v>
      </c>
      <c r="R59" s="42">
        <v>0</v>
      </c>
      <c r="AF59" s="223" t="s">
        <v>3693</v>
      </c>
      <c r="AG59" s="223" t="s">
        <v>3644</v>
      </c>
      <c r="AH59" s="116">
        <v>2025</v>
      </c>
      <c r="AI59" s="116">
        <v>1</v>
      </c>
      <c r="AJ59" s="223" t="s">
        <v>3645</v>
      </c>
      <c r="AK59" s="223" t="s">
        <v>34</v>
      </c>
      <c r="AL59" s="223"/>
      <c r="AM59" s="60">
        <v>5138338</v>
      </c>
    </row>
    <row r="60" spans="1:39">
      <c r="A60" s="196" t="s">
        <v>3626</v>
      </c>
      <c r="B60" s="196" t="s">
        <v>35</v>
      </c>
      <c r="C60" s="196" t="s">
        <v>3678</v>
      </c>
      <c r="D60" s="196" t="s">
        <v>3679</v>
      </c>
      <c r="E60" s="195">
        <v>2025</v>
      </c>
      <c r="F60" s="196" t="s">
        <v>3691</v>
      </c>
      <c r="G60" s="42">
        <f t="shared" si="2"/>
        <v>14480850</v>
      </c>
      <c r="H60" s="42">
        <f t="shared" si="2"/>
        <v>13127455</v>
      </c>
      <c r="I60" s="42">
        <f t="shared" si="2"/>
        <v>71862368</v>
      </c>
      <c r="J60" s="42">
        <f t="shared" si="2"/>
        <v>68199980</v>
      </c>
      <c r="K60" s="42">
        <f t="shared" si="2"/>
        <v>77316806</v>
      </c>
      <c r="L60" s="42">
        <f t="shared" si="2"/>
        <v>59121600</v>
      </c>
      <c r="M60" s="42">
        <v>0</v>
      </c>
      <c r="N60" s="42">
        <v>0</v>
      </c>
      <c r="O60" s="42">
        <v>0</v>
      </c>
      <c r="P60" s="42">
        <v>0</v>
      </c>
      <c r="Q60" s="42">
        <v>0</v>
      </c>
      <c r="R60" s="42">
        <v>0</v>
      </c>
      <c r="AF60" s="223" t="s">
        <v>3693</v>
      </c>
      <c r="AG60" s="223" t="s">
        <v>3644</v>
      </c>
      <c r="AH60" s="116">
        <v>2025</v>
      </c>
      <c r="AI60" s="116">
        <v>2</v>
      </c>
      <c r="AJ60" s="223" t="s">
        <v>3645</v>
      </c>
      <c r="AK60" s="223" t="s">
        <v>34</v>
      </c>
      <c r="AL60" s="223"/>
      <c r="AM60" s="60">
        <v>4695501</v>
      </c>
    </row>
    <row r="61" spans="1:39">
      <c r="A61" s="196" t="s">
        <v>3626</v>
      </c>
      <c r="B61" s="196" t="s">
        <v>35</v>
      </c>
      <c r="C61" s="196" t="s">
        <v>3680</v>
      </c>
      <c r="D61" s="196" t="s">
        <v>3681</v>
      </c>
      <c r="E61" s="195">
        <v>2025</v>
      </c>
      <c r="F61" s="196" t="s">
        <v>3691</v>
      </c>
      <c r="G61" s="42">
        <f t="shared" si="2"/>
        <v>64627320</v>
      </c>
      <c r="H61" s="42">
        <f t="shared" si="2"/>
        <v>62650178</v>
      </c>
      <c r="I61" s="42">
        <f t="shared" si="2"/>
        <v>402005039</v>
      </c>
      <c r="J61" s="42">
        <f t="shared" si="2"/>
        <v>238476323</v>
      </c>
      <c r="K61" s="42">
        <f t="shared" si="2"/>
        <v>216901967</v>
      </c>
      <c r="L61" s="42">
        <f t="shared" si="2"/>
        <v>128770878</v>
      </c>
      <c r="M61" s="42">
        <v>0</v>
      </c>
      <c r="N61" s="42">
        <v>0</v>
      </c>
      <c r="O61" s="42">
        <v>0</v>
      </c>
      <c r="P61" s="42">
        <v>0</v>
      </c>
      <c r="Q61" s="42">
        <v>0</v>
      </c>
      <c r="R61" s="42">
        <v>0</v>
      </c>
      <c r="AF61" s="223" t="s">
        <v>3693</v>
      </c>
      <c r="AG61" s="223" t="s">
        <v>3644</v>
      </c>
      <c r="AH61" s="116">
        <v>2025</v>
      </c>
      <c r="AI61" s="116">
        <v>3</v>
      </c>
      <c r="AJ61" s="223" t="s">
        <v>3645</v>
      </c>
      <c r="AK61" s="223" t="s">
        <v>34</v>
      </c>
      <c r="AL61" s="223"/>
      <c r="AM61" s="60">
        <v>6676079</v>
      </c>
    </row>
    <row r="62" spans="1:39">
      <c r="A62" s="196" t="s">
        <v>3626</v>
      </c>
      <c r="B62" s="196" t="s">
        <v>35</v>
      </c>
      <c r="C62" s="196" t="s">
        <v>3682</v>
      </c>
      <c r="D62" s="196" t="s">
        <v>3683</v>
      </c>
      <c r="E62" s="195">
        <v>2025</v>
      </c>
      <c r="F62" s="196" t="s">
        <v>3691</v>
      </c>
      <c r="G62" s="42">
        <f t="shared" si="2"/>
        <v>0</v>
      </c>
      <c r="H62" s="42">
        <f t="shared" si="2"/>
        <v>0</v>
      </c>
      <c r="I62" s="42">
        <f t="shared" si="2"/>
        <v>8018612</v>
      </c>
      <c r="J62" s="42">
        <f t="shared" si="2"/>
        <v>2205592</v>
      </c>
      <c r="K62" s="42">
        <f t="shared" si="2"/>
        <v>2017930</v>
      </c>
      <c r="L62" s="42">
        <f t="shared" si="2"/>
        <v>1543866</v>
      </c>
      <c r="M62" s="42">
        <v>0</v>
      </c>
      <c r="N62" s="42">
        <v>0</v>
      </c>
      <c r="O62" s="42">
        <v>0</v>
      </c>
      <c r="P62" s="42">
        <v>0</v>
      </c>
      <c r="Q62" s="42">
        <v>0</v>
      </c>
      <c r="R62" s="42">
        <v>0</v>
      </c>
      <c r="AF62" s="223" t="s">
        <v>3693</v>
      </c>
      <c r="AG62" s="223" t="s">
        <v>3644</v>
      </c>
      <c r="AH62" s="116">
        <v>2025</v>
      </c>
      <c r="AI62" s="116">
        <v>4</v>
      </c>
      <c r="AJ62" s="223" t="s">
        <v>3645</v>
      </c>
      <c r="AK62" s="223" t="s">
        <v>34</v>
      </c>
      <c r="AL62" s="223"/>
      <c r="AM62" s="60">
        <v>3107306</v>
      </c>
    </row>
    <row r="63" spans="1:39">
      <c r="A63" s="196" t="s">
        <v>3626</v>
      </c>
      <c r="B63" s="196" t="s">
        <v>35</v>
      </c>
      <c r="C63" s="196" t="s">
        <v>3684</v>
      </c>
      <c r="D63" s="196" t="s">
        <v>3685</v>
      </c>
      <c r="E63" s="195">
        <v>2025</v>
      </c>
      <c r="F63" s="196" t="s">
        <v>3691</v>
      </c>
      <c r="G63" s="42">
        <f t="shared" si="2"/>
        <v>8718486</v>
      </c>
      <c r="H63" s="42">
        <f t="shared" si="2"/>
        <v>5508307</v>
      </c>
      <c r="I63" s="42">
        <f t="shared" si="2"/>
        <v>2196079</v>
      </c>
      <c r="J63" s="42">
        <f t="shared" si="2"/>
        <v>507808</v>
      </c>
      <c r="K63" s="42">
        <f t="shared" si="2"/>
        <v>1228992</v>
      </c>
      <c r="L63" s="42">
        <f t="shared" si="2"/>
        <v>1152484</v>
      </c>
      <c r="M63" s="42">
        <v>0</v>
      </c>
      <c r="N63" s="42">
        <v>0</v>
      </c>
      <c r="O63" s="42">
        <v>0</v>
      </c>
      <c r="P63" s="42">
        <v>0</v>
      </c>
      <c r="Q63" s="42">
        <v>0</v>
      </c>
      <c r="R63" s="42">
        <v>0</v>
      </c>
      <c r="AF63" s="223" t="s">
        <v>3693</v>
      </c>
      <c r="AG63" s="223" t="s">
        <v>3644</v>
      </c>
      <c r="AH63" s="116">
        <v>2025</v>
      </c>
      <c r="AI63" s="116">
        <v>5</v>
      </c>
      <c r="AJ63" s="223" t="s">
        <v>3645</v>
      </c>
      <c r="AK63" s="223" t="s">
        <v>34</v>
      </c>
      <c r="AL63" s="223"/>
      <c r="AM63" s="60">
        <v>3717319</v>
      </c>
    </row>
    <row r="64" spans="1:39">
      <c r="A64" s="196"/>
      <c r="B64" s="196"/>
      <c r="C64" s="196"/>
      <c r="D64" s="196"/>
      <c r="E64" s="196"/>
      <c r="F64" s="196"/>
      <c r="G64" s="42"/>
      <c r="H64" s="42"/>
      <c r="I64" s="42"/>
      <c r="J64" s="42"/>
      <c r="K64" s="42"/>
      <c r="L64" s="42"/>
      <c r="M64" s="195"/>
      <c r="N64" s="195"/>
      <c r="O64" s="195"/>
      <c r="P64" s="195"/>
      <c r="Q64" s="195"/>
      <c r="R64" s="195"/>
      <c r="AF64" s="223" t="s">
        <v>3693</v>
      </c>
      <c r="AG64" s="223" t="s">
        <v>3644</v>
      </c>
      <c r="AH64" s="116">
        <v>2025</v>
      </c>
      <c r="AI64" s="116">
        <v>6</v>
      </c>
      <c r="AJ64" s="223" t="s">
        <v>3645</v>
      </c>
      <c r="AK64" s="223" t="s">
        <v>34</v>
      </c>
      <c r="AL64" s="223"/>
      <c r="AM64" s="60">
        <v>3555096</v>
      </c>
    </row>
    <row r="65" spans="32:39">
      <c r="AF65" s="223" t="s">
        <v>3693</v>
      </c>
      <c r="AG65" s="223" t="s">
        <v>3646</v>
      </c>
      <c r="AH65" s="116">
        <v>2025</v>
      </c>
      <c r="AI65" s="116">
        <v>1</v>
      </c>
      <c r="AJ65" s="223" t="s">
        <v>3647</v>
      </c>
      <c r="AK65" s="223" t="s">
        <v>34</v>
      </c>
      <c r="AL65" s="223"/>
      <c r="AM65" s="60">
        <v>5730891</v>
      </c>
    </row>
    <row r="66" spans="32:39">
      <c r="AF66" s="223" t="s">
        <v>3693</v>
      </c>
      <c r="AG66" s="223" t="s">
        <v>3646</v>
      </c>
      <c r="AH66" s="116">
        <v>2025</v>
      </c>
      <c r="AI66" s="116">
        <v>2</v>
      </c>
      <c r="AJ66" s="223" t="s">
        <v>3647</v>
      </c>
      <c r="AK66" s="223" t="s">
        <v>34</v>
      </c>
      <c r="AL66" s="223"/>
      <c r="AM66" s="60">
        <v>6702352</v>
      </c>
    </row>
    <row r="67" spans="32:39">
      <c r="AF67" s="223" t="s">
        <v>3693</v>
      </c>
      <c r="AG67" s="223" t="s">
        <v>3646</v>
      </c>
      <c r="AH67" s="116">
        <v>2025</v>
      </c>
      <c r="AI67" s="116">
        <v>3</v>
      </c>
      <c r="AJ67" s="223" t="s">
        <v>3647</v>
      </c>
      <c r="AK67" s="223" t="s">
        <v>34</v>
      </c>
      <c r="AL67" s="223"/>
      <c r="AM67" s="60">
        <v>5670379</v>
      </c>
    </row>
    <row r="68" spans="32:39">
      <c r="AF68" s="223" t="s">
        <v>3693</v>
      </c>
      <c r="AG68" s="223" t="s">
        <v>3646</v>
      </c>
      <c r="AH68" s="116">
        <v>2025</v>
      </c>
      <c r="AI68" s="116">
        <v>4</v>
      </c>
      <c r="AJ68" s="223" t="s">
        <v>3647</v>
      </c>
      <c r="AK68" s="223" t="s">
        <v>34</v>
      </c>
      <c r="AL68" s="223"/>
      <c r="AM68" s="60">
        <v>3790215</v>
      </c>
    </row>
    <row r="69" spans="32:39">
      <c r="AF69" s="223" t="s">
        <v>3693</v>
      </c>
      <c r="AG69" s="223" t="s">
        <v>3646</v>
      </c>
      <c r="AH69" s="116">
        <v>2025</v>
      </c>
      <c r="AI69" s="116">
        <v>5</v>
      </c>
      <c r="AJ69" s="223" t="s">
        <v>3647</v>
      </c>
      <c r="AK69" s="223" t="s">
        <v>34</v>
      </c>
      <c r="AL69" s="223"/>
      <c r="AM69" s="60">
        <v>3474162</v>
      </c>
    </row>
    <row r="70" spans="32:39">
      <c r="AF70" s="223" t="s">
        <v>3693</v>
      </c>
      <c r="AG70" s="223" t="s">
        <v>3646</v>
      </c>
      <c r="AH70" s="116">
        <v>2025</v>
      </c>
      <c r="AI70" s="116">
        <v>6</v>
      </c>
      <c r="AJ70" s="223" t="s">
        <v>3647</v>
      </c>
      <c r="AK70" s="223" t="s">
        <v>34</v>
      </c>
      <c r="AL70" s="223"/>
      <c r="AM70" s="60">
        <v>3209733</v>
      </c>
    </row>
    <row r="71" spans="32:39">
      <c r="AF71" s="223" t="s">
        <v>3693</v>
      </c>
      <c r="AG71" s="223" t="s">
        <v>3648</v>
      </c>
      <c r="AH71" s="116">
        <v>2025</v>
      </c>
      <c r="AI71" s="116">
        <v>1</v>
      </c>
      <c r="AJ71" s="223" t="s">
        <v>3649</v>
      </c>
      <c r="AK71" s="223" t="s">
        <v>34</v>
      </c>
      <c r="AL71" s="223"/>
      <c r="AM71" s="60">
        <v>12989348</v>
      </c>
    </row>
    <row r="72" spans="32:39">
      <c r="AF72" s="223" t="s">
        <v>3693</v>
      </c>
      <c r="AG72" s="223" t="s">
        <v>3648</v>
      </c>
      <c r="AH72" s="116">
        <v>2025</v>
      </c>
      <c r="AI72" s="116">
        <v>2</v>
      </c>
      <c r="AJ72" s="223" t="s">
        <v>3649</v>
      </c>
      <c r="AK72" s="223" t="s">
        <v>34</v>
      </c>
      <c r="AL72" s="223"/>
      <c r="AM72" s="60">
        <v>11679824</v>
      </c>
    </row>
    <row r="73" spans="32:39">
      <c r="AF73" s="223" t="s">
        <v>3693</v>
      </c>
      <c r="AG73" s="223" t="s">
        <v>3648</v>
      </c>
      <c r="AH73" s="116">
        <v>2025</v>
      </c>
      <c r="AI73" s="116">
        <v>3</v>
      </c>
      <c r="AJ73" s="223" t="s">
        <v>3649</v>
      </c>
      <c r="AK73" s="223" t="s">
        <v>34</v>
      </c>
      <c r="AL73" s="223"/>
      <c r="AM73" s="60">
        <v>10076690</v>
      </c>
    </row>
    <row r="74" spans="32:39">
      <c r="AF74" s="223" t="s">
        <v>3693</v>
      </c>
      <c r="AG74" s="223" t="s">
        <v>3648</v>
      </c>
      <c r="AH74" s="116">
        <v>2025</v>
      </c>
      <c r="AI74" s="116">
        <v>4</v>
      </c>
      <c r="AJ74" s="223" t="s">
        <v>3649</v>
      </c>
      <c r="AK74" s="223" t="s">
        <v>34</v>
      </c>
      <c r="AL74" s="223"/>
      <c r="AM74" s="60">
        <v>10339013</v>
      </c>
    </row>
    <row r="75" spans="32:39">
      <c r="AF75" s="223" t="s">
        <v>3693</v>
      </c>
      <c r="AG75" s="223" t="s">
        <v>3648</v>
      </c>
      <c r="AH75" s="116">
        <v>2025</v>
      </c>
      <c r="AI75" s="116">
        <v>5</v>
      </c>
      <c r="AJ75" s="223" t="s">
        <v>3649</v>
      </c>
      <c r="AK75" s="223" t="s">
        <v>34</v>
      </c>
      <c r="AL75" s="223"/>
      <c r="AM75" s="60">
        <v>11389020</v>
      </c>
    </row>
    <row r="76" spans="32:39">
      <c r="AF76" s="223" t="s">
        <v>3693</v>
      </c>
      <c r="AG76" s="223" t="s">
        <v>3648</v>
      </c>
      <c r="AH76" s="116">
        <v>2025</v>
      </c>
      <c r="AI76" s="116">
        <v>6</v>
      </c>
      <c r="AJ76" s="223" t="s">
        <v>3649</v>
      </c>
      <c r="AK76" s="223" t="s">
        <v>34</v>
      </c>
      <c r="AL76" s="223"/>
      <c r="AM76" s="60">
        <v>11299724</v>
      </c>
    </row>
    <row r="77" spans="32:39">
      <c r="AF77" s="223" t="s">
        <v>3693</v>
      </c>
      <c r="AG77" s="223" t="s">
        <v>3650</v>
      </c>
      <c r="AH77" s="116">
        <v>2025</v>
      </c>
      <c r="AI77" s="116">
        <v>1</v>
      </c>
      <c r="AJ77" s="223" t="s">
        <v>3651</v>
      </c>
      <c r="AK77" s="223" t="s">
        <v>34</v>
      </c>
      <c r="AL77" s="223"/>
      <c r="AM77" s="60">
        <v>778491</v>
      </c>
    </row>
    <row r="78" spans="32:39">
      <c r="AF78" s="223" t="s">
        <v>3693</v>
      </c>
      <c r="AG78" s="223" t="s">
        <v>3650</v>
      </c>
      <c r="AH78" s="116">
        <v>2025</v>
      </c>
      <c r="AI78" s="116">
        <v>2</v>
      </c>
      <c r="AJ78" s="223" t="s">
        <v>3651</v>
      </c>
      <c r="AK78" s="223" t="s">
        <v>34</v>
      </c>
      <c r="AL78" s="223"/>
      <c r="AM78" s="60">
        <v>642263</v>
      </c>
    </row>
    <row r="79" spans="32:39">
      <c r="AF79" s="223" t="s">
        <v>3693</v>
      </c>
      <c r="AG79" s="223" t="s">
        <v>3650</v>
      </c>
      <c r="AH79" s="116">
        <v>2025</v>
      </c>
      <c r="AI79" s="116">
        <v>3</v>
      </c>
      <c r="AJ79" s="223" t="s">
        <v>3651</v>
      </c>
      <c r="AK79" s="223" t="s">
        <v>34</v>
      </c>
      <c r="AL79" s="223"/>
      <c r="AM79" s="60">
        <v>1276416</v>
      </c>
    </row>
    <row r="80" spans="32:39">
      <c r="AF80" s="223" t="s">
        <v>3693</v>
      </c>
      <c r="AG80" s="223" t="s">
        <v>3650</v>
      </c>
      <c r="AH80" s="116">
        <v>2025</v>
      </c>
      <c r="AI80" s="116">
        <v>4</v>
      </c>
      <c r="AJ80" s="223" t="s">
        <v>3651</v>
      </c>
      <c r="AK80" s="223" t="s">
        <v>34</v>
      </c>
      <c r="AL80" s="223"/>
      <c r="AM80" s="60">
        <v>706769</v>
      </c>
    </row>
    <row r="81" spans="32:39">
      <c r="AF81" s="223" t="s">
        <v>3693</v>
      </c>
      <c r="AG81" s="223" t="s">
        <v>3650</v>
      </c>
      <c r="AH81" s="116">
        <v>2025</v>
      </c>
      <c r="AI81" s="116">
        <v>5</v>
      </c>
      <c r="AJ81" s="223" t="s">
        <v>3651</v>
      </c>
      <c r="AK81" s="223" t="s">
        <v>34</v>
      </c>
      <c r="AL81" s="223"/>
      <c r="AM81" s="60">
        <v>868611</v>
      </c>
    </row>
    <row r="82" spans="32:39">
      <c r="AF82" s="223" t="s">
        <v>3693</v>
      </c>
      <c r="AG82" s="223" t="s">
        <v>3650</v>
      </c>
      <c r="AH82" s="116">
        <v>2025</v>
      </c>
      <c r="AI82" s="116">
        <v>6</v>
      </c>
      <c r="AJ82" s="223" t="s">
        <v>3651</v>
      </c>
      <c r="AK82" s="223" t="s">
        <v>34</v>
      </c>
      <c r="AL82" s="223"/>
      <c r="AM82" s="60">
        <v>721381</v>
      </c>
    </row>
    <row r="83" spans="32:39">
      <c r="AF83" s="223" t="s">
        <v>3693</v>
      </c>
      <c r="AG83" s="223" t="s">
        <v>3652</v>
      </c>
      <c r="AH83" s="116">
        <v>2025</v>
      </c>
      <c r="AI83" s="116">
        <v>1</v>
      </c>
      <c r="AJ83" s="223" t="s">
        <v>3653</v>
      </c>
      <c r="AK83" s="223" t="s">
        <v>34</v>
      </c>
      <c r="AL83" s="223"/>
      <c r="AM83" s="60">
        <v>832668</v>
      </c>
    </row>
    <row r="84" spans="32:39">
      <c r="AF84" s="223" t="s">
        <v>3693</v>
      </c>
      <c r="AG84" s="223" t="s">
        <v>3652</v>
      </c>
      <c r="AH84" s="116">
        <v>2025</v>
      </c>
      <c r="AI84" s="116">
        <v>2</v>
      </c>
      <c r="AJ84" s="223" t="s">
        <v>3653</v>
      </c>
      <c r="AK84" s="223" t="s">
        <v>34</v>
      </c>
      <c r="AL84" s="223"/>
      <c r="AM84" s="60">
        <v>2977716</v>
      </c>
    </row>
    <row r="85" spans="32:39">
      <c r="AF85" s="223" t="s">
        <v>3693</v>
      </c>
      <c r="AG85" s="223" t="s">
        <v>3652</v>
      </c>
      <c r="AH85" s="116">
        <v>2025</v>
      </c>
      <c r="AI85" s="116">
        <v>3</v>
      </c>
      <c r="AJ85" s="223" t="s">
        <v>3653</v>
      </c>
      <c r="AK85" s="223" t="s">
        <v>34</v>
      </c>
      <c r="AL85" s="223"/>
      <c r="AM85" s="60">
        <v>13167079</v>
      </c>
    </row>
    <row r="86" spans="32:39">
      <c r="AF86" s="223" t="s">
        <v>3693</v>
      </c>
      <c r="AG86" s="223" t="s">
        <v>3652</v>
      </c>
      <c r="AH86" s="116">
        <v>2025</v>
      </c>
      <c r="AI86" s="116">
        <v>4</v>
      </c>
      <c r="AJ86" s="223" t="s">
        <v>3653</v>
      </c>
      <c r="AK86" s="223" t="s">
        <v>34</v>
      </c>
      <c r="AL86" s="223"/>
      <c r="AM86" s="60">
        <v>1210616</v>
      </c>
    </row>
    <row r="87" spans="32:39">
      <c r="AF87" s="223" t="s">
        <v>3693</v>
      </c>
      <c r="AG87" s="223" t="s">
        <v>3652</v>
      </c>
      <c r="AH87" s="116">
        <v>2025</v>
      </c>
      <c r="AI87" s="116">
        <v>5</v>
      </c>
      <c r="AJ87" s="223" t="s">
        <v>3653</v>
      </c>
      <c r="AK87" s="223" t="s">
        <v>34</v>
      </c>
      <c r="AL87" s="223"/>
      <c r="AM87" s="60">
        <v>1218817</v>
      </c>
    </row>
    <row r="88" spans="32:39">
      <c r="AF88" s="223" t="s">
        <v>3693</v>
      </c>
      <c r="AG88" s="223" t="s">
        <v>3652</v>
      </c>
      <c r="AH88" s="116">
        <v>2025</v>
      </c>
      <c r="AI88" s="116">
        <v>6</v>
      </c>
      <c r="AJ88" s="223" t="s">
        <v>3653</v>
      </c>
      <c r="AK88" s="223" t="s">
        <v>34</v>
      </c>
      <c r="AL88" s="223"/>
      <c r="AM88" s="60">
        <v>1170471</v>
      </c>
    </row>
    <row r="89" spans="32:39">
      <c r="AF89" s="223" t="s">
        <v>3693</v>
      </c>
      <c r="AG89" s="223" t="s">
        <v>3654</v>
      </c>
      <c r="AH89" s="116">
        <v>2025</v>
      </c>
      <c r="AI89" s="116">
        <v>1</v>
      </c>
      <c r="AJ89" s="223" t="s">
        <v>3655</v>
      </c>
      <c r="AK89" s="223" t="s">
        <v>34</v>
      </c>
      <c r="AL89" s="223"/>
      <c r="AM89" s="60">
        <v>4627065</v>
      </c>
    </row>
    <row r="90" spans="32:39">
      <c r="AF90" s="223" t="s">
        <v>3693</v>
      </c>
      <c r="AG90" s="223" t="s">
        <v>3654</v>
      </c>
      <c r="AH90" s="116">
        <v>2025</v>
      </c>
      <c r="AI90" s="116">
        <v>2</v>
      </c>
      <c r="AJ90" s="223" t="s">
        <v>3655</v>
      </c>
      <c r="AK90" s="223" t="s">
        <v>34</v>
      </c>
      <c r="AL90" s="223"/>
      <c r="AM90" s="60">
        <v>3248132</v>
      </c>
    </row>
    <row r="91" spans="32:39">
      <c r="AF91" s="223" t="s">
        <v>3693</v>
      </c>
      <c r="AG91" s="223" t="s">
        <v>3654</v>
      </c>
      <c r="AH91" s="116">
        <v>2025</v>
      </c>
      <c r="AI91" s="116">
        <v>3</v>
      </c>
      <c r="AJ91" s="223" t="s">
        <v>3655</v>
      </c>
      <c r="AK91" s="223" t="s">
        <v>34</v>
      </c>
      <c r="AL91" s="223"/>
      <c r="AM91" s="60">
        <v>20031529</v>
      </c>
    </row>
    <row r="92" spans="32:39">
      <c r="AF92" s="223" t="s">
        <v>3693</v>
      </c>
      <c r="AG92" s="223" t="s">
        <v>3654</v>
      </c>
      <c r="AH92" s="116">
        <v>2025</v>
      </c>
      <c r="AI92" s="116">
        <v>4</v>
      </c>
      <c r="AJ92" s="223" t="s">
        <v>3655</v>
      </c>
      <c r="AK92" s="223" t="s">
        <v>34</v>
      </c>
      <c r="AL92" s="223"/>
      <c r="AM92" s="60">
        <v>14780520</v>
      </c>
    </row>
    <row r="93" spans="32:39">
      <c r="AF93" s="223" t="s">
        <v>3693</v>
      </c>
      <c r="AG93" s="223" t="s">
        <v>3654</v>
      </c>
      <c r="AH93" s="116">
        <v>2025</v>
      </c>
      <c r="AI93" s="116">
        <v>5</v>
      </c>
      <c r="AJ93" s="223" t="s">
        <v>3655</v>
      </c>
      <c r="AK93" s="223" t="s">
        <v>34</v>
      </c>
      <c r="AL93" s="223"/>
      <c r="AM93" s="60">
        <v>10430650</v>
      </c>
    </row>
    <row r="94" spans="32:39">
      <c r="AF94" s="223" t="s">
        <v>3693</v>
      </c>
      <c r="AG94" s="223" t="s">
        <v>3654</v>
      </c>
      <c r="AH94" s="116">
        <v>2025</v>
      </c>
      <c r="AI94" s="116">
        <v>6</v>
      </c>
      <c r="AJ94" s="223" t="s">
        <v>3655</v>
      </c>
      <c r="AK94" s="223" t="s">
        <v>34</v>
      </c>
      <c r="AL94" s="223"/>
      <c r="AM94" s="60">
        <v>8993475</v>
      </c>
    </row>
    <row r="95" spans="32:39">
      <c r="AF95" s="223" t="s">
        <v>3693</v>
      </c>
      <c r="AG95" s="223" t="s">
        <v>3656</v>
      </c>
      <c r="AH95" s="116">
        <v>2025</v>
      </c>
      <c r="AI95" s="116">
        <v>1</v>
      </c>
      <c r="AJ95" s="223" t="s">
        <v>3657</v>
      </c>
      <c r="AK95" s="223" t="s">
        <v>34</v>
      </c>
      <c r="AL95" s="223"/>
      <c r="AM95" s="60">
        <v>10960</v>
      </c>
    </row>
    <row r="96" spans="32:39">
      <c r="AF96" s="223" t="s">
        <v>3693</v>
      </c>
      <c r="AG96" s="223" t="s">
        <v>3656</v>
      </c>
      <c r="AH96" s="116">
        <v>2025</v>
      </c>
      <c r="AI96" s="116">
        <v>2</v>
      </c>
      <c r="AJ96" s="223" t="s">
        <v>3657</v>
      </c>
      <c r="AK96" s="223" t="s">
        <v>34</v>
      </c>
      <c r="AL96" s="223"/>
      <c r="AM96" s="60">
        <v>0</v>
      </c>
    </row>
    <row r="97" spans="32:39">
      <c r="AF97" s="223" t="s">
        <v>3693</v>
      </c>
      <c r="AG97" s="223" t="s">
        <v>3656</v>
      </c>
      <c r="AH97" s="116">
        <v>2025</v>
      </c>
      <c r="AI97" s="116">
        <v>3</v>
      </c>
      <c r="AJ97" s="223" t="s">
        <v>3657</v>
      </c>
      <c r="AK97" s="223" t="s">
        <v>34</v>
      </c>
      <c r="AL97" s="223"/>
      <c r="AM97" s="60">
        <v>3070612</v>
      </c>
    </row>
    <row r="98" spans="32:39">
      <c r="AF98" s="223" t="s">
        <v>3693</v>
      </c>
      <c r="AG98" s="223" t="s">
        <v>3656</v>
      </c>
      <c r="AH98" s="116">
        <v>2025</v>
      </c>
      <c r="AI98" s="116">
        <v>4</v>
      </c>
      <c r="AJ98" s="223" t="s">
        <v>3657</v>
      </c>
      <c r="AK98" s="223" t="s">
        <v>34</v>
      </c>
      <c r="AL98" s="223"/>
      <c r="AM98" s="60">
        <v>2132692</v>
      </c>
    </row>
    <row r="99" spans="32:39">
      <c r="AF99" s="223" t="s">
        <v>3693</v>
      </c>
      <c r="AG99" s="223" t="s">
        <v>3656</v>
      </c>
      <c r="AH99" s="116">
        <v>2025</v>
      </c>
      <c r="AI99" s="116">
        <v>5</v>
      </c>
      <c r="AJ99" s="223" t="s">
        <v>3657</v>
      </c>
      <c r="AK99" s="223" t="s">
        <v>34</v>
      </c>
      <c r="AL99" s="223"/>
      <c r="AM99" s="60">
        <v>1662136</v>
      </c>
    </row>
    <row r="100" spans="32:39">
      <c r="AF100" s="223" t="s">
        <v>3693</v>
      </c>
      <c r="AG100" s="223" t="s">
        <v>3656</v>
      </c>
      <c r="AH100" s="116">
        <v>2025</v>
      </c>
      <c r="AI100" s="116">
        <v>6</v>
      </c>
      <c r="AJ100" s="223" t="s">
        <v>3657</v>
      </c>
      <c r="AK100" s="223" t="s">
        <v>34</v>
      </c>
      <c r="AL100" s="223"/>
      <c r="AM100" s="60">
        <v>1409853</v>
      </c>
    </row>
    <row r="101" spans="32:39">
      <c r="AF101" s="223" t="s">
        <v>3693</v>
      </c>
      <c r="AG101" s="223" t="s">
        <v>3658</v>
      </c>
      <c r="AH101" s="116">
        <v>2025</v>
      </c>
      <c r="AI101" s="116">
        <v>1</v>
      </c>
      <c r="AJ101" s="223" t="s">
        <v>3659</v>
      </c>
      <c r="AK101" s="223" t="s">
        <v>34</v>
      </c>
      <c r="AL101" s="223"/>
      <c r="AM101" s="60">
        <v>66332027</v>
      </c>
    </row>
    <row r="102" spans="32:39">
      <c r="AF102" s="223" t="s">
        <v>3693</v>
      </c>
      <c r="AG102" s="223" t="s">
        <v>3658</v>
      </c>
      <c r="AH102" s="116">
        <v>2025</v>
      </c>
      <c r="AI102" s="116">
        <v>2</v>
      </c>
      <c r="AJ102" s="223" t="s">
        <v>3659</v>
      </c>
      <c r="AK102" s="223" t="s">
        <v>34</v>
      </c>
      <c r="AL102" s="223"/>
      <c r="AM102" s="60">
        <v>156823948</v>
      </c>
    </row>
    <row r="103" spans="32:39">
      <c r="AF103" s="223" t="s">
        <v>3693</v>
      </c>
      <c r="AG103" s="223" t="s">
        <v>3658</v>
      </c>
      <c r="AH103" s="116">
        <v>2025</v>
      </c>
      <c r="AI103" s="116">
        <v>3</v>
      </c>
      <c r="AJ103" s="223" t="s">
        <v>3659</v>
      </c>
      <c r="AK103" s="223" t="s">
        <v>34</v>
      </c>
      <c r="AL103" s="223"/>
      <c r="AM103" s="60">
        <v>77208588</v>
      </c>
    </row>
    <row r="104" spans="32:39">
      <c r="AF104" s="223" t="s">
        <v>3693</v>
      </c>
      <c r="AG104" s="223" t="s">
        <v>3658</v>
      </c>
      <c r="AH104" s="116">
        <v>2025</v>
      </c>
      <c r="AI104" s="116">
        <v>4</v>
      </c>
      <c r="AJ104" s="223" t="s">
        <v>3659</v>
      </c>
      <c r="AK104" s="223" t="s">
        <v>34</v>
      </c>
      <c r="AL104" s="223"/>
      <c r="AM104" s="60">
        <v>20266363</v>
      </c>
    </row>
    <row r="105" spans="32:39">
      <c r="AF105" s="223" t="s">
        <v>3693</v>
      </c>
      <c r="AG105" s="223" t="s">
        <v>3658</v>
      </c>
      <c r="AH105" s="116">
        <v>2025</v>
      </c>
      <c r="AI105" s="116">
        <v>5</v>
      </c>
      <c r="AJ105" s="223" t="s">
        <v>3659</v>
      </c>
      <c r="AK105" s="223" t="s">
        <v>34</v>
      </c>
      <c r="AL105" s="223"/>
      <c r="AM105" s="60">
        <v>79331948</v>
      </c>
    </row>
    <row r="106" spans="32:39">
      <c r="AF106" s="223" t="s">
        <v>3693</v>
      </c>
      <c r="AG106" s="223" t="s">
        <v>3658</v>
      </c>
      <c r="AH106" s="116">
        <v>2025</v>
      </c>
      <c r="AI106" s="116">
        <v>6</v>
      </c>
      <c r="AJ106" s="223" t="s">
        <v>3659</v>
      </c>
      <c r="AK106" s="223" t="s">
        <v>34</v>
      </c>
      <c r="AL106" s="223"/>
      <c r="AM106" s="60">
        <v>32554032</v>
      </c>
    </row>
    <row r="107" spans="32:39">
      <c r="AF107" s="223" t="s">
        <v>3693</v>
      </c>
      <c r="AG107" s="223" t="s">
        <v>3660</v>
      </c>
      <c r="AH107" s="116">
        <v>2025</v>
      </c>
      <c r="AI107" s="116">
        <v>1</v>
      </c>
      <c r="AJ107" s="223" t="s">
        <v>3661</v>
      </c>
      <c r="AK107" s="223" t="s">
        <v>34</v>
      </c>
      <c r="AL107" s="223"/>
      <c r="AM107" s="60">
        <v>55239889</v>
      </c>
    </row>
    <row r="108" spans="32:39">
      <c r="AF108" s="223" t="s">
        <v>3693</v>
      </c>
      <c r="AG108" s="223" t="s">
        <v>3660</v>
      </c>
      <c r="AH108" s="116">
        <v>2025</v>
      </c>
      <c r="AI108" s="116">
        <v>2</v>
      </c>
      <c r="AJ108" s="223" t="s">
        <v>3661</v>
      </c>
      <c r="AK108" s="223" t="s">
        <v>34</v>
      </c>
      <c r="AL108" s="223"/>
      <c r="AM108" s="60">
        <v>38970804</v>
      </c>
    </row>
    <row r="109" spans="32:39">
      <c r="AF109" s="223" t="s">
        <v>3693</v>
      </c>
      <c r="AG109" s="223" t="s">
        <v>3660</v>
      </c>
      <c r="AH109" s="116">
        <v>2025</v>
      </c>
      <c r="AI109" s="116">
        <v>3</v>
      </c>
      <c r="AJ109" s="223" t="s">
        <v>3661</v>
      </c>
      <c r="AK109" s="223" t="s">
        <v>34</v>
      </c>
      <c r="AL109" s="223"/>
      <c r="AM109" s="60">
        <v>224646100</v>
      </c>
    </row>
    <row r="110" spans="32:39">
      <c r="AF110" s="223" t="s">
        <v>3693</v>
      </c>
      <c r="AG110" s="223" t="s">
        <v>3660</v>
      </c>
      <c r="AH110" s="116">
        <v>2025</v>
      </c>
      <c r="AI110" s="116">
        <v>4</v>
      </c>
      <c r="AJ110" s="223" t="s">
        <v>3661</v>
      </c>
      <c r="AK110" s="223" t="s">
        <v>34</v>
      </c>
      <c r="AL110" s="223"/>
      <c r="AM110" s="60">
        <v>59670696</v>
      </c>
    </row>
    <row r="111" spans="32:39">
      <c r="AF111" s="223" t="s">
        <v>3693</v>
      </c>
      <c r="AG111" s="223" t="s">
        <v>3660</v>
      </c>
      <c r="AH111" s="116">
        <v>2025</v>
      </c>
      <c r="AI111" s="116">
        <v>5</v>
      </c>
      <c r="AJ111" s="223" t="s">
        <v>3661</v>
      </c>
      <c r="AK111" s="223" t="s">
        <v>34</v>
      </c>
      <c r="AL111" s="223"/>
      <c r="AM111" s="60">
        <v>53077484</v>
      </c>
    </row>
    <row r="112" spans="32:39">
      <c r="AF112" s="223" t="s">
        <v>3693</v>
      </c>
      <c r="AG112" s="223" t="s">
        <v>3660</v>
      </c>
      <c r="AH112" s="116">
        <v>2025</v>
      </c>
      <c r="AI112" s="116">
        <v>6</v>
      </c>
      <c r="AJ112" s="223" t="s">
        <v>3661</v>
      </c>
      <c r="AK112" s="223" t="s">
        <v>34</v>
      </c>
      <c r="AL112" s="223"/>
      <c r="AM112" s="60">
        <v>52063776</v>
      </c>
    </row>
    <row r="113" spans="32:39">
      <c r="AF113" s="223" t="s">
        <v>3693</v>
      </c>
      <c r="AG113" s="223" t="s">
        <v>3662</v>
      </c>
      <c r="AH113" s="116">
        <v>2025</v>
      </c>
      <c r="AI113" s="116">
        <v>1</v>
      </c>
      <c r="AJ113" s="223" t="s">
        <v>3663</v>
      </c>
      <c r="AK113" s="223" t="s">
        <v>34</v>
      </c>
      <c r="AL113" s="223"/>
      <c r="AM113" s="60">
        <v>20500340</v>
      </c>
    </row>
    <row r="114" spans="32:39">
      <c r="AF114" s="223" t="s">
        <v>3693</v>
      </c>
      <c r="AG114" s="223" t="s">
        <v>3662</v>
      </c>
      <c r="AH114" s="116">
        <v>2025</v>
      </c>
      <c r="AI114" s="116">
        <v>2</v>
      </c>
      <c r="AJ114" s="223" t="s">
        <v>3663</v>
      </c>
      <c r="AK114" s="223" t="s">
        <v>34</v>
      </c>
      <c r="AL114" s="223"/>
      <c r="AM114" s="60">
        <v>19141573</v>
      </c>
    </row>
    <row r="115" spans="32:39">
      <c r="AF115" s="223" t="s">
        <v>3693</v>
      </c>
      <c r="AG115" s="223" t="s">
        <v>3662</v>
      </c>
      <c r="AH115" s="116">
        <v>2025</v>
      </c>
      <c r="AI115" s="116">
        <v>3</v>
      </c>
      <c r="AJ115" s="223" t="s">
        <v>3663</v>
      </c>
      <c r="AK115" s="223" t="s">
        <v>34</v>
      </c>
      <c r="AL115" s="223"/>
      <c r="AM115" s="60">
        <v>94891153</v>
      </c>
    </row>
    <row r="116" spans="32:39">
      <c r="AF116" s="223" t="s">
        <v>3693</v>
      </c>
      <c r="AG116" s="223" t="s">
        <v>3662</v>
      </c>
      <c r="AH116" s="116">
        <v>2025</v>
      </c>
      <c r="AI116" s="116">
        <v>4</v>
      </c>
      <c r="AJ116" s="223" t="s">
        <v>3663</v>
      </c>
      <c r="AK116" s="223" t="s">
        <v>34</v>
      </c>
      <c r="AL116" s="223"/>
      <c r="AM116" s="60">
        <v>21883883</v>
      </c>
    </row>
    <row r="117" spans="32:39">
      <c r="AF117" s="223" t="s">
        <v>3693</v>
      </c>
      <c r="AG117" s="223" t="s">
        <v>3662</v>
      </c>
      <c r="AH117" s="116">
        <v>2025</v>
      </c>
      <c r="AI117" s="116">
        <v>5</v>
      </c>
      <c r="AJ117" s="223" t="s">
        <v>3663</v>
      </c>
      <c r="AK117" s="223" t="s">
        <v>34</v>
      </c>
      <c r="AL117" s="223"/>
      <c r="AM117" s="60">
        <v>17577468</v>
      </c>
    </row>
    <row r="118" spans="32:39">
      <c r="AF118" s="223" t="s">
        <v>3693</v>
      </c>
      <c r="AG118" s="223" t="s">
        <v>3662</v>
      </c>
      <c r="AH118" s="116">
        <v>2025</v>
      </c>
      <c r="AI118" s="116">
        <v>6</v>
      </c>
      <c r="AJ118" s="223" t="s">
        <v>3663</v>
      </c>
      <c r="AK118" s="223" t="s">
        <v>34</v>
      </c>
      <c r="AL118" s="223"/>
      <c r="AM118" s="60">
        <v>18285014</v>
      </c>
    </row>
    <row r="119" spans="32:39">
      <c r="AF119" s="223" t="s">
        <v>3693</v>
      </c>
      <c r="AG119" s="223" t="s">
        <v>3664</v>
      </c>
      <c r="AH119" s="116">
        <v>2025</v>
      </c>
      <c r="AI119" s="116">
        <v>1</v>
      </c>
      <c r="AJ119" s="223" t="s">
        <v>3665</v>
      </c>
      <c r="AK119" s="223" t="s">
        <v>34</v>
      </c>
      <c r="AL119" s="223"/>
      <c r="AM119" s="60">
        <v>3231898</v>
      </c>
    </row>
    <row r="120" spans="32:39">
      <c r="AF120" s="223" t="s">
        <v>3693</v>
      </c>
      <c r="AG120" s="223" t="s">
        <v>3664</v>
      </c>
      <c r="AH120" s="116">
        <v>2025</v>
      </c>
      <c r="AI120" s="116">
        <v>2</v>
      </c>
      <c r="AJ120" s="223" t="s">
        <v>3665</v>
      </c>
      <c r="AK120" s="223" t="s">
        <v>34</v>
      </c>
      <c r="AL120" s="223"/>
      <c r="AM120" s="60">
        <v>2936494</v>
      </c>
    </row>
    <row r="121" spans="32:39">
      <c r="AF121" s="223" t="s">
        <v>3693</v>
      </c>
      <c r="AG121" s="223" t="s">
        <v>3664</v>
      </c>
      <c r="AH121" s="116">
        <v>2025</v>
      </c>
      <c r="AI121" s="116">
        <v>3</v>
      </c>
      <c r="AJ121" s="223" t="s">
        <v>3665</v>
      </c>
      <c r="AK121" s="223" t="s">
        <v>34</v>
      </c>
      <c r="AL121" s="223"/>
      <c r="AM121" s="60">
        <v>11635706</v>
      </c>
    </row>
    <row r="122" spans="32:39">
      <c r="AF122" s="223" t="s">
        <v>3693</v>
      </c>
      <c r="AG122" s="223" t="s">
        <v>3664</v>
      </c>
      <c r="AH122" s="116">
        <v>2025</v>
      </c>
      <c r="AI122" s="116">
        <v>4</v>
      </c>
      <c r="AJ122" s="223" t="s">
        <v>3665</v>
      </c>
      <c r="AK122" s="223" t="s">
        <v>34</v>
      </c>
      <c r="AL122" s="223"/>
      <c r="AM122" s="60">
        <v>5601435</v>
      </c>
    </row>
    <row r="123" spans="32:39">
      <c r="AF123" s="223" t="s">
        <v>3693</v>
      </c>
      <c r="AG123" s="223" t="s">
        <v>3664</v>
      </c>
      <c r="AH123" s="116">
        <v>2025</v>
      </c>
      <c r="AI123" s="116">
        <v>5</v>
      </c>
      <c r="AJ123" s="223" t="s">
        <v>3665</v>
      </c>
      <c r="AK123" s="223" t="s">
        <v>34</v>
      </c>
      <c r="AL123" s="223"/>
      <c r="AM123" s="60">
        <v>4623378</v>
      </c>
    </row>
    <row r="124" spans="32:39">
      <c r="AF124" s="223" t="s">
        <v>3693</v>
      </c>
      <c r="AG124" s="223" t="s">
        <v>3664</v>
      </c>
      <c r="AH124" s="116">
        <v>2025</v>
      </c>
      <c r="AI124" s="116">
        <v>6</v>
      </c>
      <c r="AJ124" s="223" t="s">
        <v>3665</v>
      </c>
      <c r="AK124" s="223" t="s">
        <v>34</v>
      </c>
      <c r="AL124" s="223"/>
      <c r="AM124" s="60">
        <v>4010198</v>
      </c>
    </row>
    <row r="125" spans="32:39">
      <c r="AF125" s="223" t="s">
        <v>3693</v>
      </c>
      <c r="AG125" s="223" t="s">
        <v>3666</v>
      </c>
      <c r="AH125" s="116">
        <v>2025</v>
      </c>
      <c r="AI125" s="116">
        <v>1</v>
      </c>
      <c r="AJ125" s="223" t="s">
        <v>3667</v>
      </c>
      <c r="AK125" s="223" t="s">
        <v>34</v>
      </c>
      <c r="AL125" s="223"/>
      <c r="AM125" s="60">
        <v>5818050</v>
      </c>
    </row>
    <row r="126" spans="32:39">
      <c r="AF126" s="223" t="s">
        <v>3693</v>
      </c>
      <c r="AG126" s="223" t="s">
        <v>3666</v>
      </c>
      <c r="AH126" s="116">
        <v>2025</v>
      </c>
      <c r="AI126" s="116">
        <v>2</v>
      </c>
      <c r="AJ126" s="223" t="s">
        <v>3667</v>
      </c>
      <c r="AK126" s="223" t="s">
        <v>34</v>
      </c>
      <c r="AL126" s="223"/>
      <c r="AM126" s="60">
        <v>5977109</v>
      </c>
    </row>
    <row r="127" spans="32:39">
      <c r="AF127" s="223" t="s">
        <v>3693</v>
      </c>
      <c r="AG127" s="223" t="s">
        <v>3666</v>
      </c>
      <c r="AH127" s="116">
        <v>2025</v>
      </c>
      <c r="AI127" s="116">
        <v>3</v>
      </c>
      <c r="AJ127" s="223" t="s">
        <v>3667</v>
      </c>
      <c r="AK127" s="223" t="s">
        <v>34</v>
      </c>
      <c r="AL127" s="223"/>
      <c r="AM127" s="60">
        <v>176445173</v>
      </c>
    </row>
    <row r="128" spans="32:39">
      <c r="AF128" s="223" t="s">
        <v>3693</v>
      </c>
      <c r="AG128" s="223" t="s">
        <v>3666</v>
      </c>
      <c r="AH128" s="116">
        <v>2025</v>
      </c>
      <c r="AI128" s="116">
        <v>4</v>
      </c>
      <c r="AJ128" s="223" t="s">
        <v>3667</v>
      </c>
      <c r="AK128" s="223" t="s">
        <v>34</v>
      </c>
      <c r="AL128" s="223"/>
      <c r="AM128" s="60">
        <v>1069641903</v>
      </c>
    </row>
    <row r="129" spans="32:39">
      <c r="AF129" s="223" t="s">
        <v>3693</v>
      </c>
      <c r="AG129" s="223" t="s">
        <v>3666</v>
      </c>
      <c r="AH129" s="116">
        <v>2025</v>
      </c>
      <c r="AI129" s="116">
        <v>5</v>
      </c>
      <c r="AJ129" s="223" t="s">
        <v>3667</v>
      </c>
      <c r="AK129" s="223" t="s">
        <v>34</v>
      </c>
      <c r="AL129" s="223"/>
      <c r="AM129" s="60">
        <v>904727457</v>
      </c>
    </row>
    <row r="130" spans="32:39">
      <c r="AF130" s="223" t="s">
        <v>3693</v>
      </c>
      <c r="AG130" s="223" t="s">
        <v>3666</v>
      </c>
      <c r="AH130" s="116">
        <v>2025</v>
      </c>
      <c r="AI130" s="116">
        <v>6</v>
      </c>
      <c r="AJ130" s="223" t="s">
        <v>3667</v>
      </c>
      <c r="AK130" s="223" t="s">
        <v>34</v>
      </c>
      <c r="AL130" s="223"/>
      <c r="AM130" s="60">
        <v>826721366</v>
      </c>
    </row>
    <row r="131" spans="32:39">
      <c r="AF131" s="223" t="s">
        <v>3693</v>
      </c>
      <c r="AG131" s="223" t="s">
        <v>3668</v>
      </c>
      <c r="AH131" s="116">
        <v>2025</v>
      </c>
      <c r="AI131" s="116">
        <v>1</v>
      </c>
      <c r="AJ131" s="223" t="s">
        <v>3669</v>
      </c>
      <c r="AK131" s="223" t="s">
        <v>34</v>
      </c>
      <c r="AL131" s="223"/>
      <c r="AM131" s="60">
        <v>84440650</v>
      </c>
    </row>
    <row r="132" spans="32:39">
      <c r="AF132" s="223" t="s">
        <v>3693</v>
      </c>
      <c r="AG132" s="223" t="s">
        <v>3668</v>
      </c>
      <c r="AH132" s="116">
        <v>2025</v>
      </c>
      <c r="AI132" s="116">
        <v>2</v>
      </c>
      <c r="AJ132" s="223" t="s">
        <v>3669</v>
      </c>
      <c r="AK132" s="223" t="s">
        <v>34</v>
      </c>
      <c r="AL132" s="223"/>
      <c r="AM132" s="60">
        <v>62562102</v>
      </c>
    </row>
    <row r="133" spans="32:39">
      <c r="AF133" s="223" t="s">
        <v>3693</v>
      </c>
      <c r="AG133" s="223" t="s">
        <v>3668</v>
      </c>
      <c r="AH133" s="116">
        <v>2025</v>
      </c>
      <c r="AI133" s="116">
        <v>3</v>
      </c>
      <c r="AJ133" s="223" t="s">
        <v>3669</v>
      </c>
      <c r="AK133" s="223" t="s">
        <v>34</v>
      </c>
      <c r="AL133" s="223"/>
      <c r="AM133" s="60">
        <v>181623321</v>
      </c>
    </row>
    <row r="134" spans="32:39">
      <c r="AF134" s="223" t="s">
        <v>3693</v>
      </c>
      <c r="AG134" s="223" t="s">
        <v>3668</v>
      </c>
      <c r="AH134" s="116">
        <v>2025</v>
      </c>
      <c r="AI134" s="116">
        <v>4</v>
      </c>
      <c r="AJ134" s="223" t="s">
        <v>3669</v>
      </c>
      <c r="AK134" s="223" t="s">
        <v>34</v>
      </c>
      <c r="AL134" s="223"/>
      <c r="AM134" s="60">
        <v>247294760</v>
      </c>
    </row>
    <row r="135" spans="32:39">
      <c r="AF135" s="223" t="s">
        <v>3693</v>
      </c>
      <c r="AG135" s="223" t="s">
        <v>3668</v>
      </c>
      <c r="AH135" s="116">
        <v>2025</v>
      </c>
      <c r="AI135" s="116">
        <v>5</v>
      </c>
      <c r="AJ135" s="223" t="s">
        <v>3669</v>
      </c>
      <c r="AK135" s="223" t="s">
        <v>34</v>
      </c>
      <c r="AL135" s="223"/>
      <c r="AM135" s="60">
        <v>238464551</v>
      </c>
    </row>
    <row r="136" spans="32:39">
      <c r="AF136" s="223" t="s">
        <v>3693</v>
      </c>
      <c r="AG136" s="223" t="s">
        <v>3668</v>
      </c>
      <c r="AH136" s="116">
        <v>2025</v>
      </c>
      <c r="AI136" s="116">
        <v>6</v>
      </c>
      <c r="AJ136" s="223" t="s">
        <v>3669</v>
      </c>
      <c r="AK136" s="223" t="s">
        <v>34</v>
      </c>
      <c r="AL136" s="223"/>
      <c r="AM136" s="60">
        <v>191536478</v>
      </c>
    </row>
    <row r="137" spans="32:39">
      <c r="AF137" s="223" t="s">
        <v>3693</v>
      </c>
      <c r="AG137" s="223" t="s">
        <v>3670</v>
      </c>
      <c r="AH137" s="116">
        <v>2025</v>
      </c>
      <c r="AI137" s="116">
        <v>1</v>
      </c>
      <c r="AJ137" s="223" t="s">
        <v>3671</v>
      </c>
      <c r="AK137" s="223" t="s">
        <v>34</v>
      </c>
      <c r="AL137" s="223"/>
      <c r="AM137" s="60">
        <v>118987719</v>
      </c>
    </row>
    <row r="138" spans="32:39">
      <c r="AF138" s="223" t="s">
        <v>3693</v>
      </c>
      <c r="AG138" s="223" t="s">
        <v>3670</v>
      </c>
      <c r="AH138" s="116">
        <v>2025</v>
      </c>
      <c r="AI138" s="116">
        <v>2</v>
      </c>
      <c r="AJ138" s="223" t="s">
        <v>3671</v>
      </c>
      <c r="AK138" s="223" t="s">
        <v>34</v>
      </c>
      <c r="AL138" s="223"/>
      <c r="AM138" s="60">
        <v>93847513</v>
      </c>
    </row>
    <row r="139" spans="32:39">
      <c r="AF139" s="223" t="s">
        <v>3693</v>
      </c>
      <c r="AG139" s="223" t="s">
        <v>3670</v>
      </c>
      <c r="AH139" s="116">
        <v>2025</v>
      </c>
      <c r="AI139" s="116">
        <v>3</v>
      </c>
      <c r="AJ139" s="223" t="s">
        <v>3671</v>
      </c>
      <c r="AK139" s="223" t="s">
        <v>34</v>
      </c>
      <c r="AL139" s="223"/>
      <c r="AM139" s="60">
        <v>286778338</v>
      </c>
    </row>
    <row r="140" spans="32:39">
      <c r="AF140" s="223" t="s">
        <v>3693</v>
      </c>
      <c r="AG140" s="223" t="s">
        <v>3670</v>
      </c>
      <c r="AH140" s="116">
        <v>2025</v>
      </c>
      <c r="AI140" s="116">
        <v>4</v>
      </c>
      <c r="AJ140" s="223" t="s">
        <v>3671</v>
      </c>
      <c r="AK140" s="223" t="s">
        <v>34</v>
      </c>
      <c r="AL140" s="223"/>
      <c r="AM140" s="60">
        <v>190287508</v>
      </c>
    </row>
    <row r="141" spans="32:39">
      <c r="AF141" s="223" t="s">
        <v>3693</v>
      </c>
      <c r="AG141" s="223" t="s">
        <v>3670</v>
      </c>
      <c r="AH141" s="116">
        <v>2025</v>
      </c>
      <c r="AI141" s="116">
        <v>5</v>
      </c>
      <c r="AJ141" s="223" t="s">
        <v>3671</v>
      </c>
      <c r="AK141" s="223" t="s">
        <v>34</v>
      </c>
      <c r="AL141" s="223"/>
      <c r="AM141" s="60">
        <v>208223942</v>
      </c>
    </row>
    <row r="142" spans="32:39">
      <c r="AF142" s="223" t="s">
        <v>3693</v>
      </c>
      <c r="AG142" s="223" t="s">
        <v>3670</v>
      </c>
      <c r="AH142" s="116">
        <v>2025</v>
      </c>
      <c r="AI142" s="116">
        <v>6</v>
      </c>
      <c r="AJ142" s="223" t="s">
        <v>3671</v>
      </c>
      <c r="AK142" s="223" t="s">
        <v>34</v>
      </c>
      <c r="AL142" s="223"/>
      <c r="AM142" s="60">
        <v>166361432</v>
      </c>
    </row>
    <row r="143" spans="32:39">
      <c r="AF143" s="223" t="s">
        <v>3693</v>
      </c>
      <c r="AG143" s="223" t="s">
        <v>3672</v>
      </c>
      <c r="AH143" s="116">
        <v>2025</v>
      </c>
      <c r="AI143" s="116">
        <v>1</v>
      </c>
      <c r="AJ143" s="223" t="s">
        <v>3673</v>
      </c>
      <c r="AK143" s="223" t="s">
        <v>34</v>
      </c>
      <c r="AL143" s="223"/>
      <c r="AM143" s="60">
        <v>17754928</v>
      </c>
    </row>
    <row r="144" spans="32:39">
      <c r="AF144" s="223" t="s">
        <v>3693</v>
      </c>
      <c r="AG144" s="223" t="s">
        <v>3672</v>
      </c>
      <c r="AH144" s="116">
        <v>2025</v>
      </c>
      <c r="AI144" s="116">
        <v>2</v>
      </c>
      <c r="AJ144" s="223" t="s">
        <v>3673</v>
      </c>
      <c r="AK144" s="223" t="s">
        <v>34</v>
      </c>
      <c r="AL144" s="223"/>
      <c r="AM144" s="60">
        <v>19500939</v>
      </c>
    </row>
    <row r="145" spans="32:39">
      <c r="AF145" s="223" t="s">
        <v>3693</v>
      </c>
      <c r="AG145" s="223" t="s">
        <v>3672</v>
      </c>
      <c r="AH145" s="116">
        <v>2025</v>
      </c>
      <c r="AI145" s="116">
        <v>3</v>
      </c>
      <c r="AJ145" s="223" t="s">
        <v>3673</v>
      </c>
      <c r="AK145" s="223" t="s">
        <v>34</v>
      </c>
      <c r="AL145" s="223"/>
      <c r="AM145" s="60">
        <v>188891844</v>
      </c>
    </row>
    <row r="146" spans="32:39">
      <c r="AF146" s="223" t="s">
        <v>3693</v>
      </c>
      <c r="AG146" s="223" t="s">
        <v>3672</v>
      </c>
      <c r="AH146" s="116">
        <v>2025</v>
      </c>
      <c r="AI146" s="116">
        <v>4</v>
      </c>
      <c r="AJ146" s="223" t="s">
        <v>3673</v>
      </c>
      <c r="AK146" s="223" t="s">
        <v>34</v>
      </c>
      <c r="AL146" s="223"/>
      <c r="AM146" s="60">
        <v>131909145</v>
      </c>
    </row>
    <row r="147" spans="32:39">
      <c r="AF147" s="223" t="s">
        <v>3693</v>
      </c>
      <c r="AG147" s="223" t="s">
        <v>3672</v>
      </c>
      <c r="AH147" s="116">
        <v>2025</v>
      </c>
      <c r="AI147" s="116">
        <v>5</v>
      </c>
      <c r="AJ147" s="223" t="s">
        <v>3673</v>
      </c>
      <c r="AK147" s="223" t="s">
        <v>34</v>
      </c>
      <c r="AL147" s="223"/>
      <c r="AM147" s="60">
        <v>137215407</v>
      </c>
    </row>
    <row r="148" spans="32:39">
      <c r="AF148" s="223" t="s">
        <v>3693</v>
      </c>
      <c r="AG148" s="223" t="s">
        <v>3672</v>
      </c>
      <c r="AH148" s="116">
        <v>2025</v>
      </c>
      <c r="AI148" s="116">
        <v>6</v>
      </c>
      <c r="AJ148" s="223" t="s">
        <v>3673</v>
      </c>
      <c r="AK148" s="223" t="s">
        <v>34</v>
      </c>
      <c r="AL148" s="223"/>
      <c r="AM148" s="60">
        <v>119872026</v>
      </c>
    </row>
    <row r="149" spans="32:39">
      <c r="AF149" s="223" t="s">
        <v>3693</v>
      </c>
      <c r="AG149" s="223" t="s">
        <v>3674</v>
      </c>
      <c r="AH149" s="116">
        <v>2025</v>
      </c>
      <c r="AI149" s="116">
        <v>1</v>
      </c>
      <c r="AJ149" s="223" t="s">
        <v>3675</v>
      </c>
      <c r="AK149" s="223" t="s">
        <v>34</v>
      </c>
      <c r="AL149" s="223"/>
      <c r="AM149" s="60">
        <v>157404597</v>
      </c>
    </row>
    <row r="150" spans="32:39">
      <c r="AF150" s="223" t="s">
        <v>3693</v>
      </c>
      <c r="AG150" s="223" t="s">
        <v>1782</v>
      </c>
      <c r="AH150" s="116">
        <v>2025</v>
      </c>
      <c r="AI150" s="116">
        <v>1</v>
      </c>
      <c r="AJ150" s="223" t="s">
        <v>3627</v>
      </c>
      <c r="AK150" s="223" t="s">
        <v>34</v>
      </c>
      <c r="AL150" s="223"/>
      <c r="AM150" s="60">
        <v>5332336</v>
      </c>
    </row>
    <row r="151" spans="32:39">
      <c r="AF151" s="223" t="s">
        <v>3693</v>
      </c>
      <c r="AG151" s="223" t="s">
        <v>3674</v>
      </c>
      <c r="AH151" s="116">
        <v>2025</v>
      </c>
      <c r="AI151" s="116">
        <v>3</v>
      </c>
      <c r="AJ151" s="223" t="s">
        <v>3675</v>
      </c>
      <c r="AK151" s="223" t="s">
        <v>34</v>
      </c>
      <c r="AL151" s="223"/>
      <c r="AM151" s="60">
        <v>128866981</v>
      </c>
    </row>
    <row r="152" spans="32:39">
      <c r="AF152" s="223" t="s">
        <v>3693</v>
      </c>
      <c r="AG152" s="223" t="s">
        <v>3674</v>
      </c>
      <c r="AH152" s="116">
        <v>2025</v>
      </c>
      <c r="AI152" s="116">
        <v>4</v>
      </c>
      <c r="AJ152" s="223" t="s">
        <v>3675</v>
      </c>
      <c r="AK152" s="223" t="s">
        <v>34</v>
      </c>
      <c r="AL152" s="223"/>
      <c r="AM152" s="60">
        <v>82226337</v>
      </c>
    </row>
    <row r="153" spans="32:39">
      <c r="AF153" s="223" t="s">
        <v>3693</v>
      </c>
      <c r="AG153" s="223" t="s">
        <v>3674</v>
      </c>
      <c r="AH153" s="116">
        <v>2025</v>
      </c>
      <c r="AI153" s="116">
        <v>5</v>
      </c>
      <c r="AJ153" s="223" t="s">
        <v>3675</v>
      </c>
      <c r="AK153" s="223" t="s">
        <v>34</v>
      </c>
      <c r="AL153" s="223"/>
      <c r="AM153" s="60">
        <v>80370584</v>
      </c>
    </row>
    <row r="154" spans="32:39">
      <c r="AF154" s="223" t="s">
        <v>3693</v>
      </c>
      <c r="AG154" s="223" t="s">
        <v>3674</v>
      </c>
      <c r="AH154" s="116">
        <v>2025</v>
      </c>
      <c r="AI154" s="116">
        <v>6</v>
      </c>
      <c r="AJ154" s="223" t="s">
        <v>3675</v>
      </c>
      <c r="AK154" s="223" t="s">
        <v>34</v>
      </c>
      <c r="AL154" s="223"/>
      <c r="AM154" s="60">
        <v>85430610</v>
      </c>
    </row>
    <row r="155" spans="32:39">
      <c r="AF155" s="223" t="s">
        <v>3693</v>
      </c>
      <c r="AG155" s="223" t="s">
        <v>3676</v>
      </c>
      <c r="AH155" s="116">
        <v>2025</v>
      </c>
      <c r="AI155" s="116">
        <v>1</v>
      </c>
      <c r="AJ155" s="223" t="s">
        <v>3677</v>
      </c>
      <c r="AK155" s="223" t="s">
        <v>34</v>
      </c>
      <c r="AL155" s="223"/>
      <c r="AM155" s="60">
        <v>497590529</v>
      </c>
    </row>
    <row r="156" spans="32:39">
      <c r="AF156" s="223" t="s">
        <v>3693</v>
      </c>
      <c r="AG156" s="223" t="s">
        <v>3676</v>
      </c>
      <c r="AH156" s="116">
        <v>2025</v>
      </c>
      <c r="AI156" s="116">
        <v>2</v>
      </c>
      <c r="AJ156" s="223" t="s">
        <v>3677</v>
      </c>
      <c r="AK156" s="223" t="s">
        <v>34</v>
      </c>
      <c r="AL156" s="223"/>
      <c r="AM156" s="60">
        <v>436645788</v>
      </c>
    </row>
    <row r="157" spans="32:39">
      <c r="AF157" s="223" t="s">
        <v>3693</v>
      </c>
      <c r="AG157" s="223" t="s">
        <v>3676</v>
      </c>
      <c r="AH157" s="116">
        <v>2025</v>
      </c>
      <c r="AI157" s="116">
        <v>3</v>
      </c>
      <c r="AJ157" s="223" t="s">
        <v>3677</v>
      </c>
      <c r="AK157" s="223" t="s">
        <v>34</v>
      </c>
      <c r="AL157" s="223"/>
      <c r="AM157" s="60">
        <v>715737137</v>
      </c>
    </row>
    <row r="158" spans="32:39">
      <c r="AF158" s="223" t="s">
        <v>3693</v>
      </c>
      <c r="AG158" s="223" t="s">
        <v>3676</v>
      </c>
      <c r="AH158" s="116">
        <v>2025</v>
      </c>
      <c r="AI158" s="116">
        <v>4</v>
      </c>
      <c r="AJ158" s="223" t="s">
        <v>3677</v>
      </c>
      <c r="AK158" s="223" t="s">
        <v>34</v>
      </c>
      <c r="AL158" s="223"/>
      <c r="AM158" s="60">
        <v>765782649</v>
      </c>
    </row>
    <row r="159" spans="32:39">
      <c r="AF159" s="223" t="s">
        <v>3693</v>
      </c>
      <c r="AG159" s="223" t="s">
        <v>3676</v>
      </c>
      <c r="AH159" s="116">
        <v>2025</v>
      </c>
      <c r="AI159" s="116">
        <v>5</v>
      </c>
      <c r="AJ159" s="223" t="s">
        <v>3677</v>
      </c>
      <c r="AK159" s="223" t="s">
        <v>34</v>
      </c>
      <c r="AL159" s="223"/>
      <c r="AM159" s="60">
        <v>443195996</v>
      </c>
    </row>
    <row r="160" spans="32:39">
      <c r="AF160" s="223" t="s">
        <v>3693</v>
      </c>
      <c r="AG160" s="223" t="s">
        <v>3676</v>
      </c>
      <c r="AH160" s="116">
        <v>2025</v>
      </c>
      <c r="AI160" s="116">
        <v>6</v>
      </c>
      <c r="AJ160" s="223" t="s">
        <v>3677</v>
      </c>
      <c r="AK160" s="223" t="s">
        <v>34</v>
      </c>
      <c r="AL160" s="223"/>
      <c r="AM160" s="60">
        <v>453544047</v>
      </c>
    </row>
    <row r="161" spans="32:39">
      <c r="AF161" s="223" t="s">
        <v>3693</v>
      </c>
      <c r="AG161" s="223" t="s">
        <v>3678</v>
      </c>
      <c r="AH161" s="116">
        <v>2025</v>
      </c>
      <c r="AI161" s="116">
        <v>1</v>
      </c>
      <c r="AJ161" s="223" t="s">
        <v>3679</v>
      </c>
      <c r="AK161" s="223" t="s">
        <v>34</v>
      </c>
      <c r="AL161" s="223"/>
      <c r="AM161" s="60">
        <v>92258</v>
      </c>
    </row>
    <row r="162" spans="32:39">
      <c r="AF162" s="223" t="s">
        <v>3693</v>
      </c>
      <c r="AG162" s="223" t="s">
        <v>3678</v>
      </c>
      <c r="AH162" s="116">
        <v>2025</v>
      </c>
      <c r="AI162" s="116">
        <v>2</v>
      </c>
      <c r="AJ162" s="223" t="s">
        <v>3679</v>
      </c>
      <c r="AK162" s="223" t="s">
        <v>34</v>
      </c>
      <c r="AL162" s="223"/>
      <c r="AM162" s="60">
        <v>103062</v>
      </c>
    </row>
    <row r="163" spans="32:39">
      <c r="AF163" s="223" t="s">
        <v>3693</v>
      </c>
      <c r="AG163" s="223" t="s">
        <v>3678</v>
      </c>
      <c r="AH163" s="116">
        <v>2025</v>
      </c>
      <c r="AI163" s="116">
        <v>3</v>
      </c>
      <c r="AJ163" s="223" t="s">
        <v>3679</v>
      </c>
      <c r="AK163" s="223" t="s">
        <v>34</v>
      </c>
      <c r="AL163" s="223"/>
      <c r="AM163" s="60">
        <v>8272737</v>
      </c>
    </row>
    <row r="164" spans="32:39">
      <c r="AF164" s="223" t="s">
        <v>3693</v>
      </c>
      <c r="AG164" s="223" t="s">
        <v>3678</v>
      </c>
      <c r="AH164" s="116">
        <v>2025</v>
      </c>
      <c r="AI164" s="116">
        <v>4</v>
      </c>
      <c r="AJ164" s="223" t="s">
        <v>3679</v>
      </c>
      <c r="AK164" s="223" t="s">
        <v>34</v>
      </c>
      <c r="AL164" s="223"/>
      <c r="AM164" s="60">
        <v>27646238</v>
      </c>
    </row>
    <row r="165" spans="32:39">
      <c r="AF165" s="223" t="s">
        <v>3693</v>
      </c>
      <c r="AG165" s="223" t="s">
        <v>3678</v>
      </c>
      <c r="AH165" s="116">
        <v>2025</v>
      </c>
      <c r="AI165" s="116">
        <v>5</v>
      </c>
      <c r="AJ165" s="223" t="s">
        <v>3679</v>
      </c>
      <c r="AK165" s="223" t="s">
        <v>34</v>
      </c>
      <c r="AL165" s="223"/>
      <c r="AM165" s="60">
        <v>27310118</v>
      </c>
    </row>
    <row r="166" spans="32:39">
      <c r="AF166" s="223" t="s">
        <v>3693</v>
      </c>
      <c r="AG166" s="223" t="s">
        <v>3678</v>
      </c>
      <c r="AH166" s="116">
        <v>2025</v>
      </c>
      <c r="AI166" s="116">
        <v>6</v>
      </c>
      <c r="AJ166" s="223" t="s">
        <v>3679</v>
      </c>
      <c r="AK166" s="223" t="s">
        <v>34</v>
      </c>
      <c r="AL166" s="223"/>
      <c r="AM166" s="60">
        <v>26749236</v>
      </c>
    </row>
    <row r="167" spans="32:39">
      <c r="AF167" s="223" t="s">
        <v>3693</v>
      </c>
      <c r="AG167" s="223" t="s">
        <v>3680</v>
      </c>
      <c r="AH167" s="116">
        <v>2025</v>
      </c>
      <c r="AI167" s="116">
        <v>1</v>
      </c>
      <c r="AJ167" s="223" t="s">
        <v>3681</v>
      </c>
      <c r="AK167" s="223" t="s">
        <v>34</v>
      </c>
      <c r="AL167" s="223"/>
      <c r="AM167" s="60">
        <v>11866399</v>
      </c>
    </row>
    <row r="168" spans="32:39">
      <c r="AF168" s="223" t="s">
        <v>3693</v>
      </c>
      <c r="AG168" s="223" t="s">
        <v>3680</v>
      </c>
      <c r="AH168" s="116">
        <v>2025</v>
      </c>
      <c r="AI168" s="116">
        <v>2</v>
      </c>
      <c r="AJ168" s="223" t="s">
        <v>3681</v>
      </c>
      <c r="AK168" s="223" t="s">
        <v>34</v>
      </c>
      <c r="AL168" s="223"/>
      <c r="AM168" s="60">
        <v>10824321</v>
      </c>
    </row>
    <row r="169" spans="32:39">
      <c r="AF169" s="223" t="s">
        <v>3693</v>
      </c>
      <c r="AG169" s="223" t="s">
        <v>3680</v>
      </c>
      <c r="AH169" s="116">
        <v>2025</v>
      </c>
      <c r="AI169" s="116">
        <v>3</v>
      </c>
      <c r="AJ169" s="223" t="s">
        <v>3681</v>
      </c>
      <c r="AK169" s="223" t="s">
        <v>34</v>
      </c>
      <c r="AL169" s="223"/>
      <c r="AM169" s="60">
        <v>30786471</v>
      </c>
    </row>
    <row r="170" spans="32:39">
      <c r="AF170" s="223" t="s">
        <v>3693</v>
      </c>
      <c r="AG170" s="223" t="s">
        <v>3680</v>
      </c>
      <c r="AH170" s="116">
        <v>2025</v>
      </c>
      <c r="AI170" s="116">
        <v>4</v>
      </c>
      <c r="AJ170" s="223" t="s">
        <v>3681</v>
      </c>
      <c r="AK170" s="223" t="s">
        <v>34</v>
      </c>
      <c r="AL170" s="223"/>
      <c r="AM170" s="60">
        <v>16464586</v>
      </c>
    </row>
    <row r="171" spans="32:39">
      <c r="AF171" s="223" t="s">
        <v>3693</v>
      </c>
      <c r="AG171" s="223" t="s">
        <v>3680</v>
      </c>
      <c r="AH171" s="116">
        <v>2025</v>
      </c>
      <c r="AI171" s="116">
        <v>5</v>
      </c>
      <c r="AJ171" s="223" t="s">
        <v>3681</v>
      </c>
      <c r="AK171" s="223" t="s">
        <v>34</v>
      </c>
      <c r="AL171" s="223"/>
      <c r="AM171" s="60">
        <v>14865367</v>
      </c>
    </row>
    <row r="172" spans="32:39">
      <c r="AF172" s="223" t="s">
        <v>3693</v>
      </c>
      <c r="AG172" s="223" t="s">
        <v>3680</v>
      </c>
      <c r="AH172" s="116">
        <v>2025</v>
      </c>
      <c r="AI172" s="116">
        <v>6</v>
      </c>
      <c r="AJ172" s="223" t="s">
        <v>3681</v>
      </c>
      <c r="AK172" s="223" t="s">
        <v>34</v>
      </c>
      <c r="AL172" s="223"/>
      <c r="AM172" s="60">
        <v>12839301</v>
      </c>
    </row>
    <row r="173" spans="32:39">
      <c r="AF173" s="223" t="s">
        <v>3693</v>
      </c>
      <c r="AG173" s="223" t="s">
        <v>3682</v>
      </c>
      <c r="AH173" s="116">
        <v>2025</v>
      </c>
      <c r="AI173" s="116">
        <v>1</v>
      </c>
      <c r="AJ173" s="223" t="s">
        <v>3683</v>
      </c>
      <c r="AK173" s="223" t="s">
        <v>34</v>
      </c>
      <c r="AL173" s="223"/>
      <c r="AM173" s="60">
        <v>0</v>
      </c>
    </row>
    <row r="174" spans="32:39">
      <c r="AF174" s="223" t="s">
        <v>3693</v>
      </c>
      <c r="AG174" s="223" t="s">
        <v>3682</v>
      </c>
      <c r="AH174" s="116">
        <v>2025</v>
      </c>
      <c r="AI174" s="116">
        <v>2</v>
      </c>
      <c r="AJ174" s="223" t="s">
        <v>3683</v>
      </c>
      <c r="AK174" s="223" t="s">
        <v>34</v>
      </c>
      <c r="AL174" s="223"/>
      <c r="AM174" s="60">
        <v>0</v>
      </c>
    </row>
    <row r="175" spans="32:39">
      <c r="AF175" s="223" t="s">
        <v>3693</v>
      </c>
      <c r="AG175" s="223" t="s">
        <v>3682</v>
      </c>
      <c r="AH175" s="116">
        <v>2025</v>
      </c>
      <c r="AI175" s="116">
        <v>3</v>
      </c>
      <c r="AJ175" s="223" t="s">
        <v>3683</v>
      </c>
      <c r="AK175" s="223" t="s">
        <v>34</v>
      </c>
      <c r="AL175" s="223"/>
      <c r="AM175" s="60">
        <v>3351890</v>
      </c>
    </row>
    <row r="176" spans="32:39">
      <c r="AF176" s="223" t="s">
        <v>3693</v>
      </c>
      <c r="AG176" s="223" t="s">
        <v>3682</v>
      </c>
      <c r="AH176" s="116">
        <v>2025</v>
      </c>
      <c r="AI176" s="116">
        <v>4</v>
      </c>
      <c r="AJ176" s="223" t="s">
        <v>3683</v>
      </c>
      <c r="AK176" s="223" t="s">
        <v>34</v>
      </c>
      <c r="AL176" s="223"/>
      <c r="AM176" s="60">
        <v>2197098</v>
      </c>
    </row>
    <row r="177" spans="32:39">
      <c r="AF177" s="223" t="s">
        <v>3693</v>
      </c>
      <c r="AG177" s="223" t="s">
        <v>3682</v>
      </c>
      <c r="AH177" s="116">
        <v>2025</v>
      </c>
      <c r="AI177" s="116">
        <v>5</v>
      </c>
      <c r="AJ177" s="223" t="s">
        <v>3683</v>
      </c>
      <c r="AK177" s="223" t="s">
        <v>34</v>
      </c>
      <c r="AL177" s="223"/>
      <c r="AM177" s="60">
        <v>1210938</v>
      </c>
    </row>
    <row r="178" spans="32:39">
      <c r="AF178" s="223" t="s">
        <v>3693</v>
      </c>
      <c r="AG178" s="223" t="s">
        <v>3682</v>
      </c>
      <c r="AH178" s="116">
        <v>2025</v>
      </c>
      <c r="AI178" s="116">
        <v>6</v>
      </c>
      <c r="AJ178" s="223" t="s">
        <v>3683</v>
      </c>
      <c r="AK178" s="223" t="s">
        <v>34</v>
      </c>
      <c r="AL178" s="223"/>
      <c r="AM178" s="60">
        <v>1407475</v>
      </c>
    </row>
    <row r="179" spans="32:39">
      <c r="AF179" s="223" t="s">
        <v>3693</v>
      </c>
      <c r="AG179" s="223" t="s">
        <v>3684</v>
      </c>
      <c r="AH179" s="116">
        <v>2025</v>
      </c>
      <c r="AI179" s="116">
        <v>1</v>
      </c>
      <c r="AJ179" s="223" t="s">
        <v>3685</v>
      </c>
      <c r="AK179" s="223" t="s">
        <v>34</v>
      </c>
      <c r="AL179" s="223"/>
      <c r="AM179" s="60">
        <v>18700941</v>
      </c>
    </row>
    <row r="180" spans="32:39">
      <c r="AF180" s="223" t="s">
        <v>3693</v>
      </c>
      <c r="AG180" s="223" t="s">
        <v>3684</v>
      </c>
      <c r="AH180" s="116">
        <v>2025</v>
      </c>
      <c r="AI180" s="116">
        <v>2</v>
      </c>
      <c r="AJ180" s="223" t="s">
        <v>3685</v>
      </c>
      <c r="AK180" s="223" t="s">
        <v>34</v>
      </c>
      <c r="AL180" s="223"/>
      <c r="AM180" s="60">
        <v>14838818</v>
      </c>
    </row>
    <row r="181" spans="32:39">
      <c r="AF181" s="223" t="s">
        <v>3693</v>
      </c>
      <c r="AG181" s="223" t="s">
        <v>3684</v>
      </c>
      <c r="AH181" s="116">
        <v>2025</v>
      </c>
      <c r="AI181" s="116">
        <v>3</v>
      </c>
      <c r="AJ181" s="223" t="s">
        <v>3685</v>
      </c>
      <c r="AK181" s="223" t="s">
        <v>34</v>
      </c>
      <c r="AL181" s="223"/>
      <c r="AM181" s="60">
        <v>8479528</v>
      </c>
    </row>
    <row r="182" spans="32:39">
      <c r="AF182" s="223" t="s">
        <v>3693</v>
      </c>
      <c r="AG182" s="223" t="s">
        <v>3684</v>
      </c>
      <c r="AH182" s="116">
        <v>2025</v>
      </c>
      <c r="AI182" s="116">
        <v>4</v>
      </c>
      <c r="AJ182" s="223" t="s">
        <v>3685</v>
      </c>
      <c r="AK182" s="223" t="s">
        <v>34</v>
      </c>
      <c r="AL182" s="223"/>
      <c r="AM182" s="60">
        <v>12938981</v>
      </c>
    </row>
    <row r="183" spans="32:39">
      <c r="AF183" s="223" t="s">
        <v>3693</v>
      </c>
      <c r="AG183" s="223" t="s">
        <v>3684</v>
      </c>
      <c r="AH183" s="116">
        <v>2025</v>
      </c>
      <c r="AI183" s="116">
        <v>5</v>
      </c>
      <c r="AJ183" s="223" t="s">
        <v>3685</v>
      </c>
      <c r="AK183" s="223" t="s">
        <v>34</v>
      </c>
      <c r="AL183" s="223"/>
      <c r="AM183" s="60">
        <v>2320495</v>
      </c>
    </row>
    <row r="184" spans="32:39">
      <c r="AF184" s="223" t="s">
        <v>3693</v>
      </c>
      <c r="AG184" s="223" t="s">
        <v>3684</v>
      </c>
      <c r="AH184" s="116">
        <v>2025</v>
      </c>
      <c r="AI184" s="116">
        <v>6</v>
      </c>
      <c r="AJ184" s="223" t="s">
        <v>3685</v>
      </c>
      <c r="AK184" s="223" t="s">
        <v>34</v>
      </c>
      <c r="AL184" s="223"/>
      <c r="AM184" s="60">
        <v>1518790</v>
      </c>
    </row>
    <row r="185" spans="32:39">
      <c r="AF185" s="223" t="s">
        <v>3693</v>
      </c>
      <c r="AG185" s="223" t="s">
        <v>3686</v>
      </c>
      <c r="AH185" s="116">
        <v>2025</v>
      </c>
      <c r="AI185" s="116">
        <v>1</v>
      </c>
      <c r="AJ185" s="223" t="s">
        <v>3687</v>
      </c>
      <c r="AK185" s="223" t="s">
        <v>34</v>
      </c>
      <c r="AL185" s="223"/>
      <c r="AM185" s="60">
        <v>77642864</v>
      </c>
    </row>
    <row r="186" spans="32:39">
      <c r="AF186" s="223" t="s">
        <v>3693</v>
      </c>
      <c r="AG186" s="223" t="s">
        <v>3686</v>
      </c>
      <c r="AH186" s="116">
        <v>2025</v>
      </c>
      <c r="AI186" s="116">
        <v>2</v>
      </c>
      <c r="AJ186" s="223" t="s">
        <v>3687</v>
      </c>
      <c r="AK186" s="223" t="s">
        <v>34</v>
      </c>
      <c r="AL186" s="223"/>
      <c r="AM186" s="60">
        <v>51242702</v>
      </c>
    </row>
    <row r="187" spans="32:39">
      <c r="AF187" s="223" t="s">
        <v>3693</v>
      </c>
      <c r="AG187" s="223" t="s">
        <v>3686</v>
      </c>
      <c r="AH187" s="116">
        <v>2025</v>
      </c>
      <c r="AI187" s="116">
        <v>3</v>
      </c>
      <c r="AJ187" s="223" t="s">
        <v>3687</v>
      </c>
      <c r="AK187" s="223" t="s">
        <v>34</v>
      </c>
      <c r="AL187" s="223"/>
      <c r="AM187" s="60">
        <v>31672915</v>
      </c>
    </row>
    <row r="188" spans="32:39">
      <c r="AF188" s="223" t="s">
        <v>3693</v>
      </c>
      <c r="AG188" s="223" t="s">
        <v>3686</v>
      </c>
      <c r="AH188" s="116">
        <v>2025</v>
      </c>
      <c r="AI188" s="116">
        <v>4</v>
      </c>
      <c r="AJ188" s="223" t="s">
        <v>3687</v>
      </c>
      <c r="AK188" s="223" t="s">
        <v>34</v>
      </c>
      <c r="AL188" s="223"/>
      <c r="AM188" s="60">
        <v>64818210</v>
      </c>
    </row>
    <row r="189" spans="32:39">
      <c r="AF189" s="223" t="s">
        <v>3693</v>
      </c>
      <c r="AG189" s="223" t="s">
        <v>3686</v>
      </c>
      <c r="AH189" s="116">
        <v>2025</v>
      </c>
      <c r="AI189" s="116">
        <v>5</v>
      </c>
      <c r="AJ189" s="223" t="s">
        <v>3687</v>
      </c>
      <c r="AK189" s="223" t="s">
        <v>34</v>
      </c>
      <c r="AL189" s="223"/>
      <c r="AM189" s="60">
        <v>82366951</v>
      </c>
    </row>
    <row r="190" spans="32:39">
      <c r="AF190" s="223" t="s">
        <v>3693</v>
      </c>
      <c r="AG190" s="223" t="s">
        <v>3686</v>
      </c>
      <c r="AH190" s="116">
        <v>2025</v>
      </c>
      <c r="AI190" s="116">
        <v>6</v>
      </c>
      <c r="AJ190" s="223" t="s">
        <v>3687</v>
      </c>
      <c r="AK190" s="223" t="s">
        <v>34</v>
      </c>
      <c r="AL190" s="223"/>
      <c r="AM190" s="60">
        <v>79053453</v>
      </c>
    </row>
    <row r="191" spans="32:39">
      <c r="AF191" s="223" t="s">
        <v>3693</v>
      </c>
      <c r="AG191" s="223" t="s">
        <v>3688</v>
      </c>
      <c r="AH191" s="116">
        <v>2025</v>
      </c>
      <c r="AI191" s="116">
        <v>1</v>
      </c>
      <c r="AJ191" s="223" t="s">
        <v>3689</v>
      </c>
      <c r="AK191" s="223" t="s">
        <v>34</v>
      </c>
      <c r="AL191" s="223"/>
      <c r="AM191" s="60">
        <v>228908970</v>
      </c>
    </row>
    <row r="192" spans="32:39">
      <c r="AF192" s="223" t="s">
        <v>3693</v>
      </c>
      <c r="AG192" s="223" t="s">
        <v>3688</v>
      </c>
      <c r="AH192" s="116">
        <v>2025</v>
      </c>
      <c r="AI192" s="116">
        <v>2</v>
      </c>
      <c r="AJ192" s="223" t="s">
        <v>3689</v>
      </c>
      <c r="AK192" s="223" t="s">
        <v>34</v>
      </c>
      <c r="AL192" s="223"/>
      <c r="AM192" s="60">
        <v>210727111</v>
      </c>
    </row>
    <row r="193" spans="32:39">
      <c r="AF193" s="223" t="s">
        <v>3693</v>
      </c>
      <c r="AG193" s="223" t="s">
        <v>3688</v>
      </c>
      <c r="AH193" s="116">
        <v>2025</v>
      </c>
      <c r="AI193" s="116">
        <v>3</v>
      </c>
      <c r="AJ193" s="223" t="s">
        <v>3689</v>
      </c>
      <c r="AK193" s="223" t="s">
        <v>34</v>
      </c>
      <c r="AL193" s="223"/>
      <c r="AM193" s="60">
        <v>228105719</v>
      </c>
    </row>
    <row r="194" spans="32:39">
      <c r="AF194" s="223" t="s">
        <v>3693</v>
      </c>
      <c r="AG194" s="223" t="s">
        <v>3688</v>
      </c>
      <c r="AH194" s="116">
        <v>2025</v>
      </c>
      <c r="AI194" s="116">
        <v>4</v>
      </c>
      <c r="AJ194" s="223" t="s">
        <v>3689</v>
      </c>
      <c r="AK194" s="223" t="s">
        <v>34</v>
      </c>
      <c r="AL194" s="223"/>
      <c r="AM194" s="60">
        <v>220520264</v>
      </c>
    </row>
    <row r="195" spans="32:39">
      <c r="AF195" s="223" t="s">
        <v>3693</v>
      </c>
      <c r="AG195" s="223" t="s">
        <v>3688</v>
      </c>
      <c r="AH195" s="116">
        <v>2025</v>
      </c>
      <c r="AI195" s="116">
        <v>5</v>
      </c>
      <c r="AJ195" s="223" t="s">
        <v>3689</v>
      </c>
      <c r="AK195" s="223" t="s">
        <v>34</v>
      </c>
      <c r="AL195" s="223"/>
      <c r="AM195" s="60">
        <v>223682182</v>
      </c>
    </row>
    <row r="196" spans="32:39">
      <c r="AF196" s="223" t="s">
        <v>3693</v>
      </c>
      <c r="AG196" s="223" t="s">
        <v>3688</v>
      </c>
      <c r="AH196" s="116">
        <v>2025</v>
      </c>
      <c r="AI196" s="116">
        <v>6</v>
      </c>
      <c r="AJ196" s="223" t="s">
        <v>3689</v>
      </c>
      <c r="AK196" s="223" t="s">
        <v>34</v>
      </c>
      <c r="AL196" s="223"/>
      <c r="AM196" s="60">
        <v>221293393</v>
      </c>
    </row>
    <row r="197" spans="32:39">
      <c r="AF197" s="223" t="s">
        <v>3693</v>
      </c>
      <c r="AG197" s="223" t="s">
        <v>3688</v>
      </c>
      <c r="AH197" s="116">
        <v>2025</v>
      </c>
      <c r="AI197" s="116">
        <v>6</v>
      </c>
      <c r="AJ197" s="223" t="s">
        <v>3689</v>
      </c>
      <c r="AK197" s="223" t="s">
        <v>35</v>
      </c>
      <c r="AL197" s="223"/>
      <c r="AM197" s="60">
        <v>297818078</v>
      </c>
    </row>
    <row r="198" spans="32:39">
      <c r="AF198" s="223" t="s">
        <v>3693</v>
      </c>
      <c r="AG198" s="223" t="s">
        <v>1782</v>
      </c>
      <c r="AH198" s="116">
        <v>2025</v>
      </c>
      <c r="AI198" s="116">
        <v>1</v>
      </c>
      <c r="AJ198" s="223" t="s">
        <v>3627</v>
      </c>
      <c r="AK198" s="223" t="s">
        <v>35</v>
      </c>
      <c r="AL198" s="223"/>
      <c r="AM198" s="60">
        <v>1170319</v>
      </c>
    </row>
    <row r="199" spans="32:39">
      <c r="AF199" s="223" t="s">
        <v>3693</v>
      </c>
      <c r="AG199" s="223" t="s">
        <v>1782</v>
      </c>
      <c r="AH199" s="116">
        <v>2025</v>
      </c>
      <c r="AI199" s="116">
        <v>2</v>
      </c>
      <c r="AJ199" s="223" t="s">
        <v>3627</v>
      </c>
      <c r="AK199" s="223" t="s">
        <v>35</v>
      </c>
      <c r="AL199" s="223"/>
      <c r="AM199" s="60">
        <v>965828</v>
      </c>
    </row>
    <row r="200" spans="32:39">
      <c r="AF200" s="223" t="s">
        <v>3693</v>
      </c>
      <c r="AG200" s="223" t="s">
        <v>1782</v>
      </c>
      <c r="AH200" s="116">
        <v>2025</v>
      </c>
      <c r="AI200" s="116">
        <v>3</v>
      </c>
      <c r="AJ200" s="223" t="s">
        <v>3627</v>
      </c>
      <c r="AK200" s="223" t="s">
        <v>35</v>
      </c>
      <c r="AL200" s="223"/>
      <c r="AM200" s="60">
        <v>98480455</v>
      </c>
    </row>
    <row r="201" spans="32:39">
      <c r="AF201" s="223" t="s">
        <v>3693</v>
      </c>
      <c r="AG201" s="223" t="s">
        <v>1782</v>
      </c>
      <c r="AH201" s="116">
        <v>2025</v>
      </c>
      <c r="AI201" s="116">
        <v>4</v>
      </c>
      <c r="AJ201" s="223" t="s">
        <v>3627</v>
      </c>
      <c r="AK201" s="223" t="s">
        <v>35</v>
      </c>
      <c r="AL201" s="223"/>
      <c r="AM201" s="60">
        <v>438266</v>
      </c>
    </row>
    <row r="202" spans="32:39">
      <c r="AF202" s="223" t="s">
        <v>3693</v>
      </c>
      <c r="AG202" s="223" t="s">
        <v>1782</v>
      </c>
      <c r="AH202" s="116">
        <v>2025</v>
      </c>
      <c r="AI202" s="116">
        <v>5</v>
      </c>
      <c r="AJ202" s="223" t="s">
        <v>3627</v>
      </c>
      <c r="AK202" s="223" t="s">
        <v>35</v>
      </c>
      <c r="AL202" s="223"/>
      <c r="AM202" s="60">
        <v>496528</v>
      </c>
    </row>
    <row r="203" spans="32:39">
      <c r="AF203" s="223" t="s">
        <v>3693</v>
      </c>
      <c r="AG203" s="223" t="s">
        <v>1782</v>
      </c>
      <c r="AH203" s="116">
        <v>2025</v>
      </c>
      <c r="AI203" s="116">
        <v>6</v>
      </c>
      <c r="AJ203" s="223" t="s">
        <v>3627</v>
      </c>
      <c r="AK203" s="223" t="s">
        <v>35</v>
      </c>
      <c r="AL203" s="223"/>
      <c r="AM203" s="60">
        <v>448839</v>
      </c>
    </row>
    <row r="204" spans="32:39">
      <c r="AF204" s="223" t="s">
        <v>3693</v>
      </c>
      <c r="AG204" s="223" t="s">
        <v>3658</v>
      </c>
      <c r="AH204" s="116">
        <v>2025</v>
      </c>
      <c r="AI204" s="116">
        <v>1</v>
      </c>
      <c r="AJ204" s="223" t="s">
        <v>3659</v>
      </c>
      <c r="AK204" s="223" t="s">
        <v>35</v>
      </c>
      <c r="AL204" s="223"/>
      <c r="AM204" s="60">
        <v>227251926</v>
      </c>
    </row>
    <row r="205" spans="32:39">
      <c r="AF205" s="223" t="s">
        <v>3693</v>
      </c>
      <c r="AG205" s="223" t="s">
        <v>3658</v>
      </c>
      <c r="AH205" s="116">
        <v>2025</v>
      </c>
      <c r="AI205" s="116">
        <v>2</v>
      </c>
      <c r="AJ205" s="223" t="s">
        <v>3659</v>
      </c>
      <c r="AK205" s="223" t="s">
        <v>35</v>
      </c>
      <c r="AL205" s="223"/>
      <c r="AM205" s="60">
        <v>27240254</v>
      </c>
    </row>
    <row r="206" spans="32:39">
      <c r="AF206" s="223" t="s">
        <v>3693</v>
      </c>
      <c r="AG206" s="223" t="s">
        <v>3658</v>
      </c>
      <c r="AH206" s="116">
        <v>2025</v>
      </c>
      <c r="AI206" s="116">
        <v>3</v>
      </c>
      <c r="AJ206" s="223" t="s">
        <v>3659</v>
      </c>
      <c r="AK206" s="223" t="s">
        <v>35</v>
      </c>
      <c r="AL206" s="223"/>
      <c r="AM206" s="60">
        <v>3145935</v>
      </c>
    </row>
    <row r="207" spans="32:39">
      <c r="AF207" s="223" t="s">
        <v>3693</v>
      </c>
      <c r="AG207" s="223" t="s">
        <v>3658</v>
      </c>
      <c r="AH207" s="116">
        <v>2025</v>
      </c>
      <c r="AI207" s="116">
        <v>4</v>
      </c>
      <c r="AJ207" s="223" t="s">
        <v>3659</v>
      </c>
      <c r="AK207" s="223" t="s">
        <v>35</v>
      </c>
      <c r="AL207" s="223"/>
      <c r="AM207" s="60">
        <v>172304</v>
      </c>
    </row>
    <row r="208" spans="32:39">
      <c r="AF208" s="223" t="s">
        <v>3693</v>
      </c>
      <c r="AG208" s="223" t="s">
        <v>3658</v>
      </c>
      <c r="AH208" s="116">
        <v>2025</v>
      </c>
      <c r="AI208" s="116">
        <v>5</v>
      </c>
      <c r="AJ208" s="223" t="s">
        <v>3659</v>
      </c>
      <c r="AK208" s="223" t="s">
        <v>35</v>
      </c>
      <c r="AL208" s="223"/>
      <c r="AM208" s="60">
        <v>18075701</v>
      </c>
    </row>
    <row r="209" spans="32:39">
      <c r="AF209" s="223" t="s">
        <v>3693</v>
      </c>
      <c r="AG209" s="223" t="s">
        <v>3658</v>
      </c>
      <c r="AH209" s="116">
        <v>2025</v>
      </c>
      <c r="AI209" s="116">
        <v>6</v>
      </c>
      <c r="AJ209" s="223" t="s">
        <v>3659</v>
      </c>
      <c r="AK209" s="223" t="s">
        <v>35</v>
      </c>
      <c r="AL209" s="223"/>
      <c r="AM209" s="60">
        <v>39672085</v>
      </c>
    </row>
    <row r="210" spans="32:39">
      <c r="AF210" s="223" t="s">
        <v>3693</v>
      </c>
      <c r="AG210" s="223" t="s">
        <v>3628</v>
      </c>
      <c r="AH210" s="116">
        <v>2025</v>
      </c>
      <c r="AI210" s="116">
        <v>1</v>
      </c>
      <c r="AJ210" s="223" t="s">
        <v>3629</v>
      </c>
      <c r="AK210" s="223" t="s">
        <v>35</v>
      </c>
      <c r="AL210" s="223"/>
      <c r="AM210" s="60">
        <v>0</v>
      </c>
    </row>
    <row r="211" spans="32:39">
      <c r="AF211" s="223" t="s">
        <v>3693</v>
      </c>
      <c r="AG211" s="223" t="s">
        <v>3628</v>
      </c>
      <c r="AH211" s="116">
        <v>2025</v>
      </c>
      <c r="AI211" s="116">
        <v>2</v>
      </c>
      <c r="AJ211" s="223" t="s">
        <v>3629</v>
      </c>
      <c r="AK211" s="223" t="s">
        <v>35</v>
      </c>
      <c r="AL211" s="223"/>
      <c r="AM211" s="60">
        <v>0</v>
      </c>
    </row>
    <row r="212" spans="32:39">
      <c r="AF212" s="223" t="s">
        <v>3693</v>
      </c>
      <c r="AG212" s="223" t="s">
        <v>3628</v>
      </c>
      <c r="AH212" s="116">
        <v>2025</v>
      </c>
      <c r="AI212" s="116">
        <v>3</v>
      </c>
      <c r="AJ212" s="223" t="s">
        <v>3629</v>
      </c>
      <c r="AK212" s="223" t="s">
        <v>35</v>
      </c>
      <c r="AL212" s="223"/>
      <c r="AM212" s="60">
        <v>9690792</v>
      </c>
    </row>
    <row r="213" spans="32:39">
      <c r="AF213" s="223" t="s">
        <v>3693</v>
      </c>
      <c r="AG213" s="223" t="s">
        <v>3628</v>
      </c>
      <c r="AH213" s="116">
        <v>2025</v>
      </c>
      <c r="AI213" s="116">
        <v>4</v>
      </c>
      <c r="AJ213" s="223" t="s">
        <v>3629</v>
      </c>
      <c r="AK213" s="223" t="s">
        <v>35</v>
      </c>
      <c r="AL213" s="223"/>
      <c r="AM213" s="60">
        <v>66625</v>
      </c>
    </row>
    <row r="214" spans="32:39">
      <c r="AF214" s="223" t="s">
        <v>3693</v>
      </c>
      <c r="AG214" s="223" t="s">
        <v>3628</v>
      </c>
      <c r="AH214" s="116">
        <v>2025</v>
      </c>
      <c r="AI214" s="116">
        <v>5</v>
      </c>
      <c r="AJ214" s="223" t="s">
        <v>3629</v>
      </c>
      <c r="AK214" s="223" t="s">
        <v>35</v>
      </c>
      <c r="AL214" s="223"/>
      <c r="AM214" s="60">
        <v>13858</v>
      </c>
    </row>
    <row r="215" spans="32:39">
      <c r="AF215" s="223" t="s">
        <v>3693</v>
      </c>
      <c r="AG215" s="223" t="s">
        <v>3628</v>
      </c>
      <c r="AH215" s="116">
        <v>2025</v>
      </c>
      <c r="AI215" s="116">
        <v>6</v>
      </c>
      <c r="AJ215" s="223" t="s">
        <v>3629</v>
      </c>
      <c r="AK215" s="223" t="s">
        <v>35</v>
      </c>
      <c r="AL215" s="223"/>
      <c r="AM215" s="60">
        <v>3337</v>
      </c>
    </row>
    <row r="216" spans="32:39">
      <c r="AF216" s="223" t="s">
        <v>3693</v>
      </c>
      <c r="AG216" s="223" t="s">
        <v>3674</v>
      </c>
      <c r="AH216" s="116">
        <v>2025</v>
      </c>
      <c r="AI216" s="116">
        <v>1</v>
      </c>
      <c r="AJ216" s="223" t="s">
        <v>3675</v>
      </c>
      <c r="AK216" s="223" t="s">
        <v>35</v>
      </c>
      <c r="AL216" s="223"/>
      <c r="AM216" s="60">
        <v>559467649</v>
      </c>
    </row>
    <row r="217" spans="32:39">
      <c r="AF217" s="223" t="s">
        <v>3693</v>
      </c>
      <c r="AG217" s="223" t="s">
        <v>3674</v>
      </c>
      <c r="AH217" s="116">
        <v>2025</v>
      </c>
      <c r="AI217" s="116">
        <v>2</v>
      </c>
      <c r="AJ217" s="223" t="s">
        <v>3675</v>
      </c>
      <c r="AK217" s="223" t="s">
        <v>35</v>
      </c>
      <c r="AL217" s="223"/>
      <c r="AM217" s="60">
        <v>497655750</v>
      </c>
    </row>
    <row r="218" spans="32:39">
      <c r="AF218" s="223" t="s">
        <v>3693</v>
      </c>
      <c r="AG218" s="223" t="s">
        <v>3674</v>
      </c>
      <c r="AH218" s="116">
        <v>2025</v>
      </c>
      <c r="AI218" s="116">
        <v>3</v>
      </c>
      <c r="AJ218" s="223" t="s">
        <v>3675</v>
      </c>
      <c r="AK218" s="223" t="s">
        <v>35</v>
      </c>
      <c r="AL218" s="223"/>
      <c r="AM218" s="60">
        <v>724901413</v>
      </c>
    </row>
    <row r="219" spans="32:39">
      <c r="AF219" s="223" t="s">
        <v>3693</v>
      </c>
      <c r="AG219" s="223" t="s">
        <v>3674</v>
      </c>
      <c r="AH219" s="116">
        <v>2025</v>
      </c>
      <c r="AI219" s="116">
        <v>4</v>
      </c>
      <c r="AJ219" s="223" t="s">
        <v>3675</v>
      </c>
      <c r="AK219" s="223" t="s">
        <v>35</v>
      </c>
      <c r="AL219" s="223"/>
      <c r="AM219" s="60">
        <v>515074279</v>
      </c>
    </row>
    <row r="220" spans="32:39">
      <c r="AF220" s="223" t="s">
        <v>3693</v>
      </c>
      <c r="AG220" s="223" t="s">
        <v>3674</v>
      </c>
      <c r="AH220" s="116">
        <v>2025</v>
      </c>
      <c r="AI220" s="116">
        <v>5</v>
      </c>
      <c r="AJ220" s="223" t="s">
        <v>3675</v>
      </c>
      <c r="AK220" s="223" t="s">
        <v>35</v>
      </c>
      <c r="AL220" s="223"/>
      <c r="AM220" s="60">
        <v>465446704</v>
      </c>
    </row>
    <row r="221" spans="32:39">
      <c r="AF221" s="223" t="s">
        <v>3693</v>
      </c>
      <c r="AG221" s="223" t="s">
        <v>3674</v>
      </c>
      <c r="AH221" s="116">
        <v>2025</v>
      </c>
      <c r="AI221" s="116">
        <v>6</v>
      </c>
      <c r="AJ221" s="223" t="s">
        <v>3675</v>
      </c>
      <c r="AK221" s="223" t="s">
        <v>35</v>
      </c>
      <c r="AL221" s="223"/>
      <c r="AM221" s="60">
        <v>417827510</v>
      </c>
    </row>
    <row r="222" spans="32:39">
      <c r="AF222" s="223" t="s">
        <v>3693</v>
      </c>
      <c r="AG222" s="223" t="s">
        <v>3630</v>
      </c>
      <c r="AH222" s="116">
        <v>2025</v>
      </c>
      <c r="AI222" s="116">
        <v>1</v>
      </c>
      <c r="AJ222" s="223" t="s">
        <v>3631</v>
      </c>
      <c r="AK222" s="223" t="s">
        <v>35</v>
      </c>
      <c r="AL222" s="223"/>
      <c r="AM222" s="60">
        <v>0</v>
      </c>
    </row>
    <row r="223" spans="32:39">
      <c r="AF223" s="223" t="s">
        <v>3693</v>
      </c>
      <c r="AG223" s="223" t="s">
        <v>3630</v>
      </c>
      <c r="AH223" s="116">
        <v>2025</v>
      </c>
      <c r="AI223" s="116">
        <v>2</v>
      </c>
      <c r="AJ223" s="223" t="s">
        <v>3631</v>
      </c>
      <c r="AK223" s="223" t="s">
        <v>35</v>
      </c>
      <c r="AL223" s="223"/>
      <c r="AM223" s="60">
        <v>31041</v>
      </c>
    </row>
    <row r="224" spans="32:39">
      <c r="AF224" s="223" t="s">
        <v>3693</v>
      </c>
      <c r="AG224" s="223" t="s">
        <v>3630</v>
      </c>
      <c r="AH224" s="116">
        <v>2025</v>
      </c>
      <c r="AI224" s="116">
        <v>3</v>
      </c>
      <c r="AJ224" s="223" t="s">
        <v>3631</v>
      </c>
      <c r="AK224" s="223" t="s">
        <v>35</v>
      </c>
      <c r="AL224" s="223"/>
      <c r="AM224" s="60">
        <v>23356</v>
      </c>
    </row>
    <row r="225" spans="32:39">
      <c r="AF225" s="223" t="s">
        <v>3693</v>
      </c>
      <c r="AG225" s="223" t="s">
        <v>3630</v>
      </c>
      <c r="AH225" s="116">
        <v>2025</v>
      </c>
      <c r="AI225" s="116">
        <v>4</v>
      </c>
      <c r="AJ225" s="223" t="s">
        <v>3631</v>
      </c>
      <c r="AK225" s="223" t="s">
        <v>35</v>
      </c>
      <c r="AL225" s="223"/>
      <c r="AM225" s="60">
        <v>52230</v>
      </c>
    </row>
    <row r="226" spans="32:39">
      <c r="AF226" s="223" t="s">
        <v>3693</v>
      </c>
      <c r="AG226" s="223" t="s">
        <v>3630</v>
      </c>
      <c r="AH226" s="116">
        <v>2025</v>
      </c>
      <c r="AI226" s="116">
        <v>5</v>
      </c>
      <c r="AJ226" s="223" t="s">
        <v>3631</v>
      </c>
      <c r="AK226" s="223" t="s">
        <v>35</v>
      </c>
      <c r="AL226" s="223"/>
      <c r="AM226" s="60">
        <v>7714</v>
      </c>
    </row>
    <row r="227" spans="32:39">
      <c r="AF227" s="223" t="s">
        <v>3693</v>
      </c>
      <c r="AG227" s="223" t="s">
        <v>3630</v>
      </c>
      <c r="AH227" s="116">
        <v>2025</v>
      </c>
      <c r="AI227" s="116">
        <v>6</v>
      </c>
      <c r="AJ227" s="223" t="s">
        <v>3631</v>
      </c>
      <c r="AK227" s="223" t="s">
        <v>35</v>
      </c>
      <c r="AL227" s="223"/>
      <c r="AM227" s="60">
        <v>71956</v>
      </c>
    </row>
    <row r="228" spans="32:39">
      <c r="AF228" s="223" t="s">
        <v>3693</v>
      </c>
      <c r="AG228" s="223" t="s">
        <v>3660</v>
      </c>
      <c r="AH228" s="116">
        <v>2025</v>
      </c>
      <c r="AI228" s="116">
        <v>1</v>
      </c>
      <c r="AJ228" s="223" t="s">
        <v>3661</v>
      </c>
      <c r="AK228" s="223" t="s">
        <v>35</v>
      </c>
      <c r="AL228" s="223"/>
      <c r="AM228" s="60">
        <v>35386450</v>
      </c>
    </row>
    <row r="229" spans="32:39">
      <c r="AF229" s="223" t="s">
        <v>3693</v>
      </c>
      <c r="AG229" s="223" t="s">
        <v>3660</v>
      </c>
      <c r="AH229" s="116">
        <v>2025</v>
      </c>
      <c r="AI229" s="116">
        <v>2</v>
      </c>
      <c r="AJ229" s="223" t="s">
        <v>3661</v>
      </c>
      <c r="AK229" s="223" t="s">
        <v>35</v>
      </c>
      <c r="AL229" s="223"/>
      <c r="AM229" s="60">
        <v>33268530</v>
      </c>
    </row>
    <row r="230" spans="32:39">
      <c r="AF230" s="223" t="s">
        <v>3693</v>
      </c>
      <c r="AG230" s="223" t="s">
        <v>3660</v>
      </c>
      <c r="AH230" s="116">
        <v>2025</v>
      </c>
      <c r="AI230" s="116">
        <v>3</v>
      </c>
      <c r="AJ230" s="223" t="s">
        <v>3661</v>
      </c>
      <c r="AK230" s="223" t="s">
        <v>35</v>
      </c>
      <c r="AL230" s="223"/>
      <c r="AM230" s="60">
        <v>68991915</v>
      </c>
    </row>
    <row r="231" spans="32:39">
      <c r="AF231" s="223" t="s">
        <v>3693</v>
      </c>
      <c r="AG231" s="223" t="s">
        <v>3660</v>
      </c>
      <c r="AH231" s="116">
        <v>2025</v>
      </c>
      <c r="AI231" s="116">
        <v>4</v>
      </c>
      <c r="AJ231" s="223" t="s">
        <v>3661</v>
      </c>
      <c r="AK231" s="223" t="s">
        <v>35</v>
      </c>
      <c r="AL231" s="223"/>
      <c r="AM231" s="60">
        <v>41218827</v>
      </c>
    </row>
    <row r="232" spans="32:39">
      <c r="AF232" s="223" t="s">
        <v>3693</v>
      </c>
      <c r="AG232" s="223" t="s">
        <v>3660</v>
      </c>
      <c r="AH232" s="116">
        <v>2025</v>
      </c>
      <c r="AI232" s="116">
        <v>5</v>
      </c>
      <c r="AJ232" s="223" t="s">
        <v>3661</v>
      </c>
      <c r="AK232" s="223" t="s">
        <v>35</v>
      </c>
      <c r="AL232" s="223"/>
      <c r="AM232" s="60">
        <v>32180984</v>
      </c>
    </row>
    <row r="233" spans="32:39">
      <c r="AF233" s="223" t="s">
        <v>3693</v>
      </c>
      <c r="AG233" s="223" t="s">
        <v>3660</v>
      </c>
      <c r="AH233" s="116">
        <v>2025</v>
      </c>
      <c r="AI233" s="116">
        <v>6</v>
      </c>
      <c r="AJ233" s="223" t="s">
        <v>3661</v>
      </c>
      <c r="AK233" s="223" t="s">
        <v>35</v>
      </c>
      <c r="AL233" s="223"/>
      <c r="AM233" s="60">
        <v>31952570</v>
      </c>
    </row>
    <row r="234" spans="32:39">
      <c r="AF234" s="223" t="s">
        <v>3693</v>
      </c>
      <c r="AG234" s="223" t="s">
        <v>3632</v>
      </c>
      <c r="AH234" s="116">
        <v>2025</v>
      </c>
      <c r="AI234" s="116">
        <v>1</v>
      </c>
      <c r="AJ234" s="223" t="s">
        <v>3633</v>
      </c>
      <c r="AK234" s="223" t="s">
        <v>35</v>
      </c>
      <c r="AL234" s="223"/>
      <c r="AM234" s="60">
        <v>0</v>
      </c>
    </row>
    <row r="235" spans="32:39">
      <c r="AF235" s="223" t="s">
        <v>3693</v>
      </c>
      <c r="AG235" s="223" t="s">
        <v>3632</v>
      </c>
      <c r="AH235" s="116">
        <v>2025</v>
      </c>
      <c r="AI235" s="116">
        <v>2</v>
      </c>
      <c r="AJ235" s="223" t="s">
        <v>3633</v>
      </c>
      <c r="AK235" s="223" t="s">
        <v>35</v>
      </c>
      <c r="AL235" s="223"/>
      <c r="AM235" s="60">
        <v>0</v>
      </c>
    </row>
    <row r="236" spans="32:39">
      <c r="AF236" s="223" t="s">
        <v>3693</v>
      </c>
      <c r="AG236" s="223" t="s">
        <v>3632</v>
      </c>
      <c r="AH236" s="116">
        <v>2025</v>
      </c>
      <c r="AI236" s="116">
        <v>3</v>
      </c>
      <c r="AJ236" s="223" t="s">
        <v>3633</v>
      </c>
      <c r="AK236" s="223" t="s">
        <v>35</v>
      </c>
      <c r="AL236" s="223"/>
      <c r="AM236" s="60">
        <v>146403</v>
      </c>
    </row>
    <row r="237" spans="32:39">
      <c r="AF237" s="223" t="s">
        <v>3693</v>
      </c>
      <c r="AG237" s="223" t="s">
        <v>3632</v>
      </c>
      <c r="AH237" s="116">
        <v>2025</v>
      </c>
      <c r="AI237" s="116">
        <v>4</v>
      </c>
      <c r="AJ237" s="223" t="s">
        <v>3633</v>
      </c>
      <c r="AK237" s="223" t="s">
        <v>35</v>
      </c>
      <c r="AL237" s="223"/>
      <c r="AM237" s="60">
        <v>32289</v>
      </c>
    </row>
    <row r="238" spans="32:39">
      <c r="AF238" s="223" t="s">
        <v>3693</v>
      </c>
      <c r="AG238" s="223" t="s">
        <v>3632</v>
      </c>
      <c r="AH238" s="116">
        <v>2025</v>
      </c>
      <c r="AI238" s="116">
        <v>5</v>
      </c>
      <c r="AJ238" s="223" t="s">
        <v>3633</v>
      </c>
      <c r="AK238" s="223" t="s">
        <v>35</v>
      </c>
      <c r="AL238" s="223"/>
      <c r="AM238" s="60">
        <v>2184</v>
      </c>
    </row>
    <row r="239" spans="32:39">
      <c r="AF239" s="223" t="s">
        <v>3693</v>
      </c>
      <c r="AG239" s="223" t="s">
        <v>3632</v>
      </c>
      <c r="AH239" s="116">
        <v>2025</v>
      </c>
      <c r="AI239" s="116">
        <v>6</v>
      </c>
      <c r="AJ239" s="223" t="s">
        <v>3633</v>
      </c>
      <c r="AK239" s="223" t="s">
        <v>35</v>
      </c>
      <c r="AL239" s="223"/>
      <c r="AM239" s="60">
        <v>0</v>
      </c>
    </row>
    <row r="240" spans="32:39">
      <c r="AF240" s="223" t="s">
        <v>3693</v>
      </c>
      <c r="AG240" s="223" t="s">
        <v>3682</v>
      </c>
      <c r="AH240" s="116">
        <v>2025</v>
      </c>
      <c r="AI240" s="116">
        <v>1</v>
      </c>
      <c r="AJ240" s="223" t="s">
        <v>3683</v>
      </c>
      <c r="AK240" s="223" t="s">
        <v>35</v>
      </c>
      <c r="AL240" s="223"/>
      <c r="AM240" s="60">
        <v>0</v>
      </c>
    </row>
    <row r="241" spans="32:39">
      <c r="AF241" s="223" t="s">
        <v>3693</v>
      </c>
      <c r="AG241" s="223" t="s">
        <v>3682</v>
      </c>
      <c r="AH241" s="116">
        <v>2025</v>
      </c>
      <c r="AI241" s="116">
        <v>2</v>
      </c>
      <c r="AJ241" s="223" t="s">
        <v>3683</v>
      </c>
      <c r="AK241" s="223" t="s">
        <v>35</v>
      </c>
      <c r="AL241" s="223"/>
      <c r="AM241" s="60">
        <v>0</v>
      </c>
    </row>
    <row r="242" spans="32:39">
      <c r="AF242" s="223" t="s">
        <v>3693</v>
      </c>
      <c r="AG242" s="223" t="s">
        <v>3682</v>
      </c>
      <c r="AH242" s="116">
        <v>2025</v>
      </c>
      <c r="AI242" s="116">
        <v>3</v>
      </c>
      <c r="AJ242" s="223" t="s">
        <v>3683</v>
      </c>
      <c r="AK242" s="223" t="s">
        <v>35</v>
      </c>
      <c r="AL242" s="223"/>
      <c r="AM242" s="60">
        <v>8018612</v>
      </c>
    </row>
    <row r="243" spans="32:39">
      <c r="AF243" s="223" t="s">
        <v>3693</v>
      </c>
      <c r="AG243" s="223" t="s">
        <v>3682</v>
      </c>
      <c r="AH243" s="116">
        <v>2025</v>
      </c>
      <c r="AI243" s="116">
        <v>4</v>
      </c>
      <c r="AJ243" s="223" t="s">
        <v>3683</v>
      </c>
      <c r="AK243" s="223" t="s">
        <v>35</v>
      </c>
      <c r="AL243" s="223"/>
      <c r="AM243" s="60">
        <v>2205592</v>
      </c>
    </row>
    <row r="244" spans="32:39">
      <c r="AF244" s="223" t="s">
        <v>3693</v>
      </c>
      <c r="AG244" s="223" t="s">
        <v>3682</v>
      </c>
      <c r="AH244" s="116">
        <v>2025</v>
      </c>
      <c r="AI244" s="116">
        <v>5</v>
      </c>
      <c r="AJ244" s="223" t="s">
        <v>3683</v>
      </c>
      <c r="AK244" s="223" t="s">
        <v>35</v>
      </c>
      <c r="AL244" s="223"/>
      <c r="AM244" s="60">
        <v>2017930</v>
      </c>
    </row>
    <row r="245" spans="32:39">
      <c r="AF245" s="223" t="s">
        <v>3693</v>
      </c>
      <c r="AG245" s="223" t="s">
        <v>3682</v>
      </c>
      <c r="AH245" s="116">
        <v>2025</v>
      </c>
      <c r="AI245" s="116">
        <v>6</v>
      </c>
      <c r="AJ245" s="223" t="s">
        <v>3683</v>
      </c>
      <c r="AK245" s="223" t="s">
        <v>35</v>
      </c>
      <c r="AL245" s="223"/>
      <c r="AM245" s="60">
        <v>1543866</v>
      </c>
    </row>
    <row r="246" spans="32:39">
      <c r="AF246" s="223" t="s">
        <v>3693</v>
      </c>
      <c r="AG246" s="223" t="s">
        <v>3634</v>
      </c>
      <c r="AH246" s="116">
        <v>2025</v>
      </c>
      <c r="AI246" s="116">
        <v>5</v>
      </c>
      <c r="AJ246" s="223" t="s">
        <v>3635</v>
      </c>
      <c r="AK246" s="223" t="s">
        <v>35</v>
      </c>
      <c r="AL246" s="223"/>
      <c r="AM246" s="60">
        <v>0</v>
      </c>
    </row>
    <row r="247" spans="32:39">
      <c r="AF247" s="223" t="s">
        <v>3693</v>
      </c>
      <c r="AG247" s="223" t="s">
        <v>3662</v>
      </c>
      <c r="AH247" s="116">
        <v>2025</v>
      </c>
      <c r="AI247" s="116">
        <v>1</v>
      </c>
      <c r="AJ247" s="223" t="s">
        <v>3663</v>
      </c>
      <c r="AK247" s="223" t="s">
        <v>35</v>
      </c>
      <c r="AL247" s="223"/>
      <c r="AM247" s="60">
        <v>92371132</v>
      </c>
    </row>
    <row r="248" spans="32:39">
      <c r="AF248" s="223" t="s">
        <v>3693</v>
      </c>
      <c r="AG248" s="223" t="s">
        <v>3662</v>
      </c>
      <c r="AH248" s="116">
        <v>2025</v>
      </c>
      <c r="AI248" s="116">
        <v>2</v>
      </c>
      <c r="AJ248" s="223" t="s">
        <v>3663</v>
      </c>
      <c r="AK248" s="223" t="s">
        <v>35</v>
      </c>
      <c r="AL248" s="223"/>
      <c r="AM248" s="60">
        <v>83369622</v>
      </c>
    </row>
    <row r="249" spans="32:39">
      <c r="AF249" s="223" t="s">
        <v>3693</v>
      </c>
      <c r="AG249" s="223" t="s">
        <v>3662</v>
      </c>
      <c r="AH249" s="116">
        <v>2025</v>
      </c>
      <c r="AI249" s="116">
        <v>3</v>
      </c>
      <c r="AJ249" s="223" t="s">
        <v>3663</v>
      </c>
      <c r="AK249" s="223" t="s">
        <v>35</v>
      </c>
      <c r="AL249" s="223"/>
      <c r="AM249" s="60">
        <v>114634809</v>
      </c>
    </row>
    <row r="250" spans="32:39">
      <c r="AF250" s="223" t="s">
        <v>3693</v>
      </c>
      <c r="AG250" s="223" t="s">
        <v>3662</v>
      </c>
      <c r="AH250" s="116">
        <v>2025</v>
      </c>
      <c r="AI250" s="116">
        <v>4</v>
      </c>
      <c r="AJ250" s="223" t="s">
        <v>3663</v>
      </c>
      <c r="AK250" s="223" t="s">
        <v>35</v>
      </c>
      <c r="AL250" s="223"/>
      <c r="AM250" s="60">
        <v>57394119</v>
      </c>
    </row>
    <row r="251" spans="32:39">
      <c r="AF251" s="223" t="s">
        <v>3693</v>
      </c>
      <c r="AG251" s="223" t="s">
        <v>3662</v>
      </c>
      <c r="AH251" s="116">
        <v>2025</v>
      </c>
      <c r="AI251" s="116">
        <v>5</v>
      </c>
      <c r="AJ251" s="223" t="s">
        <v>3663</v>
      </c>
      <c r="AK251" s="223" t="s">
        <v>35</v>
      </c>
      <c r="AL251" s="223"/>
      <c r="AM251" s="60">
        <v>61528782</v>
      </c>
    </row>
    <row r="252" spans="32:39">
      <c r="AF252" s="223" t="s">
        <v>3693</v>
      </c>
      <c r="AG252" s="223" t="s">
        <v>3662</v>
      </c>
      <c r="AH252" s="116">
        <v>2025</v>
      </c>
      <c r="AI252" s="116">
        <v>6</v>
      </c>
      <c r="AJ252" s="223" t="s">
        <v>3663</v>
      </c>
      <c r="AK252" s="223" t="s">
        <v>35</v>
      </c>
      <c r="AL252" s="223"/>
      <c r="AM252" s="60">
        <v>52191926</v>
      </c>
    </row>
    <row r="253" spans="32:39">
      <c r="AF253" s="223" t="s">
        <v>3693</v>
      </c>
      <c r="AG253" s="223" t="s">
        <v>3636</v>
      </c>
      <c r="AH253" s="116">
        <v>2025</v>
      </c>
      <c r="AI253" s="116">
        <v>1</v>
      </c>
      <c r="AJ253" s="223" t="s">
        <v>3637</v>
      </c>
      <c r="AK253" s="223" t="s">
        <v>35</v>
      </c>
      <c r="AL253" s="223"/>
      <c r="AM253" s="60">
        <v>736002226</v>
      </c>
    </row>
    <row r="254" spans="32:39">
      <c r="AF254" s="223" t="s">
        <v>3693</v>
      </c>
      <c r="AG254" s="223" t="s">
        <v>3636</v>
      </c>
      <c r="AH254" s="116">
        <v>2025</v>
      </c>
      <c r="AI254" s="116">
        <v>2</v>
      </c>
      <c r="AJ254" s="223" t="s">
        <v>3637</v>
      </c>
      <c r="AK254" s="223" t="s">
        <v>35</v>
      </c>
      <c r="AL254" s="223"/>
      <c r="AM254" s="60">
        <v>583691779</v>
      </c>
    </row>
    <row r="255" spans="32:39">
      <c r="AF255" s="223" t="s">
        <v>3693</v>
      </c>
      <c r="AG255" s="223" t="s">
        <v>3636</v>
      </c>
      <c r="AH255" s="116">
        <v>2025</v>
      </c>
      <c r="AI255" s="116">
        <v>3</v>
      </c>
      <c r="AJ255" s="223" t="s">
        <v>3637</v>
      </c>
      <c r="AK255" s="223" t="s">
        <v>35</v>
      </c>
      <c r="AL255" s="223"/>
      <c r="AM255" s="60">
        <v>150967320</v>
      </c>
    </row>
    <row r="256" spans="32:39">
      <c r="AF256" s="223" t="s">
        <v>3693</v>
      </c>
      <c r="AG256" s="223" t="s">
        <v>3636</v>
      </c>
      <c r="AH256" s="116">
        <v>2025</v>
      </c>
      <c r="AI256" s="116">
        <v>4</v>
      </c>
      <c r="AJ256" s="223" t="s">
        <v>3637</v>
      </c>
      <c r="AK256" s="223" t="s">
        <v>35</v>
      </c>
      <c r="AL256" s="223"/>
      <c r="AM256" s="60">
        <v>109592484</v>
      </c>
    </row>
    <row r="257" spans="32:39">
      <c r="AF257" s="223" t="s">
        <v>3693</v>
      </c>
      <c r="AG257" s="223" t="s">
        <v>3636</v>
      </c>
      <c r="AH257" s="116">
        <v>2025</v>
      </c>
      <c r="AI257" s="116">
        <v>5</v>
      </c>
      <c r="AJ257" s="223" t="s">
        <v>3637</v>
      </c>
      <c r="AK257" s="223" t="s">
        <v>35</v>
      </c>
      <c r="AL257" s="223"/>
      <c r="AM257" s="60">
        <v>281970762</v>
      </c>
    </row>
    <row r="258" spans="32:39">
      <c r="AF258" s="223" t="s">
        <v>3693</v>
      </c>
      <c r="AG258" s="223" t="s">
        <v>3636</v>
      </c>
      <c r="AH258" s="116">
        <v>2025</v>
      </c>
      <c r="AI258" s="116">
        <v>6</v>
      </c>
      <c r="AJ258" s="223" t="s">
        <v>3637</v>
      </c>
      <c r="AK258" s="223" t="s">
        <v>35</v>
      </c>
      <c r="AL258" s="223"/>
      <c r="AM258" s="60">
        <v>302816844</v>
      </c>
    </row>
    <row r="259" spans="32:39">
      <c r="AF259" s="223" t="s">
        <v>3693</v>
      </c>
      <c r="AG259" s="223" t="s">
        <v>3676</v>
      </c>
      <c r="AH259" s="116">
        <v>2025</v>
      </c>
      <c r="AI259" s="116">
        <v>1</v>
      </c>
      <c r="AJ259" s="223" t="s">
        <v>3677</v>
      </c>
      <c r="AK259" s="223" t="s">
        <v>35</v>
      </c>
      <c r="AL259" s="223"/>
      <c r="AM259" s="60">
        <v>2081088416</v>
      </c>
    </row>
    <row r="260" spans="32:39">
      <c r="AF260" s="223" t="s">
        <v>3693</v>
      </c>
      <c r="AG260" s="223" t="s">
        <v>3676</v>
      </c>
      <c r="AH260" s="116">
        <v>2025</v>
      </c>
      <c r="AI260" s="116">
        <v>2</v>
      </c>
      <c r="AJ260" s="223" t="s">
        <v>3677</v>
      </c>
      <c r="AK260" s="223" t="s">
        <v>35</v>
      </c>
      <c r="AL260" s="223"/>
      <c r="AM260" s="60">
        <v>1997092918</v>
      </c>
    </row>
    <row r="261" spans="32:39">
      <c r="AF261" s="223" t="s">
        <v>3693</v>
      </c>
      <c r="AG261" s="223" t="s">
        <v>3676</v>
      </c>
      <c r="AH261" s="116">
        <v>2025</v>
      </c>
      <c r="AI261" s="116">
        <v>3</v>
      </c>
      <c r="AJ261" s="223" t="s">
        <v>3677</v>
      </c>
      <c r="AK261" s="223" t="s">
        <v>35</v>
      </c>
      <c r="AL261" s="223"/>
      <c r="AM261" s="60">
        <v>2417242160</v>
      </c>
    </row>
    <row r="262" spans="32:39">
      <c r="AF262" s="223" t="s">
        <v>3693</v>
      </c>
      <c r="AG262" s="223" t="s">
        <v>3676</v>
      </c>
      <c r="AH262" s="116">
        <v>2025</v>
      </c>
      <c r="AI262" s="116">
        <v>4</v>
      </c>
      <c r="AJ262" s="223" t="s">
        <v>3677</v>
      </c>
      <c r="AK262" s="223" t="s">
        <v>35</v>
      </c>
      <c r="AL262" s="223"/>
      <c r="AM262" s="60">
        <v>3336929864</v>
      </c>
    </row>
    <row r="263" spans="32:39">
      <c r="AF263" s="223" t="s">
        <v>3693</v>
      </c>
      <c r="AG263" s="223" t="s">
        <v>3676</v>
      </c>
      <c r="AH263" s="116">
        <v>2025</v>
      </c>
      <c r="AI263" s="116">
        <v>5</v>
      </c>
      <c r="AJ263" s="223" t="s">
        <v>3677</v>
      </c>
      <c r="AK263" s="223" t="s">
        <v>35</v>
      </c>
      <c r="AL263" s="223"/>
      <c r="AM263" s="60">
        <v>4079351630</v>
      </c>
    </row>
    <row r="264" spans="32:39">
      <c r="AF264" s="223" t="s">
        <v>3693</v>
      </c>
      <c r="AG264" s="223" t="s">
        <v>3676</v>
      </c>
      <c r="AH264" s="116">
        <v>2025</v>
      </c>
      <c r="AI264" s="116">
        <v>6</v>
      </c>
      <c r="AJ264" s="223" t="s">
        <v>3677</v>
      </c>
      <c r="AK264" s="223" t="s">
        <v>35</v>
      </c>
      <c r="AL264" s="223"/>
      <c r="AM264" s="60">
        <v>3957980408</v>
      </c>
    </row>
    <row r="265" spans="32:39">
      <c r="AF265" s="223" t="s">
        <v>3693</v>
      </c>
      <c r="AG265" s="223" t="s">
        <v>3638</v>
      </c>
      <c r="AH265" s="116">
        <v>2025</v>
      </c>
      <c r="AI265" s="116">
        <v>1</v>
      </c>
      <c r="AJ265" s="223" t="s">
        <v>3639</v>
      </c>
      <c r="AK265" s="223" t="s">
        <v>35</v>
      </c>
      <c r="AL265" s="223"/>
      <c r="AM265" s="60">
        <v>7874</v>
      </c>
    </row>
    <row r="266" spans="32:39">
      <c r="AF266" s="223" t="s">
        <v>3693</v>
      </c>
      <c r="AG266" s="223" t="s">
        <v>3638</v>
      </c>
      <c r="AH266" s="116">
        <v>2025</v>
      </c>
      <c r="AI266" s="116">
        <v>2</v>
      </c>
      <c r="AJ266" s="223" t="s">
        <v>3639</v>
      </c>
      <c r="AK266" s="223" t="s">
        <v>35</v>
      </c>
      <c r="AL266" s="223"/>
      <c r="AM266" s="60">
        <v>12248</v>
      </c>
    </row>
    <row r="267" spans="32:39">
      <c r="AF267" s="223" t="s">
        <v>3693</v>
      </c>
      <c r="AG267" s="223" t="s">
        <v>3638</v>
      </c>
      <c r="AH267" s="116">
        <v>2025</v>
      </c>
      <c r="AI267" s="116">
        <v>3</v>
      </c>
      <c r="AJ267" s="223" t="s">
        <v>3639</v>
      </c>
      <c r="AK267" s="223" t="s">
        <v>35</v>
      </c>
      <c r="AL267" s="223"/>
      <c r="AM267" s="60">
        <v>776822</v>
      </c>
    </row>
    <row r="268" spans="32:39">
      <c r="AF268" s="223" t="s">
        <v>3693</v>
      </c>
      <c r="AG268" s="223" t="s">
        <v>3638</v>
      </c>
      <c r="AH268" s="116">
        <v>2025</v>
      </c>
      <c r="AI268" s="116">
        <v>4</v>
      </c>
      <c r="AJ268" s="223" t="s">
        <v>3639</v>
      </c>
      <c r="AK268" s="223" t="s">
        <v>35</v>
      </c>
      <c r="AL268" s="223"/>
      <c r="AM268" s="60">
        <v>113036</v>
      </c>
    </row>
    <row r="269" spans="32:39">
      <c r="AF269" s="223" t="s">
        <v>3693</v>
      </c>
      <c r="AG269" s="223" t="s">
        <v>3638</v>
      </c>
      <c r="AH269" s="116">
        <v>2025</v>
      </c>
      <c r="AI269" s="116">
        <v>5</v>
      </c>
      <c r="AJ269" s="223" t="s">
        <v>3639</v>
      </c>
      <c r="AK269" s="223" t="s">
        <v>35</v>
      </c>
      <c r="AL269" s="223"/>
      <c r="AM269" s="60">
        <v>71748</v>
      </c>
    </row>
    <row r="270" spans="32:39">
      <c r="AF270" s="223" t="s">
        <v>3693</v>
      </c>
      <c r="AG270" s="223" t="s">
        <v>3638</v>
      </c>
      <c r="AH270" s="116">
        <v>2025</v>
      </c>
      <c r="AI270" s="116">
        <v>6</v>
      </c>
      <c r="AJ270" s="223" t="s">
        <v>3639</v>
      </c>
      <c r="AK270" s="223" t="s">
        <v>35</v>
      </c>
      <c r="AL270" s="223"/>
      <c r="AM270" s="60">
        <v>92020</v>
      </c>
    </row>
    <row r="271" spans="32:39">
      <c r="AF271" s="223" t="s">
        <v>3693</v>
      </c>
      <c r="AG271" s="223" t="s">
        <v>3664</v>
      </c>
      <c r="AH271" s="116">
        <v>2025</v>
      </c>
      <c r="AI271" s="116">
        <v>1</v>
      </c>
      <c r="AJ271" s="223" t="s">
        <v>3665</v>
      </c>
      <c r="AK271" s="223" t="s">
        <v>35</v>
      </c>
      <c r="AL271" s="223"/>
      <c r="AM271" s="60">
        <v>13544280</v>
      </c>
    </row>
    <row r="272" spans="32:39">
      <c r="AF272" s="223" t="s">
        <v>3693</v>
      </c>
      <c r="AG272" s="223" t="s">
        <v>3664</v>
      </c>
      <c r="AH272" s="116">
        <v>2025</v>
      </c>
      <c r="AI272" s="116">
        <v>2</v>
      </c>
      <c r="AJ272" s="223" t="s">
        <v>3665</v>
      </c>
      <c r="AK272" s="223" t="s">
        <v>35</v>
      </c>
      <c r="AL272" s="223"/>
      <c r="AM272" s="60">
        <v>14831013</v>
      </c>
    </row>
    <row r="273" spans="32:39">
      <c r="AF273" s="223" t="s">
        <v>3693</v>
      </c>
      <c r="AG273" s="223" t="s">
        <v>3664</v>
      </c>
      <c r="AH273" s="116">
        <v>2025</v>
      </c>
      <c r="AI273" s="116">
        <v>3</v>
      </c>
      <c r="AJ273" s="223" t="s">
        <v>3665</v>
      </c>
      <c r="AK273" s="223" t="s">
        <v>35</v>
      </c>
      <c r="AL273" s="223"/>
      <c r="AM273" s="60">
        <v>25087564</v>
      </c>
    </row>
    <row r="274" spans="32:39">
      <c r="AF274" s="223" t="s">
        <v>3693</v>
      </c>
      <c r="AG274" s="223" t="s">
        <v>3664</v>
      </c>
      <c r="AH274" s="116">
        <v>2025</v>
      </c>
      <c r="AI274" s="116">
        <v>4</v>
      </c>
      <c r="AJ274" s="223" t="s">
        <v>3665</v>
      </c>
      <c r="AK274" s="223" t="s">
        <v>35</v>
      </c>
      <c r="AL274" s="223"/>
      <c r="AM274" s="60">
        <v>13986879</v>
      </c>
    </row>
    <row r="275" spans="32:39">
      <c r="AF275" s="223" t="s">
        <v>3693</v>
      </c>
      <c r="AG275" s="223" t="s">
        <v>3664</v>
      </c>
      <c r="AH275" s="116">
        <v>2025</v>
      </c>
      <c r="AI275" s="116">
        <v>5</v>
      </c>
      <c r="AJ275" s="223" t="s">
        <v>3665</v>
      </c>
      <c r="AK275" s="223" t="s">
        <v>35</v>
      </c>
      <c r="AL275" s="223"/>
      <c r="AM275" s="60">
        <v>12284955</v>
      </c>
    </row>
    <row r="276" spans="32:39">
      <c r="AF276" s="223" t="s">
        <v>3693</v>
      </c>
      <c r="AG276" s="223" t="s">
        <v>3664</v>
      </c>
      <c r="AH276" s="116">
        <v>2025</v>
      </c>
      <c r="AI276" s="116">
        <v>6</v>
      </c>
      <c r="AJ276" s="223" t="s">
        <v>3665</v>
      </c>
      <c r="AK276" s="223" t="s">
        <v>35</v>
      </c>
      <c r="AL276" s="223"/>
      <c r="AM276" s="60">
        <v>11983704</v>
      </c>
    </row>
    <row r="277" spans="32:39">
      <c r="AF277" s="223" t="s">
        <v>3693</v>
      </c>
      <c r="AG277" s="223" t="s">
        <v>3640</v>
      </c>
      <c r="AH277" s="116">
        <v>2025</v>
      </c>
      <c r="AI277" s="116">
        <v>1</v>
      </c>
      <c r="AJ277" s="223" t="s">
        <v>3641</v>
      </c>
      <c r="AK277" s="223" t="s">
        <v>35</v>
      </c>
      <c r="AL277" s="223"/>
      <c r="AM277" s="60">
        <v>20801228</v>
      </c>
    </row>
    <row r="278" spans="32:39">
      <c r="AF278" s="223" t="s">
        <v>3693</v>
      </c>
      <c r="AG278" s="223" t="s">
        <v>3640</v>
      </c>
      <c r="AH278" s="116">
        <v>2025</v>
      </c>
      <c r="AI278" s="116">
        <v>2</v>
      </c>
      <c r="AJ278" s="223" t="s">
        <v>3641</v>
      </c>
      <c r="AK278" s="223" t="s">
        <v>35</v>
      </c>
      <c r="AL278" s="223"/>
      <c r="AM278" s="60">
        <v>11134707</v>
      </c>
    </row>
    <row r="279" spans="32:39">
      <c r="AF279" s="223" t="s">
        <v>3693</v>
      </c>
      <c r="AG279" s="223" t="s">
        <v>3640</v>
      </c>
      <c r="AH279" s="116">
        <v>2025</v>
      </c>
      <c r="AI279" s="116">
        <v>3</v>
      </c>
      <c r="AJ279" s="223" t="s">
        <v>3641</v>
      </c>
      <c r="AK279" s="223" t="s">
        <v>35</v>
      </c>
      <c r="AL279" s="223"/>
      <c r="AM279" s="60">
        <v>85443475</v>
      </c>
    </row>
    <row r="280" spans="32:39">
      <c r="AF280" s="223" t="s">
        <v>3693</v>
      </c>
      <c r="AG280" s="223" t="s">
        <v>3640</v>
      </c>
      <c r="AH280" s="116">
        <v>2025</v>
      </c>
      <c r="AI280" s="116">
        <v>4</v>
      </c>
      <c r="AJ280" s="223" t="s">
        <v>3641</v>
      </c>
      <c r="AK280" s="223" t="s">
        <v>35</v>
      </c>
      <c r="AL280" s="223"/>
      <c r="AM280" s="60">
        <v>32655364</v>
      </c>
    </row>
    <row r="281" spans="32:39">
      <c r="AF281" s="223" t="s">
        <v>3693</v>
      </c>
      <c r="AG281" s="223" t="s">
        <v>3640</v>
      </c>
      <c r="AH281" s="116">
        <v>2025</v>
      </c>
      <c r="AI281" s="116">
        <v>5</v>
      </c>
      <c r="AJ281" s="223" t="s">
        <v>3641</v>
      </c>
      <c r="AK281" s="223" t="s">
        <v>35</v>
      </c>
      <c r="AL281" s="223"/>
      <c r="AM281" s="60">
        <v>31582163</v>
      </c>
    </row>
    <row r="282" spans="32:39">
      <c r="AF282" s="223" t="s">
        <v>3693</v>
      </c>
      <c r="AG282" s="223" t="s">
        <v>3640</v>
      </c>
      <c r="AH282" s="116">
        <v>2025</v>
      </c>
      <c r="AI282" s="116">
        <v>6</v>
      </c>
      <c r="AJ282" s="223" t="s">
        <v>3641</v>
      </c>
      <c r="AK282" s="223" t="s">
        <v>35</v>
      </c>
      <c r="AL282" s="223"/>
      <c r="AM282" s="60">
        <v>6291393</v>
      </c>
    </row>
    <row r="283" spans="32:39">
      <c r="AF283" s="223" t="s">
        <v>3693</v>
      </c>
      <c r="AG283" s="223" t="s">
        <v>3686</v>
      </c>
      <c r="AH283" s="116">
        <v>2025</v>
      </c>
      <c r="AI283" s="116">
        <v>1</v>
      </c>
      <c r="AJ283" s="223" t="s">
        <v>3687</v>
      </c>
      <c r="AK283" s="223" t="s">
        <v>35</v>
      </c>
      <c r="AL283" s="223"/>
      <c r="AM283" s="60">
        <v>29227226</v>
      </c>
    </row>
    <row r="284" spans="32:39">
      <c r="AF284" s="223" t="s">
        <v>3693</v>
      </c>
      <c r="AG284" s="223" t="s">
        <v>3686</v>
      </c>
      <c r="AH284" s="116">
        <v>2025</v>
      </c>
      <c r="AI284" s="116">
        <v>2</v>
      </c>
      <c r="AJ284" s="223" t="s">
        <v>3687</v>
      </c>
      <c r="AK284" s="223" t="s">
        <v>35</v>
      </c>
      <c r="AL284" s="223"/>
      <c r="AM284" s="60">
        <v>21274176</v>
      </c>
    </row>
    <row r="285" spans="32:39">
      <c r="AF285" s="223" t="s">
        <v>3693</v>
      </c>
      <c r="AG285" s="223" t="s">
        <v>3686</v>
      </c>
      <c r="AH285" s="116">
        <v>2025</v>
      </c>
      <c r="AI285" s="116">
        <v>3</v>
      </c>
      <c r="AJ285" s="223" t="s">
        <v>3687</v>
      </c>
      <c r="AK285" s="223" t="s">
        <v>35</v>
      </c>
      <c r="AL285" s="223"/>
      <c r="AM285" s="60">
        <v>30153572</v>
      </c>
    </row>
    <row r="286" spans="32:39">
      <c r="AF286" s="223" t="s">
        <v>3693</v>
      </c>
      <c r="AG286" s="223" t="s">
        <v>3686</v>
      </c>
      <c r="AH286" s="116">
        <v>2025</v>
      </c>
      <c r="AI286" s="116">
        <v>4</v>
      </c>
      <c r="AJ286" s="223" t="s">
        <v>3687</v>
      </c>
      <c r="AK286" s="223" t="s">
        <v>35</v>
      </c>
      <c r="AL286" s="223"/>
      <c r="AM286" s="60">
        <v>17185372</v>
      </c>
    </row>
    <row r="287" spans="32:39">
      <c r="AF287" s="223" t="s">
        <v>3693</v>
      </c>
      <c r="AG287" s="223" t="s">
        <v>3686</v>
      </c>
      <c r="AH287" s="116">
        <v>2025</v>
      </c>
      <c r="AI287" s="116">
        <v>5</v>
      </c>
      <c r="AJ287" s="223" t="s">
        <v>3687</v>
      </c>
      <c r="AK287" s="223" t="s">
        <v>35</v>
      </c>
      <c r="AL287" s="223"/>
      <c r="AM287" s="60">
        <v>29678351</v>
      </c>
    </row>
    <row r="288" spans="32:39">
      <c r="AF288" s="223" t="s">
        <v>3693</v>
      </c>
      <c r="AG288" s="223" t="s">
        <v>3686</v>
      </c>
      <c r="AH288" s="116">
        <v>2025</v>
      </c>
      <c r="AI288" s="116">
        <v>6</v>
      </c>
      <c r="AJ288" s="223" t="s">
        <v>3687</v>
      </c>
      <c r="AK288" s="223" t="s">
        <v>35</v>
      </c>
      <c r="AL288" s="223"/>
      <c r="AM288" s="60">
        <v>38994700</v>
      </c>
    </row>
    <row r="289" spans="32:39">
      <c r="AF289" s="223" t="s">
        <v>3693</v>
      </c>
      <c r="AG289" s="223" t="s">
        <v>3642</v>
      </c>
      <c r="AH289" s="116">
        <v>2025</v>
      </c>
      <c r="AI289" s="116">
        <v>1</v>
      </c>
      <c r="AJ289" s="223" t="s">
        <v>3643</v>
      </c>
      <c r="AK289" s="223" t="s">
        <v>35</v>
      </c>
      <c r="AL289" s="223"/>
      <c r="AM289" s="60">
        <v>4374200</v>
      </c>
    </row>
    <row r="290" spans="32:39">
      <c r="AF290" s="223" t="s">
        <v>3693</v>
      </c>
      <c r="AG290" s="223" t="s">
        <v>3642</v>
      </c>
      <c r="AH290" s="116">
        <v>2025</v>
      </c>
      <c r="AI290" s="116">
        <v>2</v>
      </c>
      <c r="AJ290" s="223" t="s">
        <v>3643</v>
      </c>
      <c r="AK290" s="223" t="s">
        <v>35</v>
      </c>
      <c r="AL290" s="223"/>
      <c r="AM290" s="60">
        <v>9392638</v>
      </c>
    </row>
    <row r="291" spans="32:39">
      <c r="AF291" s="223" t="s">
        <v>3693</v>
      </c>
      <c r="AG291" s="223" t="s">
        <v>3642</v>
      </c>
      <c r="AH291" s="116">
        <v>2025</v>
      </c>
      <c r="AI291" s="116">
        <v>3</v>
      </c>
      <c r="AJ291" s="223" t="s">
        <v>3643</v>
      </c>
      <c r="AK291" s="223" t="s">
        <v>35</v>
      </c>
      <c r="AL291" s="223"/>
      <c r="AM291" s="60">
        <v>14865639</v>
      </c>
    </row>
    <row r="292" spans="32:39">
      <c r="AF292" s="223" t="s">
        <v>3693</v>
      </c>
      <c r="AG292" s="223" t="s">
        <v>3642</v>
      </c>
      <c r="AH292" s="116">
        <v>2025</v>
      </c>
      <c r="AI292" s="116">
        <v>4</v>
      </c>
      <c r="AJ292" s="223" t="s">
        <v>3643</v>
      </c>
      <c r="AK292" s="223" t="s">
        <v>35</v>
      </c>
      <c r="AL292" s="223"/>
      <c r="AM292" s="60">
        <v>39747304</v>
      </c>
    </row>
    <row r="293" spans="32:39">
      <c r="AF293" s="223" t="s">
        <v>3693</v>
      </c>
      <c r="AG293" s="223" t="s">
        <v>3642</v>
      </c>
      <c r="AH293" s="116">
        <v>2025</v>
      </c>
      <c r="AI293" s="116">
        <v>5</v>
      </c>
      <c r="AJ293" s="223" t="s">
        <v>3643</v>
      </c>
      <c r="AK293" s="223" t="s">
        <v>35</v>
      </c>
      <c r="AL293" s="223"/>
      <c r="AM293" s="60">
        <v>49826362</v>
      </c>
    </row>
    <row r="294" spans="32:39">
      <c r="AF294" s="223" t="s">
        <v>3693</v>
      </c>
      <c r="AG294" s="223" t="s">
        <v>3642</v>
      </c>
      <c r="AH294" s="116">
        <v>2025</v>
      </c>
      <c r="AI294" s="116">
        <v>6</v>
      </c>
      <c r="AJ294" s="223" t="s">
        <v>3643</v>
      </c>
      <c r="AK294" s="223" t="s">
        <v>35</v>
      </c>
      <c r="AL294" s="223"/>
      <c r="AM294" s="60">
        <v>54869885</v>
      </c>
    </row>
    <row r="295" spans="32:39">
      <c r="AF295" s="223" t="s">
        <v>3693</v>
      </c>
      <c r="AG295" s="223" t="s">
        <v>3666</v>
      </c>
      <c r="AH295" s="116">
        <v>2025</v>
      </c>
      <c r="AI295" s="116">
        <v>1</v>
      </c>
      <c r="AJ295" s="223" t="s">
        <v>3667</v>
      </c>
      <c r="AK295" s="223" t="s">
        <v>35</v>
      </c>
      <c r="AL295" s="223"/>
      <c r="AM295" s="60">
        <v>13983704</v>
      </c>
    </row>
    <row r="296" spans="32:39">
      <c r="AF296" s="223" t="s">
        <v>3693</v>
      </c>
      <c r="AG296" s="223" t="s">
        <v>3666</v>
      </c>
      <c r="AH296" s="116">
        <v>2025</v>
      </c>
      <c r="AI296" s="116">
        <v>2</v>
      </c>
      <c r="AJ296" s="223" t="s">
        <v>3667</v>
      </c>
      <c r="AK296" s="223" t="s">
        <v>35</v>
      </c>
      <c r="AL296" s="223"/>
      <c r="AM296" s="60">
        <v>58625846</v>
      </c>
    </row>
    <row r="297" spans="32:39">
      <c r="AF297" s="223" t="s">
        <v>3693</v>
      </c>
      <c r="AG297" s="223" t="s">
        <v>3666</v>
      </c>
      <c r="AH297" s="116">
        <v>2025</v>
      </c>
      <c r="AI297" s="116">
        <v>3</v>
      </c>
      <c r="AJ297" s="223" t="s">
        <v>3667</v>
      </c>
      <c r="AK297" s="223" t="s">
        <v>35</v>
      </c>
      <c r="AL297" s="223"/>
      <c r="AM297" s="60">
        <v>35744850</v>
      </c>
    </row>
    <row r="298" spans="32:39">
      <c r="AF298" s="223" t="s">
        <v>3693</v>
      </c>
      <c r="AG298" s="223" t="s">
        <v>3666</v>
      </c>
      <c r="AH298" s="116">
        <v>2025</v>
      </c>
      <c r="AI298" s="116">
        <v>4</v>
      </c>
      <c r="AJ298" s="223" t="s">
        <v>3667</v>
      </c>
      <c r="AK298" s="223" t="s">
        <v>35</v>
      </c>
      <c r="AL298" s="223"/>
      <c r="AM298" s="60">
        <v>155369401</v>
      </c>
    </row>
    <row r="299" spans="32:39">
      <c r="AF299" s="223" t="s">
        <v>3693</v>
      </c>
      <c r="AG299" s="223" t="s">
        <v>3666</v>
      </c>
      <c r="AH299" s="116">
        <v>2025</v>
      </c>
      <c r="AI299" s="116">
        <v>5</v>
      </c>
      <c r="AJ299" s="223" t="s">
        <v>3667</v>
      </c>
      <c r="AK299" s="223" t="s">
        <v>35</v>
      </c>
      <c r="AL299" s="223"/>
      <c r="AM299" s="60">
        <v>215188318</v>
      </c>
    </row>
    <row r="300" spans="32:39">
      <c r="AF300" s="223" t="s">
        <v>3693</v>
      </c>
      <c r="AG300" s="223" t="s">
        <v>3666</v>
      </c>
      <c r="AH300" s="116">
        <v>2025</v>
      </c>
      <c r="AI300" s="116">
        <v>6</v>
      </c>
      <c r="AJ300" s="223" t="s">
        <v>3667</v>
      </c>
      <c r="AK300" s="223" t="s">
        <v>35</v>
      </c>
      <c r="AL300" s="223"/>
      <c r="AM300" s="60">
        <v>135657728</v>
      </c>
    </row>
    <row r="301" spans="32:39">
      <c r="AF301" s="223" t="s">
        <v>3693</v>
      </c>
      <c r="AG301" s="223" t="s">
        <v>3644</v>
      </c>
      <c r="AH301" s="116">
        <v>2025</v>
      </c>
      <c r="AI301" s="116">
        <v>1</v>
      </c>
      <c r="AJ301" s="223" t="s">
        <v>3645</v>
      </c>
      <c r="AK301" s="223" t="s">
        <v>35</v>
      </c>
      <c r="AL301" s="223"/>
      <c r="AM301" s="60">
        <v>8243681</v>
      </c>
    </row>
    <row r="302" spans="32:39">
      <c r="AF302" s="223" t="s">
        <v>3693</v>
      </c>
      <c r="AG302" s="223" t="s">
        <v>3644</v>
      </c>
      <c r="AH302" s="116">
        <v>2025</v>
      </c>
      <c r="AI302" s="116">
        <v>2</v>
      </c>
      <c r="AJ302" s="223" t="s">
        <v>3645</v>
      </c>
      <c r="AK302" s="223" t="s">
        <v>35</v>
      </c>
      <c r="AL302" s="223"/>
      <c r="AM302" s="60">
        <v>6254596</v>
      </c>
    </row>
    <row r="303" spans="32:39">
      <c r="AF303" s="223" t="s">
        <v>3693</v>
      </c>
      <c r="AG303" s="223" t="s">
        <v>3644</v>
      </c>
      <c r="AH303" s="116">
        <v>2025</v>
      </c>
      <c r="AI303" s="116">
        <v>3</v>
      </c>
      <c r="AJ303" s="223" t="s">
        <v>3645</v>
      </c>
      <c r="AK303" s="223" t="s">
        <v>35</v>
      </c>
      <c r="AL303" s="223"/>
      <c r="AM303" s="60">
        <v>8485969</v>
      </c>
    </row>
    <row r="304" spans="32:39">
      <c r="AF304" s="223" t="s">
        <v>3693</v>
      </c>
      <c r="AG304" s="223" t="s">
        <v>3644</v>
      </c>
      <c r="AH304" s="116">
        <v>2025</v>
      </c>
      <c r="AI304" s="116">
        <v>4</v>
      </c>
      <c r="AJ304" s="223" t="s">
        <v>3645</v>
      </c>
      <c r="AK304" s="223" t="s">
        <v>35</v>
      </c>
      <c r="AL304" s="223"/>
      <c r="AM304" s="60">
        <v>6093980</v>
      </c>
    </row>
    <row r="305" spans="32:39">
      <c r="AF305" s="223" t="s">
        <v>3693</v>
      </c>
      <c r="AG305" s="223" t="s">
        <v>3644</v>
      </c>
      <c r="AH305" s="116">
        <v>2025</v>
      </c>
      <c r="AI305" s="116">
        <v>5</v>
      </c>
      <c r="AJ305" s="223" t="s">
        <v>3645</v>
      </c>
      <c r="AK305" s="223" t="s">
        <v>35</v>
      </c>
      <c r="AL305" s="223"/>
      <c r="AM305" s="60">
        <v>6149255</v>
      </c>
    </row>
    <row r="306" spans="32:39">
      <c r="AF306" s="223" t="s">
        <v>3693</v>
      </c>
      <c r="AG306" s="223" t="s">
        <v>3644</v>
      </c>
      <c r="AH306" s="116">
        <v>2025</v>
      </c>
      <c r="AI306" s="116">
        <v>6</v>
      </c>
      <c r="AJ306" s="223" t="s">
        <v>3645</v>
      </c>
      <c r="AK306" s="223" t="s">
        <v>35</v>
      </c>
      <c r="AL306" s="223"/>
      <c r="AM306" s="60">
        <v>5330669</v>
      </c>
    </row>
    <row r="307" spans="32:39">
      <c r="AF307" s="223" t="s">
        <v>3693</v>
      </c>
      <c r="AG307" s="223" t="s">
        <v>3678</v>
      </c>
      <c r="AH307" s="116">
        <v>2025</v>
      </c>
      <c r="AI307" s="116">
        <v>1</v>
      </c>
      <c r="AJ307" s="223" t="s">
        <v>3679</v>
      </c>
      <c r="AK307" s="223" t="s">
        <v>35</v>
      </c>
      <c r="AL307" s="223"/>
      <c r="AM307" s="60">
        <v>14480850</v>
      </c>
    </row>
    <row r="308" spans="32:39">
      <c r="AF308" s="223" t="s">
        <v>3693</v>
      </c>
      <c r="AG308" s="223" t="s">
        <v>3678</v>
      </c>
      <c r="AH308" s="116">
        <v>2025</v>
      </c>
      <c r="AI308" s="116">
        <v>2</v>
      </c>
      <c r="AJ308" s="223" t="s">
        <v>3679</v>
      </c>
      <c r="AK308" s="223" t="s">
        <v>35</v>
      </c>
      <c r="AL308" s="223"/>
      <c r="AM308" s="60">
        <v>13127455</v>
      </c>
    </row>
    <row r="309" spans="32:39">
      <c r="AF309" s="223" t="s">
        <v>3693</v>
      </c>
      <c r="AG309" s="223" t="s">
        <v>3678</v>
      </c>
      <c r="AH309" s="116">
        <v>2025</v>
      </c>
      <c r="AI309" s="116">
        <v>3</v>
      </c>
      <c r="AJ309" s="223" t="s">
        <v>3679</v>
      </c>
      <c r="AK309" s="223" t="s">
        <v>35</v>
      </c>
      <c r="AL309" s="223"/>
      <c r="AM309" s="60">
        <v>71862368</v>
      </c>
    </row>
    <row r="310" spans="32:39">
      <c r="AF310" s="223" t="s">
        <v>3693</v>
      </c>
      <c r="AG310" s="223" t="s">
        <v>3678</v>
      </c>
      <c r="AH310" s="116">
        <v>2025</v>
      </c>
      <c r="AI310" s="116">
        <v>4</v>
      </c>
      <c r="AJ310" s="223" t="s">
        <v>3679</v>
      </c>
      <c r="AK310" s="223" t="s">
        <v>35</v>
      </c>
      <c r="AL310" s="223"/>
      <c r="AM310" s="60">
        <v>68199980</v>
      </c>
    </row>
    <row r="311" spans="32:39">
      <c r="AF311" s="223" t="s">
        <v>3693</v>
      </c>
      <c r="AG311" s="223" t="s">
        <v>3678</v>
      </c>
      <c r="AH311" s="116">
        <v>2025</v>
      </c>
      <c r="AI311" s="116">
        <v>5</v>
      </c>
      <c r="AJ311" s="223" t="s">
        <v>3679</v>
      </c>
      <c r="AK311" s="223" t="s">
        <v>35</v>
      </c>
      <c r="AL311" s="223"/>
      <c r="AM311" s="60">
        <v>77316806</v>
      </c>
    </row>
    <row r="312" spans="32:39">
      <c r="AF312" s="223" t="s">
        <v>3693</v>
      </c>
      <c r="AG312" s="223" t="s">
        <v>3678</v>
      </c>
      <c r="AH312" s="116">
        <v>2025</v>
      </c>
      <c r="AI312" s="116">
        <v>6</v>
      </c>
      <c r="AJ312" s="223" t="s">
        <v>3679</v>
      </c>
      <c r="AK312" s="223" t="s">
        <v>35</v>
      </c>
      <c r="AL312" s="223"/>
      <c r="AM312" s="60">
        <v>59121600</v>
      </c>
    </row>
    <row r="313" spans="32:39">
      <c r="AF313" s="223" t="s">
        <v>3693</v>
      </c>
      <c r="AG313" s="223" t="s">
        <v>3646</v>
      </c>
      <c r="AH313" s="116">
        <v>2025</v>
      </c>
      <c r="AI313" s="116">
        <v>1</v>
      </c>
      <c r="AJ313" s="223" t="s">
        <v>3647</v>
      </c>
      <c r="AK313" s="223" t="s">
        <v>35</v>
      </c>
      <c r="AL313" s="223"/>
      <c r="AM313" s="60">
        <v>14994467</v>
      </c>
    </row>
    <row r="314" spans="32:39">
      <c r="AF314" s="223" t="s">
        <v>3693</v>
      </c>
      <c r="AG314" s="223" t="s">
        <v>3646</v>
      </c>
      <c r="AH314" s="116">
        <v>2025</v>
      </c>
      <c r="AI314" s="116">
        <v>2</v>
      </c>
      <c r="AJ314" s="223" t="s">
        <v>3647</v>
      </c>
      <c r="AK314" s="223" t="s">
        <v>35</v>
      </c>
      <c r="AL314" s="223"/>
      <c r="AM314" s="60">
        <v>15838269</v>
      </c>
    </row>
    <row r="315" spans="32:39">
      <c r="AF315" s="223" t="s">
        <v>3693</v>
      </c>
      <c r="AG315" s="223" t="s">
        <v>3646</v>
      </c>
      <c r="AH315" s="116">
        <v>2025</v>
      </c>
      <c r="AI315" s="116">
        <v>3</v>
      </c>
      <c r="AJ315" s="223" t="s">
        <v>3647</v>
      </c>
      <c r="AK315" s="223" t="s">
        <v>35</v>
      </c>
      <c r="AL315" s="223"/>
      <c r="AM315" s="60">
        <v>18110177</v>
      </c>
    </row>
    <row r="316" spans="32:39">
      <c r="AF316" s="223" t="s">
        <v>3693</v>
      </c>
      <c r="AG316" s="223" t="s">
        <v>3646</v>
      </c>
      <c r="AH316" s="116">
        <v>2025</v>
      </c>
      <c r="AI316" s="116">
        <v>4</v>
      </c>
      <c r="AJ316" s="223" t="s">
        <v>3647</v>
      </c>
      <c r="AK316" s="223" t="s">
        <v>35</v>
      </c>
      <c r="AL316" s="223"/>
      <c r="AM316" s="60">
        <v>13449047</v>
      </c>
    </row>
    <row r="317" spans="32:39">
      <c r="AF317" s="223" t="s">
        <v>3693</v>
      </c>
      <c r="AG317" s="223" t="s">
        <v>3646</v>
      </c>
      <c r="AH317" s="116">
        <v>2025</v>
      </c>
      <c r="AI317" s="116">
        <v>5</v>
      </c>
      <c r="AJ317" s="223" t="s">
        <v>3647</v>
      </c>
      <c r="AK317" s="223" t="s">
        <v>35</v>
      </c>
      <c r="AL317" s="223"/>
      <c r="AM317" s="60">
        <v>15579374</v>
      </c>
    </row>
    <row r="318" spans="32:39">
      <c r="AF318" s="223" t="s">
        <v>3693</v>
      </c>
      <c r="AG318" s="223" t="s">
        <v>3646</v>
      </c>
      <c r="AH318" s="116">
        <v>2025</v>
      </c>
      <c r="AI318" s="116">
        <v>6</v>
      </c>
      <c r="AJ318" s="223" t="s">
        <v>3647</v>
      </c>
      <c r="AK318" s="223" t="s">
        <v>35</v>
      </c>
      <c r="AL318" s="223"/>
      <c r="AM318" s="60">
        <v>13429292</v>
      </c>
    </row>
    <row r="319" spans="32:39">
      <c r="AF319" s="223" t="s">
        <v>3693</v>
      </c>
      <c r="AG319" s="223" t="s">
        <v>3668</v>
      </c>
      <c r="AH319" s="116">
        <v>2025</v>
      </c>
      <c r="AI319" s="116">
        <v>1</v>
      </c>
      <c r="AJ319" s="223" t="s">
        <v>3669</v>
      </c>
      <c r="AK319" s="223" t="s">
        <v>35</v>
      </c>
      <c r="AL319" s="223"/>
      <c r="AM319" s="60">
        <v>239763722</v>
      </c>
    </row>
    <row r="320" spans="32:39">
      <c r="AF320" s="223" t="s">
        <v>3693</v>
      </c>
      <c r="AG320" s="223" t="s">
        <v>3668</v>
      </c>
      <c r="AH320" s="116">
        <v>2025</v>
      </c>
      <c r="AI320" s="116">
        <v>2</v>
      </c>
      <c r="AJ320" s="223" t="s">
        <v>3669</v>
      </c>
      <c r="AK320" s="223" t="s">
        <v>35</v>
      </c>
      <c r="AL320" s="223"/>
      <c r="AM320" s="60">
        <v>231577871</v>
      </c>
    </row>
    <row r="321" spans="32:39">
      <c r="AF321" s="223" t="s">
        <v>3693</v>
      </c>
      <c r="AG321" s="223" t="s">
        <v>3668</v>
      </c>
      <c r="AH321" s="116">
        <v>2025</v>
      </c>
      <c r="AI321" s="116">
        <v>3</v>
      </c>
      <c r="AJ321" s="223" t="s">
        <v>3669</v>
      </c>
      <c r="AK321" s="223" t="s">
        <v>35</v>
      </c>
      <c r="AL321" s="223"/>
      <c r="AM321" s="60">
        <v>368929538</v>
      </c>
    </row>
    <row r="322" spans="32:39">
      <c r="AF322" s="223" t="s">
        <v>3693</v>
      </c>
      <c r="AG322" s="223" t="s">
        <v>3668</v>
      </c>
      <c r="AH322" s="116">
        <v>2025</v>
      </c>
      <c r="AI322" s="116">
        <v>4</v>
      </c>
      <c r="AJ322" s="223" t="s">
        <v>3669</v>
      </c>
      <c r="AK322" s="223" t="s">
        <v>35</v>
      </c>
      <c r="AL322" s="223"/>
      <c r="AM322" s="60">
        <v>456075822</v>
      </c>
    </row>
    <row r="323" spans="32:39">
      <c r="AF323" s="223" t="s">
        <v>3693</v>
      </c>
      <c r="AG323" s="223" t="s">
        <v>3668</v>
      </c>
      <c r="AH323" s="116">
        <v>2025</v>
      </c>
      <c r="AI323" s="116">
        <v>5</v>
      </c>
      <c r="AJ323" s="223" t="s">
        <v>3669</v>
      </c>
      <c r="AK323" s="223" t="s">
        <v>35</v>
      </c>
      <c r="AL323" s="223"/>
      <c r="AM323" s="60">
        <v>425012492</v>
      </c>
    </row>
    <row r="324" spans="32:39">
      <c r="AF324" s="223" t="s">
        <v>3693</v>
      </c>
      <c r="AG324" s="223" t="s">
        <v>3668</v>
      </c>
      <c r="AH324" s="116">
        <v>2025</v>
      </c>
      <c r="AI324" s="116">
        <v>6</v>
      </c>
      <c r="AJ324" s="223" t="s">
        <v>3669</v>
      </c>
      <c r="AK324" s="223" t="s">
        <v>35</v>
      </c>
      <c r="AL324" s="223"/>
      <c r="AM324" s="60">
        <v>345732260</v>
      </c>
    </row>
    <row r="325" spans="32:39">
      <c r="AF325" s="223" t="s">
        <v>3693</v>
      </c>
      <c r="AG325" s="223" t="s">
        <v>3648</v>
      </c>
      <c r="AH325" s="116">
        <v>2025</v>
      </c>
      <c r="AI325" s="116">
        <v>1</v>
      </c>
      <c r="AJ325" s="223" t="s">
        <v>3649</v>
      </c>
      <c r="AK325" s="223" t="s">
        <v>35</v>
      </c>
      <c r="AL325" s="223"/>
      <c r="AM325" s="60">
        <v>19255867</v>
      </c>
    </row>
    <row r="326" spans="32:39">
      <c r="AF326" s="223" t="s">
        <v>3693</v>
      </c>
      <c r="AG326" s="223" t="s">
        <v>3648</v>
      </c>
      <c r="AH326" s="116">
        <v>2025</v>
      </c>
      <c r="AI326" s="116">
        <v>2</v>
      </c>
      <c r="AJ326" s="223" t="s">
        <v>3649</v>
      </c>
      <c r="AK326" s="223" t="s">
        <v>35</v>
      </c>
      <c r="AL326" s="223"/>
      <c r="AM326" s="60">
        <v>20437062</v>
      </c>
    </row>
    <row r="327" spans="32:39">
      <c r="AF327" s="223" t="s">
        <v>3693</v>
      </c>
      <c r="AG327" s="223" t="s">
        <v>3648</v>
      </c>
      <c r="AH327" s="116">
        <v>2025</v>
      </c>
      <c r="AI327" s="116">
        <v>3</v>
      </c>
      <c r="AJ327" s="223" t="s">
        <v>3649</v>
      </c>
      <c r="AK327" s="223" t="s">
        <v>35</v>
      </c>
      <c r="AL327" s="223"/>
      <c r="AM327" s="60">
        <v>27715333</v>
      </c>
    </row>
    <row r="328" spans="32:39">
      <c r="AF328" s="223" t="s">
        <v>3693</v>
      </c>
      <c r="AG328" s="223" t="s">
        <v>3648</v>
      </c>
      <c r="AH328" s="116">
        <v>2025</v>
      </c>
      <c r="AI328" s="116">
        <v>4</v>
      </c>
      <c r="AJ328" s="223" t="s">
        <v>3649</v>
      </c>
      <c r="AK328" s="223" t="s">
        <v>35</v>
      </c>
      <c r="AL328" s="223"/>
      <c r="AM328" s="60">
        <v>11777939</v>
      </c>
    </row>
    <row r="329" spans="32:39">
      <c r="AF329" s="223" t="s">
        <v>3693</v>
      </c>
      <c r="AG329" s="223" t="s">
        <v>3648</v>
      </c>
      <c r="AH329" s="116">
        <v>2025</v>
      </c>
      <c r="AI329" s="116">
        <v>5</v>
      </c>
      <c r="AJ329" s="223" t="s">
        <v>3649</v>
      </c>
      <c r="AK329" s="223" t="s">
        <v>35</v>
      </c>
      <c r="AL329" s="223"/>
      <c r="AM329" s="60">
        <v>8072954</v>
      </c>
    </row>
    <row r="330" spans="32:39">
      <c r="AF330" s="223" t="s">
        <v>3693</v>
      </c>
      <c r="AG330" s="223" t="s">
        <v>3648</v>
      </c>
      <c r="AH330" s="116">
        <v>2025</v>
      </c>
      <c r="AI330" s="116">
        <v>6</v>
      </c>
      <c r="AJ330" s="223" t="s">
        <v>3649</v>
      </c>
      <c r="AK330" s="223" t="s">
        <v>35</v>
      </c>
      <c r="AL330" s="223"/>
      <c r="AM330" s="60">
        <v>8412644</v>
      </c>
    </row>
    <row r="331" spans="32:39">
      <c r="AF331" s="223" t="s">
        <v>3693</v>
      </c>
      <c r="AG331" s="223" t="s">
        <v>3684</v>
      </c>
      <c r="AH331" s="116">
        <v>2025</v>
      </c>
      <c r="AI331" s="116">
        <v>1</v>
      </c>
      <c r="AJ331" s="223" t="s">
        <v>3685</v>
      </c>
      <c r="AK331" s="223" t="s">
        <v>35</v>
      </c>
      <c r="AL331" s="223"/>
      <c r="AM331" s="60">
        <v>8718486</v>
      </c>
    </row>
    <row r="332" spans="32:39">
      <c r="AF332" s="223" t="s">
        <v>3693</v>
      </c>
      <c r="AG332" s="223" t="s">
        <v>3684</v>
      </c>
      <c r="AH332" s="116">
        <v>2025</v>
      </c>
      <c r="AI332" s="116">
        <v>2</v>
      </c>
      <c r="AJ332" s="223" t="s">
        <v>3685</v>
      </c>
      <c r="AK332" s="223" t="s">
        <v>35</v>
      </c>
      <c r="AL332" s="223"/>
      <c r="AM332" s="60">
        <v>5508307</v>
      </c>
    </row>
    <row r="333" spans="32:39">
      <c r="AF333" s="223" t="s">
        <v>3693</v>
      </c>
      <c r="AG333" s="223" t="s">
        <v>3684</v>
      </c>
      <c r="AH333" s="116">
        <v>2025</v>
      </c>
      <c r="AI333" s="116">
        <v>3</v>
      </c>
      <c r="AJ333" s="223" t="s">
        <v>3685</v>
      </c>
      <c r="AK333" s="223" t="s">
        <v>35</v>
      </c>
      <c r="AL333" s="223"/>
      <c r="AM333" s="60">
        <v>2196079</v>
      </c>
    </row>
    <row r="334" spans="32:39">
      <c r="AF334" s="223" t="s">
        <v>3693</v>
      </c>
      <c r="AG334" s="223" t="s">
        <v>3684</v>
      </c>
      <c r="AH334" s="116">
        <v>2025</v>
      </c>
      <c r="AI334" s="116">
        <v>4</v>
      </c>
      <c r="AJ334" s="223" t="s">
        <v>3685</v>
      </c>
      <c r="AK334" s="223" t="s">
        <v>35</v>
      </c>
      <c r="AL334" s="223"/>
      <c r="AM334" s="60">
        <v>507808</v>
      </c>
    </row>
    <row r="335" spans="32:39">
      <c r="AF335" s="223" t="s">
        <v>3693</v>
      </c>
      <c r="AG335" s="223" t="s">
        <v>3684</v>
      </c>
      <c r="AH335" s="116">
        <v>2025</v>
      </c>
      <c r="AI335" s="116">
        <v>5</v>
      </c>
      <c r="AJ335" s="223" t="s">
        <v>3685</v>
      </c>
      <c r="AK335" s="223" t="s">
        <v>35</v>
      </c>
      <c r="AL335" s="223"/>
      <c r="AM335" s="60">
        <v>1228992</v>
      </c>
    </row>
    <row r="336" spans="32:39">
      <c r="AF336" s="223" t="s">
        <v>3693</v>
      </c>
      <c r="AG336" s="223" t="s">
        <v>3684</v>
      </c>
      <c r="AH336" s="116">
        <v>2025</v>
      </c>
      <c r="AI336" s="116">
        <v>6</v>
      </c>
      <c r="AJ336" s="223" t="s">
        <v>3685</v>
      </c>
      <c r="AK336" s="223" t="s">
        <v>35</v>
      </c>
      <c r="AL336" s="223"/>
      <c r="AM336" s="60">
        <v>1152484</v>
      </c>
    </row>
    <row r="337" spans="32:39">
      <c r="AF337" s="223" t="s">
        <v>3693</v>
      </c>
      <c r="AG337" s="223" t="s">
        <v>3650</v>
      </c>
      <c r="AH337" s="116">
        <v>2025</v>
      </c>
      <c r="AI337" s="116">
        <v>1</v>
      </c>
      <c r="AJ337" s="223" t="s">
        <v>3651</v>
      </c>
      <c r="AK337" s="223" t="s">
        <v>35</v>
      </c>
      <c r="AL337" s="223"/>
      <c r="AM337" s="60">
        <v>1994235</v>
      </c>
    </row>
    <row r="338" spans="32:39">
      <c r="AF338" s="223" t="s">
        <v>3693</v>
      </c>
      <c r="AG338" s="223" t="s">
        <v>3650</v>
      </c>
      <c r="AH338" s="116">
        <v>2025</v>
      </c>
      <c r="AI338" s="116">
        <v>2</v>
      </c>
      <c r="AJ338" s="223" t="s">
        <v>3651</v>
      </c>
      <c r="AK338" s="223" t="s">
        <v>35</v>
      </c>
      <c r="AL338" s="223"/>
      <c r="AM338" s="60">
        <v>4982784</v>
      </c>
    </row>
    <row r="339" spans="32:39">
      <c r="AF339" s="223" t="s">
        <v>3693</v>
      </c>
      <c r="AG339" s="223" t="s">
        <v>3650</v>
      </c>
      <c r="AH339" s="116">
        <v>2025</v>
      </c>
      <c r="AI339" s="116">
        <v>3</v>
      </c>
      <c r="AJ339" s="223" t="s">
        <v>3651</v>
      </c>
      <c r="AK339" s="223" t="s">
        <v>35</v>
      </c>
      <c r="AL339" s="223"/>
      <c r="AM339" s="60">
        <v>8718616</v>
      </c>
    </row>
    <row r="340" spans="32:39">
      <c r="AF340" s="223" t="s">
        <v>3693</v>
      </c>
      <c r="AG340" s="223" t="s">
        <v>3650</v>
      </c>
      <c r="AH340" s="116">
        <v>2025</v>
      </c>
      <c r="AI340" s="116">
        <v>4</v>
      </c>
      <c r="AJ340" s="223" t="s">
        <v>3651</v>
      </c>
      <c r="AK340" s="223" t="s">
        <v>35</v>
      </c>
      <c r="AL340" s="223"/>
      <c r="AM340" s="60">
        <v>2474898</v>
      </c>
    </row>
    <row r="341" spans="32:39">
      <c r="AF341" s="223" t="s">
        <v>3693</v>
      </c>
      <c r="AG341" s="223" t="s">
        <v>3650</v>
      </c>
      <c r="AH341" s="116">
        <v>2025</v>
      </c>
      <c r="AI341" s="116">
        <v>5</v>
      </c>
      <c r="AJ341" s="223" t="s">
        <v>3651</v>
      </c>
      <c r="AK341" s="223" t="s">
        <v>35</v>
      </c>
      <c r="AL341" s="223"/>
      <c r="AM341" s="60">
        <v>3390759</v>
      </c>
    </row>
    <row r="342" spans="32:39">
      <c r="AF342" s="223" t="s">
        <v>3693</v>
      </c>
      <c r="AG342" s="223" t="s">
        <v>3650</v>
      </c>
      <c r="AH342" s="116">
        <v>2025</v>
      </c>
      <c r="AI342" s="116">
        <v>6</v>
      </c>
      <c r="AJ342" s="223" t="s">
        <v>3651</v>
      </c>
      <c r="AK342" s="223" t="s">
        <v>35</v>
      </c>
      <c r="AL342" s="223"/>
      <c r="AM342" s="60">
        <v>2611689</v>
      </c>
    </row>
    <row r="343" spans="32:39">
      <c r="AF343" s="223" t="s">
        <v>3693</v>
      </c>
      <c r="AG343" s="223" t="s">
        <v>3670</v>
      </c>
      <c r="AH343" s="116">
        <v>2025</v>
      </c>
      <c r="AI343" s="116">
        <v>1</v>
      </c>
      <c r="AJ343" s="223" t="s">
        <v>3671</v>
      </c>
      <c r="AK343" s="223" t="s">
        <v>35</v>
      </c>
      <c r="AL343" s="223"/>
      <c r="AM343" s="60">
        <v>370302145</v>
      </c>
    </row>
    <row r="344" spans="32:39">
      <c r="AF344" s="223" t="s">
        <v>3693</v>
      </c>
      <c r="AG344" s="223" t="s">
        <v>3670</v>
      </c>
      <c r="AH344" s="116">
        <v>2025</v>
      </c>
      <c r="AI344" s="116">
        <v>2</v>
      </c>
      <c r="AJ344" s="223" t="s">
        <v>3671</v>
      </c>
      <c r="AK344" s="223" t="s">
        <v>35</v>
      </c>
      <c r="AL344" s="223"/>
      <c r="AM344" s="60">
        <v>400216438</v>
      </c>
    </row>
    <row r="345" spans="32:39">
      <c r="AF345" s="223" t="s">
        <v>3693</v>
      </c>
      <c r="AG345" s="223" t="s">
        <v>3670</v>
      </c>
      <c r="AH345" s="116">
        <v>2025</v>
      </c>
      <c r="AI345" s="116">
        <v>3</v>
      </c>
      <c r="AJ345" s="223" t="s">
        <v>3671</v>
      </c>
      <c r="AK345" s="223" t="s">
        <v>35</v>
      </c>
      <c r="AL345" s="223"/>
      <c r="AM345" s="60">
        <v>1046856445</v>
      </c>
    </row>
    <row r="346" spans="32:39">
      <c r="AF346" s="223" t="s">
        <v>3693</v>
      </c>
      <c r="AG346" s="223" t="s">
        <v>3670</v>
      </c>
      <c r="AH346" s="116">
        <v>2025</v>
      </c>
      <c r="AI346" s="116">
        <v>4</v>
      </c>
      <c r="AJ346" s="223" t="s">
        <v>3671</v>
      </c>
      <c r="AK346" s="223" t="s">
        <v>35</v>
      </c>
      <c r="AL346" s="223"/>
      <c r="AM346" s="60">
        <v>1032378229</v>
      </c>
    </row>
    <row r="347" spans="32:39">
      <c r="AF347" s="223" t="s">
        <v>3693</v>
      </c>
      <c r="AG347" s="223" t="s">
        <v>3670</v>
      </c>
      <c r="AH347" s="116">
        <v>2025</v>
      </c>
      <c r="AI347" s="116">
        <v>5</v>
      </c>
      <c r="AJ347" s="223" t="s">
        <v>3671</v>
      </c>
      <c r="AK347" s="223" t="s">
        <v>35</v>
      </c>
      <c r="AL347" s="223"/>
      <c r="AM347" s="60">
        <v>1027683825</v>
      </c>
    </row>
    <row r="348" spans="32:39">
      <c r="AF348" s="223" t="s">
        <v>3693</v>
      </c>
      <c r="AG348" s="223" t="s">
        <v>3670</v>
      </c>
      <c r="AH348" s="116">
        <v>2025</v>
      </c>
      <c r="AI348" s="116">
        <v>6</v>
      </c>
      <c r="AJ348" s="223" t="s">
        <v>3671</v>
      </c>
      <c r="AK348" s="223" t="s">
        <v>35</v>
      </c>
      <c r="AL348" s="223"/>
      <c r="AM348" s="60">
        <v>808386463</v>
      </c>
    </row>
    <row r="349" spans="32:39">
      <c r="AF349" s="223" t="s">
        <v>3693</v>
      </c>
      <c r="AG349" s="223" t="s">
        <v>3652</v>
      </c>
      <c r="AH349" s="116">
        <v>2025</v>
      </c>
      <c r="AI349" s="116">
        <v>1</v>
      </c>
      <c r="AJ349" s="223" t="s">
        <v>3653</v>
      </c>
      <c r="AK349" s="223" t="s">
        <v>35</v>
      </c>
      <c r="AL349" s="223"/>
      <c r="AM349" s="60">
        <v>681375</v>
      </c>
    </row>
    <row r="350" spans="32:39">
      <c r="AF350" s="223" t="s">
        <v>3693</v>
      </c>
      <c r="AG350" s="223" t="s">
        <v>3652</v>
      </c>
      <c r="AH350" s="116">
        <v>2025</v>
      </c>
      <c r="AI350" s="116">
        <v>2</v>
      </c>
      <c r="AJ350" s="223" t="s">
        <v>3653</v>
      </c>
      <c r="AK350" s="223" t="s">
        <v>35</v>
      </c>
      <c r="AL350" s="223"/>
      <c r="AM350" s="60">
        <v>671235</v>
      </c>
    </row>
    <row r="351" spans="32:39">
      <c r="AF351" s="223" t="s">
        <v>3693</v>
      </c>
      <c r="AG351" s="223" t="s">
        <v>3652</v>
      </c>
      <c r="AH351" s="116">
        <v>2025</v>
      </c>
      <c r="AI351" s="116">
        <v>3</v>
      </c>
      <c r="AJ351" s="223" t="s">
        <v>3653</v>
      </c>
      <c r="AK351" s="223" t="s">
        <v>35</v>
      </c>
      <c r="AL351" s="223"/>
      <c r="AM351" s="60">
        <v>4827009</v>
      </c>
    </row>
    <row r="352" spans="32:39">
      <c r="AF352" s="223" t="s">
        <v>3693</v>
      </c>
      <c r="AG352" s="223" t="s">
        <v>3652</v>
      </c>
      <c r="AH352" s="116">
        <v>2025</v>
      </c>
      <c r="AI352" s="116">
        <v>4</v>
      </c>
      <c r="AJ352" s="223" t="s">
        <v>3653</v>
      </c>
      <c r="AK352" s="223" t="s">
        <v>35</v>
      </c>
      <c r="AL352" s="223"/>
      <c r="AM352" s="60">
        <v>1803744</v>
      </c>
    </row>
    <row r="353" spans="32:39">
      <c r="AF353" s="223" t="s">
        <v>3693</v>
      </c>
      <c r="AG353" s="223" t="s">
        <v>3652</v>
      </c>
      <c r="AH353" s="116">
        <v>2025</v>
      </c>
      <c r="AI353" s="116">
        <v>5</v>
      </c>
      <c r="AJ353" s="223" t="s">
        <v>3653</v>
      </c>
      <c r="AK353" s="223" t="s">
        <v>35</v>
      </c>
      <c r="AL353" s="223"/>
      <c r="AM353" s="60">
        <v>1160869</v>
      </c>
    </row>
    <row r="354" spans="32:39">
      <c r="AF354" s="223" t="s">
        <v>3693</v>
      </c>
      <c r="AG354" s="223" t="s">
        <v>3652</v>
      </c>
      <c r="AH354" s="116">
        <v>2025</v>
      </c>
      <c r="AI354" s="116">
        <v>6</v>
      </c>
      <c r="AJ354" s="223" t="s">
        <v>3653</v>
      </c>
      <c r="AK354" s="223" t="s">
        <v>35</v>
      </c>
      <c r="AL354" s="223"/>
      <c r="AM354" s="60">
        <v>897159</v>
      </c>
    </row>
    <row r="355" spans="32:39">
      <c r="AF355" s="223" t="s">
        <v>3693</v>
      </c>
      <c r="AG355" s="223" t="s">
        <v>3680</v>
      </c>
      <c r="AH355" s="116">
        <v>2025</v>
      </c>
      <c r="AI355" s="116">
        <v>1</v>
      </c>
      <c r="AJ355" s="223" t="s">
        <v>3681</v>
      </c>
      <c r="AK355" s="223" t="s">
        <v>35</v>
      </c>
      <c r="AL355" s="223"/>
      <c r="AM355" s="60">
        <v>64627320</v>
      </c>
    </row>
    <row r="356" spans="32:39">
      <c r="AF356" s="223" t="s">
        <v>3693</v>
      </c>
      <c r="AG356" s="223" t="s">
        <v>3680</v>
      </c>
      <c r="AH356" s="116">
        <v>2025</v>
      </c>
      <c r="AI356" s="116">
        <v>2</v>
      </c>
      <c r="AJ356" s="223" t="s">
        <v>3681</v>
      </c>
      <c r="AK356" s="223" t="s">
        <v>35</v>
      </c>
      <c r="AL356" s="223"/>
      <c r="AM356" s="60">
        <v>62650178</v>
      </c>
    </row>
    <row r="357" spans="32:39">
      <c r="AF357" s="223" t="s">
        <v>3693</v>
      </c>
      <c r="AG357" s="223" t="s">
        <v>3680</v>
      </c>
      <c r="AH357" s="116">
        <v>2025</v>
      </c>
      <c r="AI357" s="116">
        <v>3</v>
      </c>
      <c r="AJ357" s="223" t="s">
        <v>3681</v>
      </c>
      <c r="AK357" s="223" t="s">
        <v>35</v>
      </c>
      <c r="AL357" s="223"/>
      <c r="AM357" s="60">
        <v>402005039</v>
      </c>
    </row>
    <row r="358" spans="32:39">
      <c r="AF358" s="223" t="s">
        <v>3693</v>
      </c>
      <c r="AG358" s="223" t="s">
        <v>3680</v>
      </c>
      <c r="AH358" s="116">
        <v>2025</v>
      </c>
      <c r="AI358" s="116">
        <v>4</v>
      </c>
      <c r="AJ358" s="223" t="s">
        <v>3681</v>
      </c>
      <c r="AK358" s="223" t="s">
        <v>35</v>
      </c>
      <c r="AL358" s="223"/>
      <c r="AM358" s="60">
        <v>238476323</v>
      </c>
    </row>
    <row r="359" spans="32:39">
      <c r="AF359" s="223" t="s">
        <v>3693</v>
      </c>
      <c r="AG359" s="223" t="s">
        <v>3680</v>
      </c>
      <c r="AH359" s="116">
        <v>2025</v>
      </c>
      <c r="AI359" s="116">
        <v>5</v>
      </c>
      <c r="AJ359" s="223" t="s">
        <v>3681</v>
      </c>
      <c r="AK359" s="223" t="s">
        <v>35</v>
      </c>
      <c r="AL359" s="223"/>
      <c r="AM359" s="60">
        <v>216901967</v>
      </c>
    </row>
    <row r="360" spans="32:39">
      <c r="AF360" s="223" t="s">
        <v>3693</v>
      </c>
      <c r="AG360" s="223" t="s">
        <v>3680</v>
      </c>
      <c r="AH360" s="116">
        <v>2025</v>
      </c>
      <c r="AI360" s="116">
        <v>6</v>
      </c>
      <c r="AJ360" s="223" t="s">
        <v>3681</v>
      </c>
      <c r="AK360" s="223" t="s">
        <v>35</v>
      </c>
      <c r="AL360" s="223"/>
      <c r="AM360" s="60">
        <v>128770878</v>
      </c>
    </row>
    <row r="361" spans="32:39">
      <c r="AF361" s="223" t="s">
        <v>3693</v>
      </c>
      <c r="AG361" s="223" t="s">
        <v>3654</v>
      </c>
      <c r="AH361" s="116">
        <v>2025</v>
      </c>
      <c r="AI361" s="116">
        <v>1</v>
      </c>
      <c r="AJ361" s="223" t="s">
        <v>3655</v>
      </c>
      <c r="AK361" s="223" t="s">
        <v>35</v>
      </c>
      <c r="AL361" s="223"/>
      <c r="AM361" s="60">
        <v>7573447</v>
      </c>
    </row>
    <row r="362" spans="32:39">
      <c r="AF362" s="223" t="s">
        <v>3693</v>
      </c>
      <c r="AG362" s="223" t="s">
        <v>3654</v>
      </c>
      <c r="AH362" s="116">
        <v>2025</v>
      </c>
      <c r="AI362" s="116">
        <v>2</v>
      </c>
      <c r="AJ362" s="223" t="s">
        <v>3655</v>
      </c>
      <c r="AK362" s="223" t="s">
        <v>35</v>
      </c>
      <c r="AL362" s="223"/>
      <c r="AM362" s="60">
        <v>6506385</v>
      </c>
    </row>
    <row r="363" spans="32:39">
      <c r="AF363" s="223" t="s">
        <v>3693</v>
      </c>
      <c r="AG363" s="223" t="s">
        <v>3654</v>
      </c>
      <c r="AH363" s="116">
        <v>2025</v>
      </c>
      <c r="AI363" s="116">
        <v>3</v>
      </c>
      <c r="AJ363" s="223" t="s">
        <v>3655</v>
      </c>
      <c r="AK363" s="223" t="s">
        <v>35</v>
      </c>
      <c r="AL363" s="223"/>
      <c r="AM363" s="60">
        <v>22311153</v>
      </c>
    </row>
    <row r="364" spans="32:39">
      <c r="AF364" s="223" t="s">
        <v>3693</v>
      </c>
      <c r="AG364" s="223" t="s">
        <v>3654</v>
      </c>
      <c r="AH364" s="116">
        <v>2025</v>
      </c>
      <c r="AI364" s="116">
        <v>4</v>
      </c>
      <c r="AJ364" s="223" t="s">
        <v>3655</v>
      </c>
      <c r="AK364" s="223" t="s">
        <v>35</v>
      </c>
      <c r="AL364" s="223"/>
      <c r="AM364" s="60">
        <v>15122522</v>
      </c>
    </row>
    <row r="365" spans="32:39">
      <c r="AF365" s="223" t="s">
        <v>3693</v>
      </c>
      <c r="AG365" s="223" t="s">
        <v>3654</v>
      </c>
      <c r="AH365" s="116">
        <v>2025</v>
      </c>
      <c r="AI365" s="116">
        <v>5</v>
      </c>
      <c r="AJ365" s="223" t="s">
        <v>3655</v>
      </c>
      <c r="AK365" s="223" t="s">
        <v>35</v>
      </c>
      <c r="AL365" s="223"/>
      <c r="AM365" s="60">
        <v>18384494</v>
      </c>
    </row>
    <row r="366" spans="32:39">
      <c r="AF366" s="223" t="s">
        <v>3693</v>
      </c>
      <c r="AG366" s="223" t="s">
        <v>3654</v>
      </c>
      <c r="AH366" s="116">
        <v>2025</v>
      </c>
      <c r="AI366" s="116">
        <v>6</v>
      </c>
      <c r="AJ366" s="223" t="s">
        <v>3655</v>
      </c>
      <c r="AK366" s="223" t="s">
        <v>35</v>
      </c>
      <c r="AL366" s="223"/>
      <c r="AM366" s="60">
        <v>17470757</v>
      </c>
    </row>
    <row r="367" spans="32:39">
      <c r="AF367" s="223" t="s">
        <v>3693</v>
      </c>
      <c r="AG367" s="223" t="s">
        <v>3672</v>
      </c>
      <c r="AH367" s="116">
        <v>2025</v>
      </c>
      <c r="AI367" s="116">
        <v>1</v>
      </c>
      <c r="AJ367" s="223" t="s">
        <v>3673</v>
      </c>
      <c r="AK367" s="223" t="s">
        <v>35</v>
      </c>
      <c r="AL367" s="223"/>
      <c r="AM367" s="60">
        <v>86793340</v>
      </c>
    </row>
    <row r="368" spans="32:39">
      <c r="AF368" s="223" t="s">
        <v>3693</v>
      </c>
      <c r="AG368" s="223" t="s">
        <v>3672</v>
      </c>
      <c r="AH368" s="116">
        <v>2025</v>
      </c>
      <c r="AI368" s="116">
        <v>2</v>
      </c>
      <c r="AJ368" s="223" t="s">
        <v>3673</v>
      </c>
      <c r="AK368" s="223" t="s">
        <v>35</v>
      </c>
      <c r="AL368" s="223"/>
      <c r="AM368" s="60">
        <v>76613461</v>
      </c>
    </row>
    <row r="369" spans="32:39">
      <c r="AF369" s="223" t="s">
        <v>3693</v>
      </c>
      <c r="AG369" s="223" t="s">
        <v>3672</v>
      </c>
      <c r="AH369" s="116">
        <v>2025</v>
      </c>
      <c r="AI369" s="116">
        <v>3</v>
      </c>
      <c r="AJ369" s="223" t="s">
        <v>3673</v>
      </c>
      <c r="AK369" s="223" t="s">
        <v>35</v>
      </c>
      <c r="AL369" s="223"/>
      <c r="AM369" s="60">
        <v>1947886622</v>
      </c>
    </row>
    <row r="370" spans="32:39">
      <c r="AF370" s="223" t="s">
        <v>3693</v>
      </c>
      <c r="AG370" s="223" t="s">
        <v>3672</v>
      </c>
      <c r="AH370" s="116">
        <v>2025</v>
      </c>
      <c r="AI370" s="116">
        <v>4</v>
      </c>
      <c r="AJ370" s="223" t="s">
        <v>3673</v>
      </c>
      <c r="AK370" s="223" t="s">
        <v>35</v>
      </c>
      <c r="AL370" s="223"/>
      <c r="AM370" s="60">
        <v>874838434</v>
      </c>
    </row>
    <row r="371" spans="32:39">
      <c r="AF371" s="223" t="s">
        <v>3693</v>
      </c>
      <c r="AG371" s="223" t="s">
        <v>3672</v>
      </c>
      <c r="AH371" s="116">
        <v>2025</v>
      </c>
      <c r="AI371" s="116">
        <v>5</v>
      </c>
      <c r="AJ371" s="223" t="s">
        <v>3673</v>
      </c>
      <c r="AK371" s="223" t="s">
        <v>35</v>
      </c>
      <c r="AL371" s="223"/>
      <c r="AM371" s="60">
        <v>577251165</v>
      </c>
    </row>
    <row r="372" spans="32:39">
      <c r="AF372" s="223" t="s">
        <v>3693</v>
      </c>
      <c r="AG372" s="223" t="s">
        <v>3672</v>
      </c>
      <c r="AH372" s="116">
        <v>2025</v>
      </c>
      <c r="AI372" s="116">
        <v>6</v>
      </c>
      <c r="AJ372" s="223" t="s">
        <v>3673</v>
      </c>
      <c r="AK372" s="223" t="s">
        <v>35</v>
      </c>
      <c r="AL372" s="223"/>
      <c r="AM372" s="60">
        <v>486017633</v>
      </c>
    </row>
    <row r="373" spans="32:39">
      <c r="AF373" s="223" t="s">
        <v>3693</v>
      </c>
      <c r="AG373" s="223" t="s">
        <v>3656</v>
      </c>
      <c r="AH373" s="116">
        <v>2025</v>
      </c>
      <c r="AI373" s="116">
        <v>1</v>
      </c>
      <c r="AJ373" s="223" t="s">
        <v>3657</v>
      </c>
      <c r="AK373" s="223" t="s">
        <v>35</v>
      </c>
      <c r="AL373" s="223"/>
      <c r="AM373" s="60">
        <v>0</v>
      </c>
    </row>
    <row r="374" spans="32:39">
      <c r="AF374" s="223" t="s">
        <v>3693</v>
      </c>
      <c r="AG374" s="223" t="s">
        <v>3656</v>
      </c>
      <c r="AH374" s="116">
        <v>2025</v>
      </c>
      <c r="AI374" s="116">
        <v>2</v>
      </c>
      <c r="AJ374" s="223" t="s">
        <v>3657</v>
      </c>
      <c r="AK374" s="223" t="s">
        <v>35</v>
      </c>
      <c r="AL374" s="223"/>
      <c r="AM374" s="60">
        <v>0</v>
      </c>
    </row>
    <row r="375" spans="32:39">
      <c r="AF375" s="223" t="s">
        <v>3693</v>
      </c>
      <c r="AG375" s="223" t="s">
        <v>3656</v>
      </c>
      <c r="AH375" s="116">
        <v>2025</v>
      </c>
      <c r="AI375" s="116">
        <v>3</v>
      </c>
      <c r="AJ375" s="223" t="s">
        <v>3657</v>
      </c>
      <c r="AK375" s="223" t="s">
        <v>35</v>
      </c>
      <c r="AL375" s="223"/>
      <c r="AM375" s="60">
        <v>3110784</v>
      </c>
    </row>
    <row r="376" spans="32:39">
      <c r="AF376" s="223" t="s">
        <v>3693</v>
      </c>
      <c r="AG376" s="223" t="s">
        <v>3656</v>
      </c>
      <c r="AH376" s="116">
        <v>2025</v>
      </c>
      <c r="AI376" s="116">
        <v>4</v>
      </c>
      <c r="AJ376" s="223" t="s">
        <v>3657</v>
      </c>
      <c r="AK376" s="223" t="s">
        <v>35</v>
      </c>
      <c r="AL376" s="223"/>
      <c r="AM376" s="60">
        <v>4404040</v>
      </c>
    </row>
    <row r="377" spans="32:39">
      <c r="AF377" s="223" t="s">
        <v>3693</v>
      </c>
      <c r="AG377" s="223" t="s">
        <v>3656</v>
      </c>
      <c r="AH377" s="116">
        <v>2025</v>
      </c>
      <c r="AI377" s="116">
        <v>5</v>
      </c>
      <c r="AJ377" s="223" t="s">
        <v>3657</v>
      </c>
      <c r="AK377" s="223" t="s">
        <v>35</v>
      </c>
      <c r="AL377" s="223"/>
      <c r="AM377" s="60">
        <v>3840846</v>
      </c>
    </row>
    <row r="378" spans="32:39">
      <c r="AF378" s="223" t="s">
        <v>3693</v>
      </c>
      <c r="AG378" s="223" t="s">
        <v>3656</v>
      </c>
      <c r="AH378" s="116">
        <v>2025</v>
      </c>
      <c r="AI378" s="116">
        <v>6</v>
      </c>
      <c r="AJ378" s="223" t="s">
        <v>3657</v>
      </c>
      <c r="AK378" s="223" t="s">
        <v>35</v>
      </c>
      <c r="AL378" s="223"/>
      <c r="AM378" s="60">
        <v>2494239</v>
      </c>
    </row>
    <row r="379" spans="32:39">
      <c r="AF379" s="223" t="s">
        <v>3693</v>
      </c>
      <c r="AG379" s="223" t="s">
        <v>3688</v>
      </c>
      <c r="AH379" s="116">
        <v>2025</v>
      </c>
      <c r="AI379" s="116">
        <v>1</v>
      </c>
      <c r="AJ379" s="223" t="s">
        <v>3689</v>
      </c>
      <c r="AK379" s="223" t="s">
        <v>35</v>
      </c>
      <c r="AL379" s="223"/>
      <c r="AM379" s="60">
        <v>235029547</v>
      </c>
    </row>
    <row r="380" spans="32:39">
      <c r="AF380" s="223" t="s">
        <v>3693</v>
      </c>
      <c r="AG380" s="223" t="s">
        <v>3688</v>
      </c>
      <c r="AH380" s="116">
        <v>2025</v>
      </c>
      <c r="AI380" s="116">
        <v>2</v>
      </c>
      <c r="AJ380" s="223" t="s">
        <v>3689</v>
      </c>
      <c r="AK380" s="223" t="s">
        <v>35</v>
      </c>
      <c r="AL380" s="223"/>
      <c r="AM380" s="60">
        <v>226743530</v>
      </c>
    </row>
    <row r="381" spans="32:39">
      <c r="AF381" s="223" t="s">
        <v>3693</v>
      </c>
      <c r="AG381" s="223" t="s">
        <v>3688</v>
      </c>
      <c r="AH381" s="116">
        <v>2025</v>
      </c>
      <c r="AI381" s="116">
        <v>3</v>
      </c>
      <c r="AJ381" s="223" t="s">
        <v>3689</v>
      </c>
      <c r="AK381" s="223" t="s">
        <v>35</v>
      </c>
      <c r="AL381" s="223"/>
      <c r="AM381" s="60">
        <v>249566467</v>
      </c>
    </row>
    <row r="382" spans="32:39">
      <c r="AF382" s="223" t="s">
        <v>3693</v>
      </c>
      <c r="AG382" s="223" t="s">
        <v>3688</v>
      </c>
      <c r="AH382" s="116">
        <v>2025</v>
      </c>
      <c r="AI382" s="116">
        <v>4</v>
      </c>
      <c r="AJ382" s="223" t="s">
        <v>3689</v>
      </c>
      <c r="AK382" s="223" t="s">
        <v>35</v>
      </c>
      <c r="AL382" s="223"/>
      <c r="AM382" s="60">
        <v>290683898</v>
      </c>
    </row>
    <row r="383" spans="32:39">
      <c r="AF383" s="223" t="s">
        <v>3693</v>
      </c>
      <c r="AG383" s="223" t="s">
        <v>3688</v>
      </c>
      <c r="AH383" s="116">
        <v>2025</v>
      </c>
      <c r="AI383" s="116">
        <v>5</v>
      </c>
      <c r="AJ383" s="223" t="s">
        <v>3689</v>
      </c>
      <c r="AK383" s="223" t="s">
        <v>35</v>
      </c>
      <c r="AL383" s="223"/>
      <c r="AM383" s="60">
        <v>309403260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3E611-1829-4EB4-BF70-DDD38A8CA6A8}">
  <sheetPr codeName="Sheet25"/>
  <dimension ref="A1:BA52"/>
  <sheetViews>
    <sheetView topLeftCell="P1" workbookViewId="0">
      <selection activeCell="T30" sqref="T30"/>
    </sheetView>
  </sheetViews>
  <sheetFormatPr defaultColWidth="8.42578125" defaultRowHeight="14.45"/>
  <cols>
    <col min="1" max="1" width="9.140625" style="27" bestFit="1" customWidth="1" collapsed="1"/>
    <col min="2" max="2" width="60.7109375" style="27" bestFit="1" customWidth="1" collapsed="1"/>
    <col min="3" max="3" width="38.28515625" style="27" bestFit="1" customWidth="1" collapsed="1"/>
    <col min="4" max="4" width="7.28515625" style="27" bestFit="1" customWidth="1" collapsed="1"/>
    <col min="5" max="5" width="7.7109375" style="27" bestFit="1" customWidth="1" collapsed="1"/>
    <col min="6" max="6" width="12.28515625" style="27" bestFit="1" customWidth="1" collapsed="1"/>
    <col min="7" max="7" width="14.140625" style="27" bestFit="1" customWidth="1" collapsed="1"/>
    <col min="8" max="8" width="15.7109375" style="27" bestFit="1" customWidth="1" collapsed="1"/>
    <col min="9" max="9" width="11.140625" style="27" bestFit="1" customWidth="1" collapsed="1"/>
    <col min="10" max="10" width="30.42578125" style="27" bestFit="1" customWidth="1" collapsed="1"/>
    <col min="11" max="11" width="11.42578125" style="27" bestFit="1" customWidth="1" collapsed="1"/>
    <col min="12" max="12" width="46" style="27" bestFit="1" customWidth="1" collapsed="1"/>
    <col min="13" max="13" width="31.85546875" style="27" bestFit="1" customWidth="1" collapsed="1"/>
    <col min="14" max="14" width="50.28515625" style="27" bestFit="1" customWidth="1" collapsed="1"/>
    <col min="15" max="15" width="62.140625" style="27" bestFit="1" customWidth="1" collapsed="1"/>
    <col min="16" max="16" width="32.42578125" style="27" bestFit="1" customWidth="1" collapsed="1"/>
    <col min="17" max="17" width="12.140625" style="27" bestFit="1" customWidth="1" collapsed="1"/>
    <col min="18" max="18" width="17.5703125" style="27" bestFit="1" customWidth="1" collapsed="1"/>
    <col min="19" max="19" width="33.28515625" style="27" bestFit="1" customWidth="1" collapsed="1"/>
    <col min="20" max="21" width="33.28515625" style="27" customWidth="1"/>
    <col min="22" max="22" width="22.85546875" style="27" bestFit="1" customWidth="1" collapsed="1"/>
    <col min="23" max="23" width="27.28515625" style="27" bestFit="1" customWidth="1" collapsed="1"/>
    <col min="24" max="24" width="27.42578125" style="27" bestFit="1" customWidth="1" collapsed="1"/>
    <col min="25" max="25" width="57" style="27" bestFit="1" customWidth="1" collapsed="1"/>
    <col min="26" max="26" width="19.85546875" style="27" bestFit="1" customWidth="1" collapsed="1"/>
    <col min="27" max="31" width="8.42578125" style="27"/>
    <col min="32" max="32" width="12.85546875" style="27" customWidth="1"/>
    <col min="33" max="34" width="8.42578125" style="27"/>
    <col min="35" max="35" width="13.140625" style="27" bestFit="1" customWidth="1"/>
    <col min="36" max="36" width="14.5703125" style="27" bestFit="1" customWidth="1"/>
    <col min="37" max="39" width="8.42578125" style="27"/>
    <col min="40" max="40" width="25" style="27" bestFit="1" customWidth="1"/>
    <col min="41" max="48" width="8.42578125" style="27"/>
    <col min="49" max="49" width="12.42578125" style="27" customWidth="1"/>
    <col min="50" max="51" width="8.42578125" style="27"/>
    <col min="52" max="52" width="12.28515625" style="27" customWidth="1"/>
    <col min="53" max="16384" width="8.42578125" style="27"/>
  </cols>
  <sheetData>
    <row r="1" spans="1:53" ht="18.600000000000001">
      <c r="A1" s="468"/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  <c r="Y1" s="469"/>
      <c r="Z1" s="469"/>
    </row>
    <row r="2" spans="1:53" ht="17.100000000000001">
      <c r="A2" s="470"/>
      <c r="B2" s="469"/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  <c r="S2" s="469"/>
      <c r="T2" s="469"/>
      <c r="U2" s="469"/>
      <c r="V2" s="469"/>
      <c r="W2" s="469"/>
      <c r="X2" s="469"/>
      <c r="Y2" s="469"/>
      <c r="Z2" s="469"/>
    </row>
    <row r="3" spans="1:53">
      <c r="A3" s="469"/>
      <c r="B3" s="469"/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</row>
    <row r="4" spans="1:53">
      <c r="A4" s="469" t="s">
        <v>75</v>
      </c>
      <c r="B4" s="469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69"/>
      <c r="R4" s="469"/>
      <c r="S4" s="469"/>
      <c r="T4" s="469"/>
      <c r="U4" s="469"/>
      <c r="V4" s="469"/>
      <c r="W4" s="469"/>
      <c r="X4" s="469"/>
      <c r="Y4" s="469"/>
      <c r="Z4" s="469"/>
    </row>
    <row r="6" spans="1:53">
      <c r="A6" s="467" t="s">
        <v>75</v>
      </c>
      <c r="B6" s="429" t="s">
        <v>3694</v>
      </c>
      <c r="C6" s="429" t="s">
        <v>3695</v>
      </c>
      <c r="D6" s="429" t="s">
        <v>3696</v>
      </c>
      <c r="E6" s="429" t="s">
        <v>3697</v>
      </c>
      <c r="F6" s="429" t="s">
        <v>3698</v>
      </c>
      <c r="G6" s="429" t="s">
        <v>3699</v>
      </c>
      <c r="H6" s="429" t="s">
        <v>3700</v>
      </c>
      <c r="I6" s="429" t="s">
        <v>3701</v>
      </c>
      <c r="J6" s="429" t="s">
        <v>3702</v>
      </c>
      <c r="K6" s="429" t="s">
        <v>3703</v>
      </c>
      <c r="L6" s="429" t="s">
        <v>3704</v>
      </c>
      <c r="M6" s="429" t="s">
        <v>3705</v>
      </c>
      <c r="N6" s="429" t="s">
        <v>3706</v>
      </c>
      <c r="O6" s="429" t="s">
        <v>3707</v>
      </c>
      <c r="P6" s="429" t="s">
        <v>3708</v>
      </c>
      <c r="Q6" s="429" t="s">
        <v>3709</v>
      </c>
      <c r="R6" s="429" t="s">
        <v>3710</v>
      </c>
      <c r="S6" s="429" t="s">
        <v>3711</v>
      </c>
      <c r="T6" s="429"/>
      <c r="U6" s="429"/>
      <c r="V6" s="429" t="s">
        <v>3712</v>
      </c>
      <c r="W6" s="429" t="s">
        <v>3713</v>
      </c>
      <c r="X6" s="429" t="s">
        <v>3714</v>
      </c>
      <c r="Y6" s="429" t="s">
        <v>3715</v>
      </c>
      <c r="Z6" s="429" t="s">
        <v>3716</v>
      </c>
      <c r="AA6" s="28" t="s">
        <v>3717</v>
      </c>
      <c r="AW6" s="27" t="s">
        <v>3718</v>
      </c>
      <c r="AZ6" s="27" t="s">
        <v>3719</v>
      </c>
    </row>
    <row r="7" spans="1:53">
      <c r="A7" s="467"/>
      <c r="B7" s="429" t="s">
        <v>3720</v>
      </c>
      <c r="C7" s="429" t="s">
        <v>3721</v>
      </c>
      <c r="D7" s="429" t="s">
        <v>3722</v>
      </c>
      <c r="E7" s="429" t="s">
        <v>26</v>
      </c>
      <c r="F7" s="429" t="s">
        <v>27</v>
      </c>
      <c r="G7" s="429" t="s">
        <v>3723</v>
      </c>
      <c r="H7" s="429" t="s">
        <v>3724</v>
      </c>
      <c r="I7" s="429" t="s">
        <v>3725</v>
      </c>
      <c r="J7" s="429" t="s">
        <v>3726</v>
      </c>
      <c r="K7" s="429" t="s">
        <v>3727</v>
      </c>
      <c r="L7" s="429" t="s">
        <v>3728</v>
      </c>
      <c r="M7" s="429" t="s">
        <v>3729</v>
      </c>
      <c r="N7" s="429" t="s">
        <v>3730</v>
      </c>
      <c r="O7" s="429" t="s">
        <v>3731</v>
      </c>
      <c r="P7" s="429" t="s">
        <v>3732</v>
      </c>
      <c r="Q7" s="429" t="s">
        <v>3733</v>
      </c>
      <c r="R7" s="429" t="s">
        <v>3734</v>
      </c>
      <c r="S7" s="429" t="s">
        <v>3735</v>
      </c>
      <c r="T7" s="429" t="s">
        <v>2120</v>
      </c>
      <c r="U7" s="429" t="s">
        <v>28</v>
      </c>
      <c r="V7" s="429" t="s">
        <v>3736</v>
      </c>
      <c r="W7" s="429" t="s">
        <v>3737</v>
      </c>
      <c r="X7" s="429" t="s">
        <v>3738</v>
      </c>
      <c r="Y7" s="429" t="s">
        <v>3739</v>
      </c>
      <c r="Z7" s="429" t="s">
        <v>3740</v>
      </c>
      <c r="AA7" s="27" t="s">
        <v>2654</v>
      </c>
      <c r="AB7" s="27" t="s">
        <v>3741</v>
      </c>
      <c r="AC7" s="27" t="s">
        <v>3742</v>
      </c>
      <c r="AF7" s="27" t="s">
        <v>3743</v>
      </c>
      <c r="AI7" s="27" t="s">
        <v>3744</v>
      </c>
      <c r="AJ7" s="27" t="s">
        <v>3745</v>
      </c>
      <c r="AM7" s="27" t="s">
        <v>3746</v>
      </c>
      <c r="AN7" s="27" t="s">
        <v>3747</v>
      </c>
      <c r="AQ7" s="27" t="s">
        <v>3748</v>
      </c>
      <c r="AZ7" s="27" t="s">
        <v>3747</v>
      </c>
    </row>
    <row r="8" spans="1:53">
      <c r="A8" s="27" t="s">
        <v>3695</v>
      </c>
      <c r="B8" s="27" t="s">
        <v>3721</v>
      </c>
      <c r="C8" s="29" cm="1">
        <f t="array" ref="C8">SUM(IF('[4]Raw Imports 2023'!$D$5:$CR$5='Imports 2023'!C$6,IF('[4]Raw Imports 2023'!$A$8:$A$80='Imports 2023'!$A8,'[4]Raw Imports 2023'!$D$8:$CR$80)))</f>
        <v>2438</v>
      </c>
      <c r="D8" s="29" cm="1">
        <f t="array" ref="D8">SUM(IF('[4]Raw Imports 2023'!$D$5:$CR$5='Imports 2023'!D$6,IF('[4]Raw Imports 2023'!$A$8:$A$80='Imports 2023'!$A8,'[4]Raw Imports 2023'!$D$8:$CR$80)))</f>
        <v>1</v>
      </c>
      <c r="E8" s="29" cm="1">
        <f t="array" ref="E8">SUM(IF('[4]Raw Imports 2023'!$D$5:$CR$5='Imports 2023'!E$6,IF('[4]Raw Imports 2023'!$A$8:$A$80='Imports 2023'!$A8,'[4]Raw Imports 2023'!$D$8:$CR$80)))</f>
        <v>0</v>
      </c>
      <c r="F8" s="29" cm="1">
        <f t="array" ref="F8">SUM(IF('[4]Raw Imports 2023'!$D$5:$CR$5='Imports 2023'!F$6,IF('[4]Raw Imports 2023'!$A$8:$A$80='Imports 2023'!$A8,'[4]Raw Imports 2023'!$D$8:$CR$80)))</f>
        <v>74</v>
      </c>
      <c r="G8" s="29" cm="1">
        <f t="array" ref="G8">SUM(IF('[4]Raw Imports 2023'!$D$5:$CR$5='Imports 2023'!G$6,IF('[4]Raw Imports 2023'!$A$8:$A$80='Imports 2023'!$A8,'[4]Raw Imports 2023'!$D$8:$CR$80)))</f>
        <v>23824</v>
      </c>
      <c r="H8" s="29" cm="1">
        <f t="array" ref="H8">SUM(IF('[4]Raw Imports 2023'!$D$5:$CR$5='Imports 2023'!H$6,IF('[4]Raw Imports 2023'!$A$8:$A$80='Imports 2023'!$A8,'[4]Raw Imports 2023'!$D$8:$CR$80)))</f>
        <v>25</v>
      </c>
      <c r="I8" s="29" cm="1">
        <f t="array" ref="I8">SUM(IF('[4]Raw Imports 2023'!$D$5:$CR$5='Imports 2023'!I$6,IF('[4]Raw Imports 2023'!$A$8:$A$80='Imports 2023'!$A8,'[4]Raw Imports 2023'!$D$8:$CR$80)))</f>
        <v>569</v>
      </c>
      <c r="J8" s="29" cm="1">
        <f t="array" ref="J8">SUM(IF('[4]Raw Imports 2023'!$D$5:$CR$5='Imports 2023'!J$6,IF('[4]Raw Imports 2023'!$A$8:$A$80='Imports 2023'!$A8,'[4]Raw Imports 2023'!$D$8:$CR$80)))</f>
        <v>9</v>
      </c>
      <c r="K8" s="29" cm="1">
        <f t="array" ref="K8">SUM(IF('[4]Raw Imports 2023'!$D$5:$CR$5='Imports 2023'!K$6,IF('[4]Raw Imports 2023'!$A$8:$A$80='Imports 2023'!$A8,'[4]Raw Imports 2023'!$D$8:$CR$80)))</f>
        <v>0</v>
      </c>
      <c r="L8" s="29" cm="1">
        <f t="array" ref="L8">SUM(IF('[4]Raw Imports 2023'!$D$5:$CR$5='Imports 2023'!L$6,IF('[4]Raw Imports 2023'!$A$8:$A$80='Imports 2023'!$A8,'[4]Raw Imports 2023'!$D$8:$CR$80)))</f>
        <v>0</v>
      </c>
      <c r="M8" s="29" cm="1">
        <f t="array" ref="M8">SUM(IF('[4]Raw Imports 2023'!$D$5:$CR$5='Imports 2023'!M$6,IF('[4]Raw Imports 2023'!$A$8:$A$80='Imports 2023'!$A8,'[4]Raw Imports 2023'!$D$8:$CR$80)))</f>
        <v>270</v>
      </c>
      <c r="N8" s="29" cm="1">
        <f t="array" ref="N8">SUM(IF('[4]Raw Imports 2023'!$D$5:$CR$5='Imports 2023'!N$6,IF('[4]Raw Imports 2023'!$A$8:$A$80='Imports 2023'!$A8,'[4]Raw Imports 2023'!$D$8:$CR$80)))</f>
        <v>87</v>
      </c>
      <c r="O8" s="29" cm="1">
        <f t="array" ref="O8">SUM(IF('[4]Raw Imports 2023'!$D$5:$CR$5='Imports 2023'!O$6,IF('[4]Raw Imports 2023'!$A$8:$A$80='Imports 2023'!$A8,'[4]Raw Imports 2023'!$D$8:$CR$80)))</f>
        <v>10207</v>
      </c>
      <c r="P8" s="29" cm="1">
        <f t="array" ref="P8">SUM(IF('[4]Raw Imports 2023'!$D$5:$CR$5='Imports 2023'!P$6,IF('[4]Raw Imports 2023'!$A$8:$A$80='Imports 2023'!$A8,'[4]Raw Imports 2023'!$D$8:$CR$80)))</f>
        <v>84</v>
      </c>
      <c r="Q8" s="29" cm="1">
        <f t="array" ref="Q8">SUM(IF('[4]Raw Imports 2023'!$D$5:$CR$5='Imports 2023'!Q$6,IF('[4]Raw Imports 2023'!$A$8:$A$80='Imports 2023'!$A8,'[4]Raw Imports 2023'!$D$8:$CR$80)))</f>
        <v>1295</v>
      </c>
      <c r="R8" s="29">
        <f>SUM(C8:Q8)</f>
        <v>38883</v>
      </c>
      <c r="S8" s="29" cm="1">
        <f t="array" ref="S8">SUM(IF('[4]Raw Imports 2023'!$D$5:$CR$5='Imports 2023'!S$6,IF('[4]Raw Imports 2023'!$A$8:$A$80='Imports 2023'!$A8,'[4]Raw Imports 2023'!$D$8:$CR$80)))</f>
        <v>37912</v>
      </c>
      <c r="T8" s="30">
        <f t="array" ref="T8">$S8*(1-SUM(IF('[4]BLS 2022'!$A$2:$A$167='Imports 2023'!$A8,'[4]BLS 2022'!$AL$2:$CB$167))/SUM(IF('[4]BLS 2022'!$A$2:$A$167='Imports 2023'!$A8,'[4]BLS 2022'!$E$2:$CB$167)))</f>
        <v>36914.392694138027</v>
      </c>
      <c r="U8" s="29">
        <f>S8-T8</f>
        <v>997.60730586197315</v>
      </c>
      <c r="V8" s="29" cm="1">
        <f t="array" ref="V8">SUM(IF('[4]Raw Imports 2023'!$D$5:$CR$5='Imports 2023'!V$6,IF('[4]Raw Imports 2023'!$A$8:$A$80='Imports 2023'!$A8,'[4]Raw Imports 2023'!$D$8:$CR$80)))</f>
        <v>0</v>
      </c>
      <c r="W8" s="29" cm="1">
        <f t="array" ref="W8">SUM(IF('[4]Raw Imports 2023'!$D$5:$CR$5='Imports 2023'!W$6,IF('[4]Raw Imports 2023'!$A$8:$A$80='Imports 2023'!$A8,'[4]Raw Imports 2023'!$D$8:$CR$80)))</f>
        <v>-28</v>
      </c>
      <c r="X8" s="29" cm="1">
        <f t="array" ref="X8">SUM(IF('[4]Raw Imports 2023'!$D$5:$CR$5='Imports 2023'!X$6,IF('[4]Raw Imports 2023'!$A$8:$A$80='Imports 2023'!$A8,'[4]Raw Imports 2023'!$D$8:$CR$80)))</f>
        <v>0</v>
      </c>
      <c r="Y8" s="29" cm="1">
        <f t="array" ref="Y8">SUM(IF('[4]Raw Imports 2023'!$D$5:$CR$5='Imports 2023'!Y$6,IF('[4]Raw Imports 2023'!$A$8:$A$80='Imports 2023'!$A8,'[4]Raw Imports 2023'!$D$8:$CR$80)))</f>
        <v>0</v>
      </c>
      <c r="Z8" s="29" cm="1">
        <f t="array" ref="Z8">SUM(IF('[4]Raw Imports 2023'!$D$5:$CR$5='Imports 2023'!Z$6,IF('[4]Raw Imports 2023'!$A$8:$A$80='Imports 2023'!$A8,'[4]Raw Imports 2023'!$D$8:$CR$80)))</f>
        <v>-38885</v>
      </c>
      <c r="AA8" s="29" cm="1">
        <f t="array" ref="AA8">SUM(IF('[4]Raw Imports 2023'!$D$5:$CR$5='Imports 2023'!AA$6,IF('[4]Raw Imports 2023'!$A$8:$A$80='Imports 2023'!$A8,'[4]Raw Imports 2023'!$D$8:$CR$80)))</f>
        <v>-76769</v>
      </c>
      <c r="AB8" s="29">
        <f>R8</f>
        <v>38883</v>
      </c>
      <c r="AC8" s="29">
        <f>SUM(S8:Y8)</f>
        <v>75796</v>
      </c>
      <c r="AD8" s="29">
        <f>SUM(AB8:AC8)</f>
        <v>114679</v>
      </c>
      <c r="AF8" s="29">
        <f>'[4]Use 2023'!S8-S8</f>
        <v>218842</v>
      </c>
      <c r="AI8" s="31">
        <f>IFERROR($AF8*(T8/$S8)*$AM8,0)</f>
        <v>12639.719587701597</v>
      </c>
      <c r="AJ8" s="31">
        <f>IFERROR($AF8*(U8/$S8)*$AM8,0)</f>
        <v>341.58699857847512</v>
      </c>
      <c r="AM8" s="32">
        <f>R8/'[4]Use 2023'!R8</f>
        <v>5.931816829621403E-2</v>
      </c>
      <c r="AN8" s="33">
        <f t="shared" ref="AN8:AN24" si="0">AO8+(AO8*$AN$29/SUM($AO$8:$AO$24))</f>
        <v>10527.822505209373</v>
      </c>
      <c r="AO8" s="27">
        <f>R8*AF8/'[4]Use 2023'!R8</f>
        <v>12981.30658628007</v>
      </c>
      <c r="AQ8" s="27">
        <f>'[4]Use 2023'!V8</f>
        <v>79881</v>
      </c>
      <c r="AS8" s="29">
        <f>SUM(R8:Y8)</f>
        <v>114679</v>
      </c>
      <c r="AW8" s="29">
        <f>'[4]Use 2023'!T8-V8</f>
        <v>0</v>
      </c>
      <c r="AZ8" s="33">
        <f>BA8+(BA8*$AZ$29/SUM($BA$8:$BA$24))</f>
        <v>0</v>
      </c>
      <c r="BA8" s="27">
        <f>AW8*R8/'[4]Use 2023'!R8</f>
        <v>0</v>
      </c>
    </row>
    <row r="9" spans="1:53">
      <c r="A9" s="27" t="s">
        <v>3696</v>
      </c>
      <c r="B9" s="27" t="s">
        <v>3722</v>
      </c>
      <c r="C9" s="29" cm="1">
        <f t="array" ref="C9">SUM(IF('[4]Raw Imports 2023'!$D$5:$CR$5='Imports 2023'!C$6,IF('[4]Raw Imports 2023'!$A$8:$A$80='Imports 2023'!$A9,'[4]Raw Imports 2023'!$D$8:$CR$80)))</f>
        <v>114</v>
      </c>
      <c r="D9" s="29" cm="1">
        <f t="array" ref="D9">SUM(IF('[4]Raw Imports 2023'!$D$5:$CR$5='Imports 2023'!D$6,IF('[4]Raw Imports 2023'!$A$8:$A$80='Imports 2023'!$A9,'[4]Raw Imports 2023'!$D$8:$CR$80)))</f>
        <v>5091</v>
      </c>
      <c r="E9" s="29" cm="1">
        <f t="array" ref="E9">SUM(IF('[4]Raw Imports 2023'!$D$5:$CR$5='Imports 2023'!E$6,IF('[4]Raw Imports 2023'!$A$8:$A$80='Imports 2023'!$A9,'[4]Raw Imports 2023'!$D$8:$CR$80)))</f>
        <v>3307</v>
      </c>
      <c r="F9" s="29" cm="1">
        <f t="array" ref="F9">SUM(IF('[4]Raw Imports 2023'!$D$5:$CR$5='Imports 2023'!F$6,IF('[4]Raw Imports 2023'!$A$8:$A$80='Imports 2023'!$A9,'[4]Raw Imports 2023'!$D$8:$CR$80)))</f>
        <v>656</v>
      </c>
      <c r="G9" s="29" cm="1">
        <f t="array" ref="G9">SUM(IF('[4]Raw Imports 2023'!$D$5:$CR$5='Imports 2023'!G$6,IF('[4]Raw Imports 2023'!$A$8:$A$80='Imports 2023'!$A9,'[4]Raw Imports 2023'!$D$8:$CR$80)))</f>
        <v>168843</v>
      </c>
      <c r="H9" s="29" cm="1">
        <f t="array" ref="H9">SUM(IF('[4]Raw Imports 2023'!$D$5:$CR$5='Imports 2023'!H$6,IF('[4]Raw Imports 2023'!$A$8:$A$80='Imports 2023'!$A9,'[4]Raw Imports 2023'!$D$8:$CR$80)))</f>
        <v>9</v>
      </c>
      <c r="I9" s="29" cm="1">
        <f t="array" ref="I9">SUM(IF('[4]Raw Imports 2023'!$D$5:$CR$5='Imports 2023'!I$6,IF('[4]Raw Imports 2023'!$A$8:$A$80='Imports 2023'!$A9,'[4]Raw Imports 2023'!$D$8:$CR$80)))</f>
        <v>7</v>
      </c>
      <c r="J9" s="29" cm="1">
        <f t="array" ref="J9">SUM(IF('[4]Raw Imports 2023'!$D$5:$CR$5='Imports 2023'!J$6,IF('[4]Raw Imports 2023'!$A$8:$A$80='Imports 2023'!$A9,'[4]Raw Imports 2023'!$D$8:$CR$80)))</f>
        <v>17</v>
      </c>
      <c r="K9" s="29" cm="1">
        <f t="array" ref="K9">SUM(IF('[4]Raw Imports 2023'!$D$5:$CR$5='Imports 2023'!K$6,IF('[4]Raw Imports 2023'!$A$8:$A$80='Imports 2023'!$A9,'[4]Raw Imports 2023'!$D$8:$CR$80)))</f>
        <v>26</v>
      </c>
      <c r="L9" s="29" cm="1">
        <f t="array" ref="L9">SUM(IF('[4]Raw Imports 2023'!$D$5:$CR$5='Imports 2023'!L$6,IF('[4]Raw Imports 2023'!$A$8:$A$80='Imports 2023'!$A9,'[4]Raw Imports 2023'!$D$8:$CR$80)))</f>
        <v>6</v>
      </c>
      <c r="M9" s="29" cm="1">
        <f t="array" ref="M9">SUM(IF('[4]Raw Imports 2023'!$D$5:$CR$5='Imports 2023'!M$6,IF('[4]Raw Imports 2023'!$A$8:$A$80='Imports 2023'!$A9,'[4]Raw Imports 2023'!$D$8:$CR$80)))</f>
        <v>230</v>
      </c>
      <c r="N9" s="29" cm="1">
        <f t="array" ref="N9">SUM(IF('[4]Raw Imports 2023'!$D$5:$CR$5='Imports 2023'!N$6,IF('[4]Raw Imports 2023'!$A$8:$A$80='Imports 2023'!$A9,'[4]Raw Imports 2023'!$D$8:$CR$80)))</f>
        <v>60</v>
      </c>
      <c r="O9" s="29" cm="1">
        <f t="array" ref="O9">SUM(IF('[4]Raw Imports 2023'!$D$5:$CR$5='Imports 2023'!O$6,IF('[4]Raw Imports 2023'!$A$8:$A$80='Imports 2023'!$A9,'[4]Raw Imports 2023'!$D$8:$CR$80)))</f>
        <v>29</v>
      </c>
      <c r="P9" s="29" cm="1">
        <f t="array" ref="P9">SUM(IF('[4]Raw Imports 2023'!$D$5:$CR$5='Imports 2023'!P$6,IF('[4]Raw Imports 2023'!$A$8:$A$80='Imports 2023'!$A9,'[4]Raw Imports 2023'!$D$8:$CR$80)))</f>
        <v>10</v>
      </c>
      <c r="Q9" s="29" cm="1">
        <f t="array" ref="Q9">SUM(IF('[4]Raw Imports 2023'!$D$5:$CR$5='Imports 2023'!Q$6,IF('[4]Raw Imports 2023'!$A$8:$A$80='Imports 2023'!$A9,'[4]Raw Imports 2023'!$D$8:$CR$80)))</f>
        <v>3325</v>
      </c>
      <c r="R9" s="29">
        <f t="shared" ref="R9:R24" si="1">SUM(C9:Q9)</f>
        <v>181730</v>
      </c>
      <c r="S9" s="29" cm="1">
        <f t="array" ref="S9">SUM(IF('[4]Raw Imports 2023'!$D$5:$CR$5='Imports 2023'!S$6,IF('[4]Raw Imports 2023'!$A$8:$A$80='Imports 2023'!$A9,'[4]Raw Imports 2023'!$D$8:$CR$80)))</f>
        <v>58</v>
      </c>
      <c r="T9" s="30">
        <f t="array" ref="T9">$S9*(1-SUM(IF('[4]BLS 2022'!$A$2:$A$167='Imports 2023'!$A9,'[4]BLS 2022'!$AL$2:$CB$167))/SUM(IF('[4]BLS 2022'!$A$2:$A$167='Imports 2023'!$A9,'[4]BLS 2022'!$E$2:$CB$167)))</f>
        <v>58</v>
      </c>
      <c r="U9" s="29">
        <f t="shared" ref="U9:U10" si="2">S9-T9</f>
        <v>0</v>
      </c>
      <c r="V9" s="29" cm="1">
        <f t="array" ref="V9">SUM(IF('[4]Raw Imports 2023'!$D$5:$CR$5='Imports 2023'!V$6,IF('[4]Raw Imports 2023'!$A$8:$A$80='Imports 2023'!$A9,'[4]Raw Imports 2023'!$D$8:$CR$80)))</f>
        <v>1384</v>
      </c>
      <c r="W9" s="29" cm="1">
        <f t="array" ref="W9">SUM(IF('[4]Raw Imports 2023'!$D$5:$CR$5='Imports 2023'!W$6,IF('[4]Raw Imports 2023'!$A$8:$A$80='Imports 2023'!$A9,'[4]Raw Imports 2023'!$D$8:$CR$80)))</f>
        <v>656</v>
      </c>
      <c r="X9" s="29" cm="1">
        <f t="array" ref="X9">SUM(IF('[4]Raw Imports 2023'!$D$5:$CR$5='Imports 2023'!X$6,IF('[4]Raw Imports 2023'!$A$8:$A$80='Imports 2023'!$A9,'[4]Raw Imports 2023'!$D$8:$CR$80)))</f>
        <v>0</v>
      </c>
      <c r="Y9" s="29" cm="1">
        <f t="array" ref="Y9">SUM(IF('[4]Raw Imports 2023'!$D$5:$CR$5='Imports 2023'!Y$6,IF('[4]Raw Imports 2023'!$A$8:$A$80='Imports 2023'!$A9,'[4]Raw Imports 2023'!$D$8:$CR$80)))</f>
        <v>0</v>
      </c>
      <c r="Z9" s="29" cm="1">
        <f t="array" ref="Z9">SUM(IF('[4]Raw Imports 2023'!$D$5:$CR$5='Imports 2023'!Z$6,IF('[4]Raw Imports 2023'!$A$8:$A$80='Imports 2023'!$A9,'[4]Raw Imports 2023'!$D$8:$CR$80)))</f>
        <v>-181731</v>
      </c>
      <c r="AA9" s="29" cm="1">
        <f t="array" ref="AA9">SUM(IF('[4]Raw Imports 2023'!$D$5:$CR$5='Imports 2023'!AA$6,IF('[4]Raw Imports 2023'!$A$8:$A$80='Imports 2023'!$A9,'[4]Raw Imports 2023'!$D$8:$CR$80)))</f>
        <v>-183829</v>
      </c>
      <c r="AB9" s="29">
        <f t="shared" ref="AB9:AB24" si="3">R9</f>
        <v>181730</v>
      </c>
      <c r="AC9" s="29">
        <f t="shared" ref="AC9:AC24" si="4">SUM(S9:Y9)</f>
        <v>2156</v>
      </c>
      <c r="AD9" s="29">
        <f t="shared" ref="AD9:AD24" si="5">SUM(AB9:AC9)</f>
        <v>183886</v>
      </c>
      <c r="AF9" s="29">
        <f>'[4]Use 2023'!S9-S9</f>
        <v>284</v>
      </c>
      <c r="AI9" s="31">
        <f t="shared" ref="AI9:AJ23" si="6">IFERROR($AF9*(T9/$S9)*$AM9,0)</f>
        <v>75.560090769343375</v>
      </c>
      <c r="AJ9" s="31">
        <f t="shared" si="6"/>
        <v>0</v>
      </c>
      <c r="AM9" s="32">
        <f>R9/'[4]Use 2023'!R9</f>
        <v>0.26605665763853303</v>
      </c>
      <c r="AN9" s="33">
        <f t="shared" si="0"/>
        <v>61.279133869151643</v>
      </c>
      <c r="AO9" s="27">
        <f>R9*AF9/'[4]Use 2023'!R9</f>
        <v>75.56009076934339</v>
      </c>
      <c r="AQ9" s="27">
        <f>'[4]Use 2023'!V9</f>
        <v>179747</v>
      </c>
      <c r="AS9" s="29">
        <f t="shared" ref="AS9:AS23" si="7">SUM(R9:Y9)</f>
        <v>183886</v>
      </c>
      <c r="AW9" s="29">
        <f>'[4]Use 2023'!T9-V9</f>
        <v>105384</v>
      </c>
      <c r="AZ9" s="33">
        <f t="shared" ref="AZ9:AZ24" si="8">BA9+(BA9*$AZ$29/SUM($BA$8:$BA$24))</f>
        <v>28038.114808579168</v>
      </c>
      <c r="BA9" s="27">
        <f>AW9*R9/'[4]Use 2023'!R9</f>
        <v>28038.114808579168</v>
      </c>
    </row>
    <row r="10" spans="1:53">
      <c r="A10" s="27" t="s">
        <v>3697</v>
      </c>
      <c r="B10" s="27" t="s">
        <v>26</v>
      </c>
      <c r="C10" s="29" cm="1">
        <f t="array" ref="C10">SUM(IF('[4]Raw Imports 2023'!$D$5:$CR$5='Imports 2023'!C$6,IF('[4]Raw Imports 2023'!$A$8:$A$80='Imports 2023'!$A10,'[4]Raw Imports 2023'!$D$8:$CR$80)))</f>
        <v>18</v>
      </c>
      <c r="D10" s="29" cm="1">
        <f t="array" ref="D10">SUM(IF('[4]Raw Imports 2023'!$D$5:$CR$5='Imports 2023'!D$6,IF('[4]Raw Imports 2023'!$A$8:$A$80='Imports 2023'!$A10,'[4]Raw Imports 2023'!$D$8:$CR$80)))</f>
        <v>58</v>
      </c>
      <c r="E10" s="29" cm="1">
        <f t="array" ref="E10">SUM(IF('[4]Raw Imports 2023'!$D$5:$CR$5='Imports 2023'!E$6,IF('[4]Raw Imports 2023'!$A$8:$A$80='Imports 2023'!$A10,'[4]Raw Imports 2023'!$D$8:$CR$80)))</f>
        <v>143</v>
      </c>
      <c r="F10" s="29" cm="1">
        <f t="array" ref="F10">SUM(IF('[4]Raw Imports 2023'!$D$5:$CR$5='Imports 2023'!F$6,IF('[4]Raw Imports 2023'!$A$8:$A$80='Imports 2023'!$A10,'[4]Raw Imports 2023'!$D$8:$CR$80)))</f>
        <v>96</v>
      </c>
      <c r="G10" s="29" cm="1">
        <f t="array" ref="G10">SUM(IF('[4]Raw Imports 2023'!$D$5:$CR$5='Imports 2023'!G$6,IF('[4]Raw Imports 2023'!$A$8:$A$80='Imports 2023'!$A10,'[4]Raw Imports 2023'!$D$8:$CR$80)))</f>
        <v>320</v>
      </c>
      <c r="H10" s="29" cm="1">
        <f t="array" ref="H10">SUM(IF('[4]Raw Imports 2023'!$D$5:$CR$5='Imports 2023'!H$6,IF('[4]Raw Imports 2023'!$A$8:$A$80='Imports 2023'!$A10,'[4]Raw Imports 2023'!$D$8:$CR$80)))</f>
        <v>110</v>
      </c>
      <c r="I10" s="29" cm="1">
        <f t="array" ref="I10">SUM(IF('[4]Raw Imports 2023'!$D$5:$CR$5='Imports 2023'!I$6,IF('[4]Raw Imports 2023'!$A$8:$A$80='Imports 2023'!$A10,'[4]Raw Imports 2023'!$D$8:$CR$80)))</f>
        <v>302</v>
      </c>
      <c r="J10" s="29" cm="1">
        <f t="array" ref="J10">SUM(IF('[4]Raw Imports 2023'!$D$5:$CR$5='Imports 2023'!J$6,IF('[4]Raw Imports 2023'!$A$8:$A$80='Imports 2023'!$A10,'[4]Raw Imports 2023'!$D$8:$CR$80)))</f>
        <v>70</v>
      </c>
      <c r="K10" s="29" cm="1">
        <f t="array" ref="K10">SUM(IF('[4]Raw Imports 2023'!$D$5:$CR$5='Imports 2023'!K$6,IF('[4]Raw Imports 2023'!$A$8:$A$80='Imports 2023'!$A10,'[4]Raw Imports 2023'!$D$8:$CR$80)))</f>
        <v>99</v>
      </c>
      <c r="L10" s="29" cm="1">
        <f t="array" ref="L10">SUM(IF('[4]Raw Imports 2023'!$D$5:$CR$5='Imports 2023'!L$6,IF('[4]Raw Imports 2023'!$A$8:$A$80='Imports 2023'!$A10,'[4]Raw Imports 2023'!$D$8:$CR$80)))</f>
        <v>264</v>
      </c>
      <c r="M10" s="29" cm="1">
        <f t="array" ref="M10">SUM(IF('[4]Raw Imports 2023'!$D$5:$CR$5='Imports 2023'!M$6,IF('[4]Raw Imports 2023'!$A$8:$A$80='Imports 2023'!$A10,'[4]Raw Imports 2023'!$D$8:$CR$80)))</f>
        <v>115</v>
      </c>
      <c r="N10" s="29" cm="1">
        <f t="array" ref="N10">SUM(IF('[4]Raw Imports 2023'!$D$5:$CR$5='Imports 2023'!N$6,IF('[4]Raw Imports 2023'!$A$8:$A$80='Imports 2023'!$A10,'[4]Raw Imports 2023'!$D$8:$CR$80)))</f>
        <v>116</v>
      </c>
      <c r="O10" s="29" cm="1">
        <f t="array" ref="O10">SUM(IF('[4]Raw Imports 2023'!$D$5:$CR$5='Imports 2023'!O$6,IF('[4]Raw Imports 2023'!$A$8:$A$80='Imports 2023'!$A10,'[4]Raw Imports 2023'!$D$8:$CR$80)))</f>
        <v>217</v>
      </c>
      <c r="P10" s="29" cm="1">
        <f t="array" ref="P10">SUM(IF('[4]Raw Imports 2023'!$D$5:$CR$5='Imports 2023'!P$6,IF('[4]Raw Imports 2023'!$A$8:$A$80='Imports 2023'!$A10,'[4]Raw Imports 2023'!$D$8:$CR$80)))</f>
        <v>50</v>
      </c>
      <c r="Q10" s="29" cm="1">
        <f t="array" ref="Q10">SUM(IF('[4]Raw Imports 2023'!$D$5:$CR$5='Imports 2023'!Q$6,IF('[4]Raw Imports 2023'!$A$8:$A$80='Imports 2023'!$A10,'[4]Raw Imports 2023'!$D$8:$CR$80)))</f>
        <v>110</v>
      </c>
      <c r="R10" s="29">
        <f t="shared" si="1"/>
        <v>2088</v>
      </c>
      <c r="S10" s="29" cm="1">
        <f t="array" ref="S10">SUM(IF('[4]Raw Imports 2023'!$D$5:$CR$5='Imports 2023'!S$6,IF('[4]Raw Imports 2023'!$A$8:$A$80='Imports 2023'!$A10,'[4]Raw Imports 2023'!$D$8:$CR$80)))</f>
        <v>1386</v>
      </c>
      <c r="T10" s="30">
        <f t="array" ref="T10">$S10*(1-SUM(IF('[4]BLS 2022'!$A$2:$A$167='Imports 2023'!$A10,'[4]BLS 2022'!$AL$2:$CB$167))/SUM(IF('[4]BLS 2022'!$A$2:$A$167='Imports 2023'!$A10,'[4]BLS 2022'!$E$2:$CB$167)))</f>
        <v>0</v>
      </c>
      <c r="U10" s="29">
        <f t="shared" si="2"/>
        <v>1386</v>
      </c>
      <c r="V10" s="29" cm="1">
        <f t="array" ref="V10">SUM(IF('[4]Raw Imports 2023'!$D$5:$CR$5='Imports 2023'!V$6,IF('[4]Raw Imports 2023'!$A$8:$A$80='Imports 2023'!$A10,'[4]Raw Imports 2023'!$D$8:$CR$80)))</f>
        <v>0</v>
      </c>
      <c r="W10" s="29" cm="1">
        <f t="array" ref="W10">SUM(IF('[4]Raw Imports 2023'!$D$5:$CR$5='Imports 2023'!W$6,IF('[4]Raw Imports 2023'!$A$8:$A$80='Imports 2023'!$A10,'[4]Raw Imports 2023'!$D$8:$CR$80)))</f>
        <v>0</v>
      </c>
      <c r="X10" s="29" cm="1">
        <f t="array" ref="X10">SUM(IF('[4]Raw Imports 2023'!$D$5:$CR$5='Imports 2023'!X$6,IF('[4]Raw Imports 2023'!$A$8:$A$80='Imports 2023'!$A10,'[4]Raw Imports 2023'!$D$8:$CR$80)))</f>
        <v>0</v>
      </c>
      <c r="Y10" s="29" cm="1">
        <f t="array" ref="Y10">SUM(IF('[4]Raw Imports 2023'!$D$5:$CR$5='Imports 2023'!Y$6,IF('[4]Raw Imports 2023'!$A$8:$A$80='Imports 2023'!$A10,'[4]Raw Imports 2023'!$D$8:$CR$80)))</f>
        <v>0</v>
      </c>
      <c r="Z10" s="29" cm="1">
        <f t="array" ref="Z10">SUM(IF('[4]Raw Imports 2023'!$D$5:$CR$5='Imports 2023'!Z$6,IF('[4]Raw Imports 2023'!$A$8:$A$80='Imports 2023'!$A10,'[4]Raw Imports 2023'!$D$8:$CR$80)))</f>
        <v>-2088</v>
      </c>
      <c r="AA10" s="29" cm="1">
        <f t="array" ref="AA10">SUM(IF('[4]Raw Imports 2023'!$D$5:$CR$5='Imports 2023'!AA$6,IF('[4]Raw Imports 2023'!$A$8:$A$80='Imports 2023'!$A10,'[4]Raw Imports 2023'!$D$8:$CR$80)))</f>
        <v>-3474</v>
      </c>
      <c r="AB10" s="29">
        <f t="shared" si="3"/>
        <v>2088</v>
      </c>
      <c r="AC10" s="29">
        <f t="shared" si="4"/>
        <v>2772</v>
      </c>
      <c r="AD10" s="29">
        <f t="shared" si="5"/>
        <v>4860</v>
      </c>
      <c r="AF10" s="29">
        <f>'[4]Use 2023'!S10-S10</f>
        <v>354385</v>
      </c>
      <c r="AI10" s="31">
        <f t="shared" si="6"/>
        <v>0</v>
      </c>
      <c r="AJ10" s="31">
        <f t="shared" si="6"/>
        <v>1601.4489215546234</v>
      </c>
      <c r="AM10" s="32">
        <f>R10/'[4]Use 2023'!R10</f>
        <v>4.5189523302471141E-3</v>
      </c>
      <c r="AN10" s="33">
        <f t="shared" si="0"/>
        <v>1298.7729613523741</v>
      </c>
      <c r="AO10" s="27">
        <f>R10*AF10/'[4]Use 2023'!R10</f>
        <v>1601.4489215546234</v>
      </c>
      <c r="AQ10" s="27">
        <f>'[4]Use 2023'!V10</f>
        <v>5039</v>
      </c>
      <c r="AS10" s="29">
        <f t="shared" si="7"/>
        <v>4860</v>
      </c>
      <c r="AW10" s="29">
        <f>'[4]Use 2023'!T10-V10</f>
        <v>0</v>
      </c>
      <c r="AZ10" s="33">
        <f t="shared" si="8"/>
        <v>0</v>
      </c>
      <c r="BA10" s="27">
        <f>AW10*R10/'[4]Use 2023'!R10</f>
        <v>0</v>
      </c>
    </row>
    <row r="11" spans="1:53">
      <c r="A11" s="27" t="s">
        <v>3698</v>
      </c>
      <c r="B11" s="27" t="s">
        <v>27</v>
      </c>
      <c r="C11" s="29" cm="1">
        <f t="array" ref="C11">SUM(IF('[4]Raw Imports 2023'!$D$5:$CR$5='Imports 2023'!C$6,IF('[4]Raw Imports 2023'!$A$8:$A$80='Imports 2023'!$A11,'[4]Raw Imports 2023'!$D$8:$CR$80)))</f>
        <v>0</v>
      </c>
      <c r="D11" s="29" cm="1">
        <f t="array" ref="D11">SUM(IF('[4]Raw Imports 2023'!$D$5:$CR$5='Imports 2023'!D$6,IF('[4]Raw Imports 2023'!$A$8:$A$80='Imports 2023'!$A11,'[4]Raw Imports 2023'!$D$8:$CR$80)))</f>
        <v>0</v>
      </c>
      <c r="E11" s="29" cm="1">
        <f t="array" ref="E11">SUM(IF('[4]Raw Imports 2023'!$D$5:$CR$5='Imports 2023'!E$6,IF('[4]Raw Imports 2023'!$A$8:$A$80='Imports 2023'!$A11,'[4]Raw Imports 2023'!$D$8:$CR$80)))</f>
        <v>0</v>
      </c>
      <c r="F11" s="29" cm="1">
        <f t="array" ref="F11">SUM(IF('[4]Raw Imports 2023'!$D$5:$CR$5='Imports 2023'!F$6,IF('[4]Raw Imports 2023'!$A$8:$A$80='Imports 2023'!$A11,'[4]Raw Imports 2023'!$D$8:$CR$80)))</f>
        <v>0</v>
      </c>
      <c r="G11" s="29" cm="1">
        <f t="array" ref="G11">SUM(IF('[4]Raw Imports 2023'!$D$5:$CR$5='Imports 2023'!G$6,IF('[4]Raw Imports 2023'!$A$8:$A$80='Imports 2023'!$A11,'[4]Raw Imports 2023'!$D$8:$CR$80)))</f>
        <v>0</v>
      </c>
      <c r="H11" s="29" cm="1">
        <f t="array" ref="H11">SUM(IF('[4]Raw Imports 2023'!$D$5:$CR$5='Imports 2023'!H$6,IF('[4]Raw Imports 2023'!$A$8:$A$80='Imports 2023'!$A11,'[4]Raw Imports 2023'!$D$8:$CR$80)))</f>
        <v>0</v>
      </c>
      <c r="I11" s="29" cm="1">
        <f t="array" ref="I11">SUM(IF('[4]Raw Imports 2023'!$D$5:$CR$5='Imports 2023'!I$6,IF('[4]Raw Imports 2023'!$A$8:$A$80='Imports 2023'!$A11,'[4]Raw Imports 2023'!$D$8:$CR$80)))</f>
        <v>0</v>
      </c>
      <c r="J11" s="29" cm="1">
        <f t="array" ref="J11">SUM(IF('[4]Raw Imports 2023'!$D$5:$CR$5='Imports 2023'!J$6,IF('[4]Raw Imports 2023'!$A$8:$A$80='Imports 2023'!$A11,'[4]Raw Imports 2023'!$D$8:$CR$80)))</f>
        <v>0</v>
      </c>
      <c r="K11" s="29" cm="1">
        <f t="array" ref="K11">SUM(IF('[4]Raw Imports 2023'!$D$5:$CR$5='Imports 2023'!K$6,IF('[4]Raw Imports 2023'!$A$8:$A$80='Imports 2023'!$A11,'[4]Raw Imports 2023'!$D$8:$CR$80)))</f>
        <v>0</v>
      </c>
      <c r="L11" s="29" cm="1">
        <f t="array" ref="L11">SUM(IF('[4]Raw Imports 2023'!$D$5:$CR$5='Imports 2023'!L$6,IF('[4]Raw Imports 2023'!$A$8:$A$80='Imports 2023'!$A11,'[4]Raw Imports 2023'!$D$8:$CR$80)))</f>
        <v>0</v>
      </c>
      <c r="M11" s="29" cm="1">
        <f t="array" ref="M11">SUM(IF('[4]Raw Imports 2023'!$D$5:$CR$5='Imports 2023'!M$6,IF('[4]Raw Imports 2023'!$A$8:$A$80='Imports 2023'!$A11,'[4]Raw Imports 2023'!$D$8:$CR$80)))</f>
        <v>0</v>
      </c>
      <c r="N11" s="29" cm="1">
        <f t="array" ref="N11">SUM(IF('[4]Raw Imports 2023'!$D$5:$CR$5='Imports 2023'!N$6,IF('[4]Raw Imports 2023'!$A$8:$A$80='Imports 2023'!$A11,'[4]Raw Imports 2023'!$D$8:$CR$80)))</f>
        <v>0</v>
      </c>
      <c r="O11" s="29" cm="1">
        <f t="array" ref="O11">SUM(IF('[4]Raw Imports 2023'!$D$5:$CR$5='Imports 2023'!O$6,IF('[4]Raw Imports 2023'!$A$8:$A$80='Imports 2023'!$A11,'[4]Raw Imports 2023'!$D$8:$CR$80)))</f>
        <v>0</v>
      </c>
      <c r="P11" s="29" cm="1">
        <f t="array" ref="P11">SUM(IF('[4]Raw Imports 2023'!$D$5:$CR$5='Imports 2023'!P$6,IF('[4]Raw Imports 2023'!$A$8:$A$80='Imports 2023'!$A11,'[4]Raw Imports 2023'!$D$8:$CR$80)))</f>
        <v>0</v>
      </c>
      <c r="Q11" s="29" cm="1">
        <f t="array" ref="Q11">SUM(IF('[4]Raw Imports 2023'!$D$5:$CR$5='Imports 2023'!Q$6,IF('[4]Raw Imports 2023'!$A$8:$A$80='Imports 2023'!$A11,'[4]Raw Imports 2023'!$D$8:$CR$80)))</f>
        <v>0</v>
      </c>
      <c r="R11" s="29">
        <f t="shared" si="1"/>
        <v>0</v>
      </c>
      <c r="S11" s="29" cm="1">
        <f t="array" ref="S11">SUM(IF('[4]Raw Imports 2023'!$D$5:$CR$5='Imports 2023'!S$6,IF('[4]Raw Imports 2023'!$A$8:$A$80='Imports 2023'!$A11,'[4]Raw Imports 2023'!$D$8:$CR$80)))</f>
        <v>0</v>
      </c>
      <c r="T11" s="30">
        <v>0</v>
      </c>
      <c r="U11" s="29">
        <v>0</v>
      </c>
      <c r="V11" s="29" cm="1">
        <f t="array" ref="V11">SUM(IF('[4]Raw Imports 2023'!$D$5:$CR$5='Imports 2023'!V$6,IF('[4]Raw Imports 2023'!$A$8:$A$80='Imports 2023'!$A11,'[4]Raw Imports 2023'!$D$8:$CR$80)))</f>
        <v>0</v>
      </c>
      <c r="W11" s="29" cm="1">
        <f t="array" ref="W11">SUM(IF('[4]Raw Imports 2023'!$D$5:$CR$5='Imports 2023'!W$6,IF('[4]Raw Imports 2023'!$A$8:$A$80='Imports 2023'!$A11,'[4]Raw Imports 2023'!$D$8:$CR$80)))</f>
        <v>0</v>
      </c>
      <c r="X11" s="29" cm="1">
        <f t="array" ref="X11">SUM(IF('[4]Raw Imports 2023'!$D$5:$CR$5='Imports 2023'!X$6,IF('[4]Raw Imports 2023'!$A$8:$A$80='Imports 2023'!$A11,'[4]Raw Imports 2023'!$D$8:$CR$80)))</f>
        <v>0</v>
      </c>
      <c r="Y11" s="29" cm="1">
        <f t="array" ref="Y11">SUM(IF('[4]Raw Imports 2023'!$D$5:$CR$5='Imports 2023'!Y$6,IF('[4]Raw Imports 2023'!$A$8:$A$80='Imports 2023'!$A11,'[4]Raw Imports 2023'!$D$8:$CR$80)))</f>
        <v>0</v>
      </c>
      <c r="Z11" s="29" cm="1">
        <f t="array" ref="Z11">SUM(IF('[4]Raw Imports 2023'!$D$5:$CR$5='Imports 2023'!Z$6,IF('[4]Raw Imports 2023'!$A$8:$A$80='Imports 2023'!$A11,'[4]Raw Imports 2023'!$D$8:$CR$80)))</f>
        <v>0</v>
      </c>
      <c r="AA11" s="29" cm="1">
        <f t="array" ref="AA11">SUM(IF('[4]Raw Imports 2023'!$D$5:$CR$5='Imports 2023'!AA$6,IF('[4]Raw Imports 2023'!$A$8:$A$80='Imports 2023'!$A11,'[4]Raw Imports 2023'!$D$8:$CR$80)))</f>
        <v>0</v>
      </c>
      <c r="AB11" s="29">
        <f t="shared" si="3"/>
        <v>0</v>
      </c>
      <c r="AC11" s="29">
        <f t="shared" si="4"/>
        <v>0</v>
      </c>
      <c r="AD11" s="29">
        <f t="shared" si="5"/>
        <v>0</v>
      </c>
      <c r="AF11" s="29">
        <f>'[4]Use 2023'!S11-S11</f>
        <v>0</v>
      </c>
      <c r="AI11" s="31">
        <f t="shared" si="6"/>
        <v>0</v>
      </c>
      <c r="AJ11" s="31">
        <f t="shared" si="6"/>
        <v>0</v>
      </c>
      <c r="AM11" s="32">
        <f>R11/'[4]Use 2023'!R11</f>
        <v>0</v>
      </c>
      <c r="AN11" s="33">
        <f t="shared" si="0"/>
        <v>0</v>
      </c>
      <c r="AO11" s="27">
        <f>R11*AF11/'[4]Use 2023'!R11</f>
        <v>0</v>
      </c>
      <c r="AQ11" s="27">
        <f>'[4]Use 2023'!V11</f>
        <v>123</v>
      </c>
      <c r="AS11" s="29">
        <f t="shared" si="7"/>
        <v>0</v>
      </c>
      <c r="AW11" s="29">
        <f>'[4]Use 2023'!T11-V11</f>
        <v>1639023</v>
      </c>
      <c r="AZ11" s="33">
        <f t="shared" si="8"/>
        <v>0</v>
      </c>
      <c r="BA11" s="27">
        <f>AW11*R11/'[4]Use 2023'!R11</f>
        <v>0</v>
      </c>
    </row>
    <row r="12" spans="1:53">
      <c r="A12" s="27" t="s">
        <v>3699</v>
      </c>
      <c r="B12" s="27" t="s">
        <v>3723</v>
      </c>
      <c r="C12" s="29" cm="1">
        <f t="array" ref="C12">SUM(IF('[4]Raw Imports 2023'!$D$5:$CR$5='Imports 2023'!C$6,IF('[4]Raw Imports 2023'!$A$8:$A$80='Imports 2023'!$A12,'[4]Raw Imports 2023'!$D$8:$CR$80)))</f>
        <v>17445</v>
      </c>
      <c r="D12" s="29" cm="1">
        <f t="array" ref="D12">SUM(IF('[4]Raw Imports 2023'!$D$5:$CR$5='Imports 2023'!D$6,IF('[4]Raw Imports 2023'!$A$8:$A$80='Imports 2023'!$A12,'[4]Raw Imports 2023'!$D$8:$CR$80)))</f>
        <v>22188</v>
      </c>
      <c r="E12" s="29" cm="1">
        <f t="array" ref="E12">SUM(IF('[4]Raw Imports 2023'!$D$5:$CR$5='Imports 2023'!E$6,IF('[4]Raw Imports 2023'!$A$8:$A$80='Imports 2023'!$A12,'[4]Raw Imports 2023'!$D$8:$CR$80)))</f>
        <v>7375</v>
      </c>
      <c r="F12" s="29" cm="1">
        <f t="array" ref="F12">SUM(IF('[4]Raw Imports 2023'!$D$5:$CR$5='Imports 2023'!F$6,IF('[4]Raw Imports 2023'!$A$8:$A$80='Imports 2023'!$A12,'[4]Raw Imports 2023'!$D$8:$CR$80)))</f>
        <v>103613</v>
      </c>
      <c r="G12" s="29" cm="1">
        <f t="array" ref="G12">SUM(IF('[4]Raw Imports 2023'!$D$5:$CR$5='Imports 2023'!G$6,IF('[4]Raw Imports 2023'!$A$8:$A$80='Imports 2023'!$A12,'[4]Raw Imports 2023'!$D$8:$CR$80)))</f>
        <v>583457</v>
      </c>
      <c r="H12" s="29" cm="1">
        <f t="array" ref="H12">SUM(IF('[4]Raw Imports 2023'!$D$5:$CR$5='Imports 2023'!H$6,IF('[4]Raw Imports 2023'!$A$8:$A$80='Imports 2023'!$A12,'[4]Raw Imports 2023'!$D$8:$CR$80)))</f>
        <v>44890</v>
      </c>
      <c r="I12" s="29" cm="1">
        <f t="array" ref="I12">SUM(IF('[4]Raw Imports 2023'!$D$5:$CR$5='Imports 2023'!I$6,IF('[4]Raw Imports 2023'!$A$8:$A$80='Imports 2023'!$A12,'[4]Raw Imports 2023'!$D$8:$CR$80)))</f>
        <v>21222</v>
      </c>
      <c r="J12" s="29" cm="1">
        <f t="array" ref="J12">SUM(IF('[4]Raw Imports 2023'!$D$5:$CR$5='Imports 2023'!J$6,IF('[4]Raw Imports 2023'!$A$8:$A$80='Imports 2023'!$A12,'[4]Raw Imports 2023'!$D$8:$CR$80)))</f>
        <v>27064</v>
      </c>
      <c r="K12" s="29" cm="1">
        <f t="array" ref="K12">SUM(IF('[4]Raw Imports 2023'!$D$5:$CR$5='Imports 2023'!K$6,IF('[4]Raw Imports 2023'!$A$8:$A$80='Imports 2023'!$A12,'[4]Raw Imports 2023'!$D$8:$CR$80)))</f>
        <v>39750</v>
      </c>
      <c r="L12" s="29" cm="1">
        <f t="array" ref="L12">SUM(IF('[4]Raw Imports 2023'!$D$5:$CR$5='Imports 2023'!L$6,IF('[4]Raw Imports 2023'!$A$8:$A$80='Imports 2023'!$A12,'[4]Raw Imports 2023'!$D$8:$CR$80)))</f>
        <v>20902</v>
      </c>
      <c r="M12" s="29" cm="1">
        <f t="array" ref="M12">SUM(IF('[4]Raw Imports 2023'!$D$5:$CR$5='Imports 2023'!M$6,IF('[4]Raw Imports 2023'!$A$8:$A$80='Imports 2023'!$A12,'[4]Raw Imports 2023'!$D$8:$CR$80)))</f>
        <v>107642</v>
      </c>
      <c r="N12" s="29" cm="1">
        <f t="array" ref="N12">SUM(IF('[4]Raw Imports 2023'!$D$5:$CR$5='Imports 2023'!N$6,IF('[4]Raw Imports 2023'!$A$8:$A$80='Imports 2023'!$A12,'[4]Raw Imports 2023'!$D$8:$CR$80)))</f>
        <v>56160</v>
      </c>
      <c r="O12" s="29" cm="1">
        <f t="array" ref="O12">SUM(IF('[4]Raw Imports 2023'!$D$5:$CR$5='Imports 2023'!O$6,IF('[4]Raw Imports 2023'!$A$8:$A$80='Imports 2023'!$A12,'[4]Raw Imports 2023'!$D$8:$CR$80)))</f>
        <v>29052</v>
      </c>
      <c r="P12" s="29" cm="1">
        <f t="array" ref="P12">SUM(IF('[4]Raw Imports 2023'!$D$5:$CR$5='Imports 2023'!P$6,IF('[4]Raw Imports 2023'!$A$8:$A$80='Imports 2023'!$A12,'[4]Raw Imports 2023'!$D$8:$CR$80)))</f>
        <v>18237</v>
      </c>
      <c r="Q12" s="29" cm="1">
        <f t="array" ref="Q12">SUM(IF('[4]Raw Imports 2023'!$D$5:$CR$5='Imports 2023'!Q$6,IF('[4]Raw Imports 2023'!$A$8:$A$80='Imports 2023'!$A12,'[4]Raw Imports 2023'!$D$8:$CR$80)))</f>
        <v>108814</v>
      </c>
      <c r="R12" s="29">
        <f t="shared" si="1"/>
        <v>1207811</v>
      </c>
      <c r="S12" s="29" cm="1">
        <f t="array" ref="S12">SUM(IF('[4]Raw Imports 2023'!$D$5:$CR$5='Imports 2023'!S$6,IF('[4]Raw Imports 2023'!$A$8:$A$80='Imports 2023'!$A12,'[4]Raw Imports 2023'!$D$8:$CR$80)))</f>
        <v>833897</v>
      </c>
      <c r="T12" s="30">
        <f t="array" ref="T12">$S12*(1-SUM(IF('[4]BLS 2022'!$A$2:$A$167='Imports 2023'!$A12,'[4]BLS 2022'!$AL$2:$CB$167))/SUM(IF('[4]BLS 2022'!$A$2:$A$167='Imports 2023'!$A12,'[4]BLS 2022'!$E$2:$CB$167)))</f>
        <v>828119.79554996383</v>
      </c>
      <c r="U12" s="29">
        <f t="shared" ref="U12" si="9">S12-T12</f>
        <v>5777.2044500361662</v>
      </c>
      <c r="V12" s="29" cm="1">
        <f t="array" ref="V12">SUM(IF('[4]Raw Imports 2023'!$D$5:$CR$5='Imports 2023'!V$6,IF('[4]Raw Imports 2023'!$A$8:$A$80='Imports 2023'!$A12,'[4]Raw Imports 2023'!$D$8:$CR$80)))</f>
        <v>433525</v>
      </c>
      <c r="W12" s="29" cm="1">
        <f t="array" ref="W12">SUM(IF('[4]Raw Imports 2023'!$D$5:$CR$5='Imports 2023'!W$6,IF('[4]Raw Imports 2023'!$A$8:$A$80='Imports 2023'!$A12,'[4]Raw Imports 2023'!$D$8:$CR$80)))</f>
        <v>9573</v>
      </c>
      <c r="X12" s="29" cm="1">
        <f t="array" ref="X12">SUM(IF('[4]Raw Imports 2023'!$D$5:$CR$5='Imports 2023'!X$6,IF('[4]Raw Imports 2023'!$A$8:$A$80='Imports 2023'!$A12,'[4]Raw Imports 2023'!$D$8:$CR$80)))</f>
        <v>0</v>
      </c>
      <c r="Y12" s="29" cm="1">
        <f t="array" ref="Y12">SUM(IF('[4]Raw Imports 2023'!$D$5:$CR$5='Imports 2023'!Y$6,IF('[4]Raw Imports 2023'!$A$8:$A$80='Imports 2023'!$A12,'[4]Raw Imports 2023'!$D$8:$CR$80)))</f>
        <v>77996</v>
      </c>
      <c r="Z12" s="29" cm="1">
        <f t="array" ref="Z12">SUM(IF('[4]Raw Imports 2023'!$D$5:$CR$5='Imports 2023'!Z$6,IF('[4]Raw Imports 2023'!$A$8:$A$80='Imports 2023'!$A12,'[4]Raw Imports 2023'!$D$8:$CR$80)))</f>
        <v>-1207809</v>
      </c>
      <c r="AA12" s="29" cm="1">
        <f t="array" ref="AA12">SUM(IF('[4]Raw Imports 2023'!$D$5:$CR$5='Imports 2023'!AA$6,IF('[4]Raw Imports 2023'!$A$8:$A$80='Imports 2023'!$A12,'[4]Raw Imports 2023'!$D$8:$CR$80)))</f>
        <v>-2562804</v>
      </c>
      <c r="AB12" s="29">
        <f t="shared" si="3"/>
        <v>1207811</v>
      </c>
      <c r="AC12" s="29">
        <f t="shared" si="4"/>
        <v>2188888</v>
      </c>
      <c r="AD12" s="29">
        <f t="shared" si="5"/>
        <v>3396699</v>
      </c>
      <c r="AF12" s="29">
        <f>'[4]Use 2023'!S12-S12</f>
        <v>4379872</v>
      </c>
      <c r="AI12" s="31">
        <f t="shared" si="6"/>
        <v>855917.32555322687</v>
      </c>
      <c r="AJ12" s="31">
        <f t="shared" si="6"/>
        <v>5971.1281008145106</v>
      </c>
      <c r="AM12" s="32">
        <f>R12/'[4]Use 2023'!R12</f>
        <v>0.19678393652920484</v>
      </c>
      <c r="AN12" s="33">
        <f t="shared" si="0"/>
        <v>698990.39815831953</v>
      </c>
      <c r="AO12" s="27">
        <f>R12*AF12/'[4]Use 2023'!R12</f>
        <v>861888.4536540414</v>
      </c>
      <c r="AQ12" s="27">
        <f>'[4]Use 2023'!V12</f>
        <v>1326252</v>
      </c>
      <c r="AS12" s="29">
        <f t="shared" si="7"/>
        <v>3396699</v>
      </c>
      <c r="AW12" s="29">
        <f>'[4]Use 2023'!T12-V12</f>
        <v>1020807</v>
      </c>
      <c r="AZ12" s="33">
        <f t="shared" si="8"/>
        <v>200878.419896568</v>
      </c>
      <c r="BA12" s="27">
        <f>AW12*R12/'[4]Use 2023'!R12</f>
        <v>200878.419896568</v>
      </c>
    </row>
    <row r="13" spans="1:53">
      <c r="A13" s="27" t="s">
        <v>3700</v>
      </c>
      <c r="B13" s="27" t="s">
        <v>3724</v>
      </c>
      <c r="C13" s="29" cm="1">
        <f t="array" ref="C13">SUM(IF('[4]Raw Imports 2023'!$D$5:$CR$5='Imports 2023'!C$6,IF('[4]Raw Imports 2023'!$A$8:$A$80='Imports 2023'!$A13,'[4]Raw Imports 2023'!$D$8:$CR$80)))</f>
        <v>0</v>
      </c>
      <c r="D13" s="29" cm="1">
        <f t="array" ref="D13">SUM(IF('[4]Raw Imports 2023'!$D$5:$CR$5='Imports 2023'!D$6,IF('[4]Raw Imports 2023'!$A$8:$A$80='Imports 2023'!$A13,'[4]Raw Imports 2023'!$D$8:$CR$80)))</f>
        <v>0</v>
      </c>
      <c r="E13" s="29" cm="1">
        <f t="array" ref="E13">SUM(IF('[4]Raw Imports 2023'!$D$5:$CR$5='Imports 2023'!E$6,IF('[4]Raw Imports 2023'!$A$8:$A$80='Imports 2023'!$A13,'[4]Raw Imports 2023'!$D$8:$CR$80)))</f>
        <v>0</v>
      </c>
      <c r="F13" s="29" cm="1">
        <f t="array" ref="F13">SUM(IF('[4]Raw Imports 2023'!$D$5:$CR$5='Imports 2023'!F$6,IF('[4]Raw Imports 2023'!$A$8:$A$80='Imports 2023'!$A13,'[4]Raw Imports 2023'!$D$8:$CR$80)))</f>
        <v>0</v>
      </c>
      <c r="G13" s="29" cm="1">
        <f t="array" ref="G13">SUM(IF('[4]Raw Imports 2023'!$D$5:$CR$5='Imports 2023'!G$6,IF('[4]Raw Imports 2023'!$A$8:$A$80='Imports 2023'!$A13,'[4]Raw Imports 2023'!$D$8:$CR$80)))</f>
        <v>0</v>
      </c>
      <c r="H13" s="29" cm="1">
        <f t="array" ref="H13">SUM(IF('[4]Raw Imports 2023'!$D$5:$CR$5='Imports 2023'!H$6,IF('[4]Raw Imports 2023'!$A$8:$A$80='Imports 2023'!$A13,'[4]Raw Imports 2023'!$D$8:$CR$80)))</f>
        <v>0</v>
      </c>
      <c r="I13" s="29" cm="1">
        <f t="array" ref="I13">SUM(IF('[4]Raw Imports 2023'!$D$5:$CR$5='Imports 2023'!I$6,IF('[4]Raw Imports 2023'!$A$8:$A$80='Imports 2023'!$A13,'[4]Raw Imports 2023'!$D$8:$CR$80)))</f>
        <v>0</v>
      </c>
      <c r="J13" s="29" cm="1">
        <f t="array" ref="J13">SUM(IF('[4]Raw Imports 2023'!$D$5:$CR$5='Imports 2023'!J$6,IF('[4]Raw Imports 2023'!$A$8:$A$80='Imports 2023'!$A13,'[4]Raw Imports 2023'!$D$8:$CR$80)))</f>
        <v>0</v>
      </c>
      <c r="K13" s="29" cm="1">
        <f t="array" ref="K13">SUM(IF('[4]Raw Imports 2023'!$D$5:$CR$5='Imports 2023'!K$6,IF('[4]Raw Imports 2023'!$A$8:$A$80='Imports 2023'!$A13,'[4]Raw Imports 2023'!$D$8:$CR$80)))</f>
        <v>0</v>
      </c>
      <c r="L13" s="29" cm="1">
        <f t="array" ref="L13">SUM(IF('[4]Raw Imports 2023'!$D$5:$CR$5='Imports 2023'!L$6,IF('[4]Raw Imports 2023'!$A$8:$A$80='Imports 2023'!$A13,'[4]Raw Imports 2023'!$D$8:$CR$80)))</f>
        <v>0</v>
      </c>
      <c r="M13" s="29" cm="1">
        <f t="array" ref="M13">SUM(IF('[4]Raw Imports 2023'!$D$5:$CR$5='Imports 2023'!M$6,IF('[4]Raw Imports 2023'!$A$8:$A$80='Imports 2023'!$A13,'[4]Raw Imports 2023'!$D$8:$CR$80)))</f>
        <v>0</v>
      </c>
      <c r="N13" s="29" cm="1">
        <f t="array" ref="N13">SUM(IF('[4]Raw Imports 2023'!$D$5:$CR$5='Imports 2023'!N$6,IF('[4]Raw Imports 2023'!$A$8:$A$80='Imports 2023'!$A13,'[4]Raw Imports 2023'!$D$8:$CR$80)))</f>
        <v>0</v>
      </c>
      <c r="O13" s="29" cm="1">
        <f t="array" ref="O13">SUM(IF('[4]Raw Imports 2023'!$D$5:$CR$5='Imports 2023'!O$6,IF('[4]Raw Imports 2023'!$A$8:$A$80='Imports 2023'!$A13,'[4]Raw Imports 2023'!$D$8:$CR$80)))</f>
        <v>0</v>
      </c>
      <c r="P13" s="29" cm="1">
        <f t="array" ref="P13">SUM(IF('[4]Raw Imports 2023'!$D$5:$CR$5='Imports 2023'!P$6,IF('[4]Raw Imports 2023'!$A$8:$A$80='Imports 2023'!$A13,'[4]Raw Imports 2023'!$D$8:$CR$80)))</f>
        <v>0</v>
      </c>
      <c r="Q13" s="29" cm="1">
        <f t="array" ref="Q13">SUM(IF('[4]Raw Imports 2023'!$D$5:$CR$5='Imports 2023'!Q$6,IF('[4]Raw Imports 2023'!$A$8:$A$80='Imports 2023'!$A13,'[4]Raw Imports 2023'!$D$8:$CR$80)))</f>
        <v>0</v>
      </c>
      <c r="R13" s="29">
        <f t="shared" si="1"/>
        <v>0</v>
      </c>
      <c r="S13" s="29" cm="1">
        <f t="array" ref="S13">SUM(IF('[4]Raw Imports 2023'!$D$5:$CR$5='Imports 2023'!S$6,IF('[4]Raw Imports 2023'!$A$8:$A$80='Imports 2023'!$A13,'[4]Raw Imports 2023'!$D$8:$CR$80)))</f>
        <v>0</v>
      </c>
      <c r="T13" s="30">
        <v>0</v>
      </c>
      <c r="U13" s="29">
        <v>0</v>
      </c>
      <c r="V13" s="29" cm="1">
        <f t="array" ref="V13">SUM(IF('[4]Raw Imports 2023'!$D$5:$CR$5='Imports 2023'!V$6,IF('[4]Raw Imports 2023'!$A$8:$A$80='Imports 2023'!$A13,'[4]Raw Imports 2023'!$D$8:$CR$80)))</f>
        <v>0</v>
      </c>
      <c r="W13" s="29" cm="1">
        <f t="array" ref="W13">SUM(IF('[4]Raw Imports 2023'!$D$5:$CR$5='Imports 2023'!W$6,IF('[4]Raw Imports 2023'!$A$8:$A$80='Imports 2023'!$A13,'[4]Raw Imports 2023'!$D$8:$CR$80)))</f>
        <v>0</v>
      </c>
      <c r="X13" s="29" cm="1">
        <f t="array" ref="X13">SUM(IF('[4]Raw Imports 2023'!$D$5:$CR$5='Imports 2023'!X$6,IF('[4]Raw Imports 2023'!$A$8:$A$80='Imports 2023'!$A13,'[4]Raw Imports 2023'!$D$8:$CR$80)))</f>
        <v>0</v>
      </c>
      <c r="Y13" s="29" cm="1">
        <f t="array" ref="Y13">SUM(IF('[4]Raw Imports 2023'!$D$5:$CR$5='Imports 2023'!Y$6,IF('[4]Raw Imports 2023'!$A$8:$A$80='Imports 2023'!$A13,'[4]Raw Imports 2023'!$D$8:$CR$80)))</f>
        <v>0</v>
      </c>
      <c r="Z13" s="29" cm="1">
        <f t="array" ref="Z13">SUM(IF('[4]Raw Imports 2023'!$D$5:$CR$5='Imports 2023'!Z$6,IF('[4]Raw Imports 2023'!$A$8:$A$80='Imports 2023'!$A13,'[4]Raw Imports 2023'!$D$8:$CR$80)))</f>
        <v>0</v>
      </c>
      <c r="AA13" s="29" cm="1">
        <f t="array" ref="AA13">SUM(IF('[4]Raw Imports 2023'!$D$5:$CR$5='Imports 2023'!AA$6,IF('[4]Raw Imports 2023'!$A$8:$A$80='Imports 2023'!$A13,'[4]Raw Imports 2023'!$D$8:$CR$80)))</f>
        <v>0</v>
      </c>
      <c r="AB13" s="29">
        <f t="shared" si="3"/>
        <v>0</v>
      </c>
      <c r="AC13" s="29">
        <f t="shared" si="4"/>
        <v>0</v>
      </c>
      <c r="AD13" s="29">
        <f t="shared" si="5"/>
        <v>0</v>
      </c>
      <c r="AF13" s="29">
        <f>'[4]Use 2023'!S13-S13</f>
        <v>0</v>
      </c>
      <c r="AI13" s="31">
        <f t="shared" si="6"/>
        <v>0</v>
      </c>
      <c r="AJ13" s="31">
        <f t="shared" si="6"/>
        <v>0</v>
      </c>
      <c r="AM13" s="32">
        <f>R13/'[4]Use 2023'!R13</f>
        <v>0</v>
      </c>
      <c r="AN13" s="33">
        <f t="shared" si="0"/>
        <v>0</v>
      </c>
      <c r="AO13" s="27">
        <f>R13*AF13/'[4]Use 2023'!R13</f>
        <v>0</v>
      </c>
      <c r="AQ13" s="27">
        <f>'[4]Use 2023'!V13</f>
        <v>3741</v>
      </c>
      <c r="AS13" s="29">
        <f t="shared" si="7"/>
        <v>0</v>
      </c>
      <c r="AW13" s="29">
        <f>'[4]Use 2023'!T13-V13</f>
        <v>0</v>
      </c>
      <c r="AZ13" s="33">
        <f t="shared" si="8"/>
        <v>0</v>
      </c>
      <c r="BA13" s="27">
        <f>AW13*R13/'[4]Use 2023'!R13</f>
        <v>0</v>
      </c>
    </row>
    <row r="14" spans="1:53">
      <c r="A14" s="27" t="s">
        <v>3701</v>
      </c>
      <c r="B14" s="27" t="s">
        <v>3725</v>
      </c>
      <c r="C14" s="29" cm="1">
        <f t="array" ref="C14">SUM(IF('[4]Raw Imports 2023'!$D$5:$CR$5='Imports 2023'!C$6,IF('[4]Raw Imports 2023'!$A$8:$A$80='Imports 2023'!$A14,'[4]Raw Imports 2023'!$D$8:$CR$80)))</f>
        <v>0</v>
      </c>
      <c r="D14" s="29" cm="1">
        <f t="array" ref="D14">SUM(IF('[4]Raw Imports 2023'!$D$5:$CR$5='Imports 2023'!D$6,IF('[4]Raw Imports 2023'!$A$8:$A$80='Imports 2023'!$A14,'[4]Raw Imports 2023'!$D$8:$CR$80)))</f>
        <v>0</v>
      </c>
      <c r="E14" s="29" cm="1">
        <f t="array" ref="E14">SUM(IF('[4]Raw Imports 2023'!$D$5:$CR$5='Imports 2023'!E$6,IF('[4]Raw Imports 2023'!$A$8:$A$80='Imports 2023'!$A14,'[4]Raw Imports 2023'!$D$8:$CR$80)))</f>
        <v>0</v>
      </c>
      <c r="F14" s="29" cm="1">
        <f t="array" ref="F14">SUM(IF('[4]Raw Imports 2023'!$D$5:$CR$5='Imports 2023'!F$6,IF('[4]Raw Imports 2023'!$A$8:$A$80='Imports 2023'!$A14,'[4]Raw Imports 2023'!$D$8:$CR$80)))</f>
        <v>0</v>
      </c>
      <c r="G14" s="29" cm="1">
        <f t="array" ref="G14">SUM(IF('[4]Raw Imports 2023'!$D$5:$CR$5='Imports 2023'!G$6,IF('[4]Raw Imports 2023'!$A$8:$A$80='Imports 2023'!$A14,'[4]Raw Imports 2023'!$D$8:$CR$80)))</f>
        <v>0</v>
      </c>
      <c r="H14" s="29" cm="1">
        <f t="array" ref="H14">SUM(IF('[4]Raw Imports 2023'!$D$5:$CR$5='Imports 2023'!H$6,IF('[4]Raw Imports 2023'!$A$8:$A$80='Imports 2023'!$A14,'[4]Raw Imports 2023'!$D$8:$CR$80)))</f>
        <v>0</v>
      </c>
      <c r="I14" s="29" cm="1">
        <f t="array" ref="I14">SUM(IF('[4]Raw Imports 2023'!$D$5:$CR$5='Imports 2023'!I$6,IF('[4]Raw Imports 2023'!$A$8:$A$80='Imports 2023'!$A14,'[4]Raw Imports 2023'!$D$8:$CR$80)))</f>
        <v>0</v>
      </c>
      <c r="J14" s="29" cm="1">
        <f t="array" ref="J14">SUM(IF('[4]Raw Imports 2023'!$D$5:$CR$5='Imports 2023'!J$6,IF('[4]Raw Imports 2023'!$A$8:$A$80='Imports 2023'!$A14,'[4]Raw Imports 2023'!$D$8:$CR$80)))</f>
        <v>0</v>
      </c>
      <c r="K14" s="29" cm="1">
        <f t="array" ref="K14">SUM(IF('[4]Raw Imports 2023'!$D$5:$CR$5='Imports 2023'!K$6,IF('[4]Raw Imports 2023'!$A$8:$A$80='Imports 2023'!$A14,'[4]Raw Imports 2023'!$D$8:$CR$80)))</f>
        <v>0</v>
      </c>
      <c r="L14" s="29" cm="1">
        <f t="array" ref="L14">SUM(IF('[4]Raw Imports 2023'!$D$5:$CR$5='Imports 2023'!L$6,IF('[4]Raw Imports 2023'!$A$8:$A$80='Imports 2023'!$A14,'[4]Raw Imports 2023'!$D$8:$CR$80)))</f>
        <v>0</v>
      </c>
      <c r="M14" s="29" cm="1">
        <f t="array" ref="M14">SUM(IF('[4]Raw Imports 2023'!$D$5:$CR$5='Imports 2023'!M$6,IF('[4]Raw Imports 2023'!$A$8:$A$80='Imports 2023'!$A14,'[4]Raw Imports 2023'!$D$8:$CR$80)))</f>
        <v>0</v>
      </c>
      <c r="N14" s="29" cm="1">
        <f t="array" ref="N14">SUM(IF('[4]Raw Imports 2023'!$D$5:$CR$5='Imports 2023'!N$6,IF('[4]Raw Imports 2023'!$A$8:$A$80='Imports 2023'!$A14,'[4]Raw Imports 2023'!$D$8:$CR$80)))</f>
        <v>0</v>
      </c>
      <c r="O14" s="29" cm="1">
        <f t="array" ref="O14">SUM(IF('[4]Raw Imports 2023'!$D$5:$CR$5='Imports 2023'!O$6,IF('[4]Raw Imports 2023'!$A$8:$A$80='Imports 2023'!$A14,'[4]Raw Imports 2023'!$D$8:$CR$80)))</f>
        <v>0</v>
      </c>
      <c r="P14" s="29" cm="1">
        <f t="array" ref="P14">SUM(IF('[4]Raw Imports 2023'!$D$5:$CR$5='Imports 2023'!P$6,IF('[4]Raw Imports 2023'!$A$8:$A$80='Imports 2023'!$A14,'[4]Raw Imports 2023'!$D$8:$CR$80)))</f>
        <v>0</v>
      </c>
      <c r="Q14" s="29" cm="1">
        <f t="array" ref="Q14">SUM(IF('[4]Raw Imports 2023'!$D$5:$CR$5='Imports 2023'!Q$6,IF('[4]Raw Imports 2023'!$A$8:$A$80='Imports 2023'!$A14,'[4]Raw Imports 2023'!$D$8:$CR$80)))</f>
        <v>0</v>
      </c>
      <c r="R14" s="29">
        <f t="shared" si="1"/>
        <v>0</v>
      </c>
      <c r="S14" s="29" cm="1">
        <f t="array" ref="S14">SUM(IF('[4]Raw Imports 2023'!$D$5:$CR$5='Imports 2023'!S$6,IF('[4]Raw Imports 2023'!$A$8:$A$80='Imports 2023'!$A14,'[4]Raw Imports 2023'!$D$8:$CR$80)))</f>
        <v>0</v>
      </c>
      <c r="T14" s="30">
        <f t="array" ref="T14">$S14*(1-SUM(IF('[4]BLS 2022'!$A$2:$A$167='Imports 2023'!$A14,'[4]BLS 2022'!$AL$2:$CB$167))/SUM(IF('[4]BLS 2022'!$A$2:$A$167='Imports 2023'!$A14,'[4]BLS 2022'!$E$2:$CB$167)))</f>
        <v>0</v>
      </c>
      <c r="U14" s="29">
        <f t="shared" ref="U14:U24" si="10">S14-T14</f>
        <v>0</v>
      </c>
      <c r="V14" s="29" cm="1">
        <f t="array" ref="V14">SUM(IF('[4]Raw Imports 2023'!$D$5:$CR$5='Imports 2023'!V$6,IF('[4]Raw Imports 2023'!$A$8:$A$80='Imports 2023'!$A14,'[4]Raw Imports 2023'!$D$8:$CR$80)))</f>
        <v>0</v>
      </c>
      <c r="W14" s="29" cm="1">
        <f t="array" ref="W14">SUM(IF('[4]Raw Imports 2023'!$D$5:$CR$5='Imports 2023'!W$6,IF('[4]Raw Imports 2023'!$A$8:$A$80='Imports 2023'!$A14,'[4]Raw Imports 2023'!$D$8:$CR$80)))</f>
        <v>0</v>
      </c>
      <c r="X14" s="29" cm="1">
        <f t="array" ref="X14">SUM(IF('[4]Raw Imports 2023'!$D$5:$CR$5='Imports 2023'!X$6,IF('[4]Raw Imports 2023'!$A$8:$A$80='Imports 2023'!$A14,'[4]Raw Imports 2023'!$D$8:$CR$80)))</f>
        <v>0</v>
      </c>
      <c r="Y14" s="29" cm="1">
        <f t="array" ref="Y14">SUM(IF('[4]Raw Imports 2023'!$D$5:$CR$5='Imports 2023'!Y$6,IF('[4]Raw Imports 2023'!$A$8:$A$80='Imports 2023'!$A14,'[4]Raw Imports 2023'!$D$8:$CR$80)))</f>
        <v>0</v>
      </c>
      <c r="Z14" s="29" cm="1">
        <f t="array" ref="Z14">SUM(IF('[4]Raw Imports 2023'!$D$5:$CR$5='Imports 2023'!Z$6,IF('[4]Raw Imports 2023'!$A$8:$A$80='Imports 2023'!$A14,'[4]Raw Imports 2023'!$D$8:$CR$80)))</f>
        <v>0</v>
      </c>
      <c r="AA14" s="29" cm="1">
        <f t="array" ref="AA14">SUM(IF('[4]Raw Imports 2023'!$D$5:$CR$5='Imports 2023'!AA$6,IF('[4]Raw Imports 2023'!$A$8:$A$80='Imports 2023'!$A14,'[4]Raw Imports 2023'!$D$8:$CR$80)))</f>
        <v>0</v>
      </c>
      <c r="AB14" s="29">
        <f t="shared" si="3"/>
        <v>0</v>
      </c>
      <c r="AC14" s="29">
        <f t="shared" si="4"/>
        <v>0</v>
      </c>
      <c r="AD14" s="29">
        <f t="shared" si="5"/>
        <v>0</v>
      </c>
      <c r="AF14" s="29">
        <f>'[4]Use 2023'!S14-S14</f>
        <v>14437</v>
      </c>
      <c r="AI14" s="31">
        <f t="shared" si="6"/>
        <v>0</v>
      </c>
      <c r="AJ14" s="31">
        <f t="shared" si="6"/>
        <v>0</v>
      </c>
      <c r="AM14" s="32">
        <f>R14/'[4]Use 2023'!R14</f>
        <v>0</v>
      </c>
      <c r="AN14" s="33">
        <f t="shared" si="0"/>
        <v>0</v>
      </c>
      <c r="AO14" s="27">
        <f>R14*AF14/'[4]Use 2023'!R14</f>
        <v>0</v>
      </c>
      <c r="AQ14" s="27">
        <f>'[4]Use 2023'!V14</f>
        <v>0</v>
      </c>
      <c r="AS14" s="29">
        <f t="shared" si="7"/>
        <v>0</v>
      </c>
      <c r="AW14" s="29">
        <f>'[4]Use 2023'!T14-V14</f>
        <v>0</v>
      </c>
      <c r="AZ14" s="33">
        <f t="shared" si="8"/>
        <v>0</v>
      </c>
      <c r="BA14" s="27">
        <f>AW14*R14/'[4]Use 2023'!R14</f>
        <v>0</v>
      </c>
    </row>
    <row r="15" spans="1:53">
      <c r="A15" s="27" t="s">
        <v>3702</v>
      </c>
      <c r="B15" s="27" t="s">
        <v>3726</v>
      </c>
      <c r="C15" s="29" cm="1">
        <f t="array" ref="C15">SUM(IF('[4]Raw Imports 2023'!$D$5:$CR$5='Imports 2023'!C$6,IF('[4]Raw Imports 2023'!$A$8:$A$80='Imports 2023'!$A15,'[4]Raw Imports 2023'!$D$8:$CR$80)))</f>
        <v>0</v>
      </c>
      <c r="D15" s="29" cm="1">
        <f t="array" ref="D15">SUM(IF('[4]Raw Imports 2023'!$D$5:$CR$5='Imports 2023'!D$6,IF('[4]Raw Imports 2023'!$A$8:$A$80='Imports 2023'!$A15,'[4]Raw Imports 2023'!$D$8:$CR$80)))</f>
        <v>30</v>
      </c>
      <c r="E15" s="29" cm="1">
        <f t="array" ref="E15">SUM(IF('[4]Raw Imports 2023'!$D$5:$CR$5='Imports 2023'!E$6,IF('[4]Raw Imports 2023'!$A$8:$A$80='Imports 2023'!$A15,'[4]Raw Imports 2023'!$D$8:$CR$80)))</f>
        <v>142</v>
      </c>
      <c r="F15" s="29" cm="1">
        <f t="array" ref="F15">SUM(IF('[4]Raw Imports 2023'!$D$5:$CR$5='Imports 2023'!F$6,IF('[4]Raw Imports 2023'!$A$8:$A$80='Imports 2023'!$A15,'[4]Raw Imports 2023'!$D$8:$CR$80)))</f>
        <v>85</v>
      </c>
      <c r="G15" s="29" cm="1">
        <f t="array" ref="G15">SUM(IF('[4]Raw Imports 2023'!$D$5:$CR$5='Imports 2023'!G$6,IF('[4]Raw Imports 2023'!$A$8:$A$80='Imports 2023'!$A15,'[4]Raw Imports 2023'!$D$8:$CR$80)))</f>
        <v>728</v>
      </c>
      <c r="H15" s="29" cm="1">
        <f t="array" ref="H15">SUM(IF('[4]Raw Imports 2023'!$D$5:$CR$5='Imports 2023'!H$6,IF('[4]Raw Imports 2023'!$A$8:$A$80='Imports 2023'!$A15,'[4]Raw Imports 2023'!$D$8:$CR$80)))</f>
        <v>1410</v>
      </c>
      <c r="I15" s="29" cm="1">
        <f t="array" ref="I15">SUM(IF('[4]Raw Imports 2023'!$D$5:$CR$5='Imports 2023'!I$6,IF('[4]Raw Imports 2023'!$A$8:$A$80='Imports 2023'!$A15,'[4]Raw Imports 2023'!$D$8:$CR$80)))</f>
        <v>61</v>
      </c>
      <c r="J15" s="29" cm="1">
        <f t="array" ref="J15">SUM(IF('[4]Raw Imports 2023'!$D$5:$CR$5='Imports 2023'!J$6,IF('[4]Raw Imports 2023'!$A$8:$A$80='Imports 2023'!$A15,'[4]Raw Imports 2023'!$D$8:$CR$80)))</f>
        <v>38</v>
      </c>
      <c r="K15" s="29" cm="1">
        <f t="array" ref="K15">SUM(IF('[4]Raw Imports 2023'!$D$5:$CR$5='Imports 2023'!K$6,IF('[4]Raw Imports 2023'!$A$8:$A$80='Imports 2023'!$A15,'[4]Raw Imports 2023'!$D$8:$CR$80)))</f>
        <v>908</v>
      </c>
      <c r="L15" s="29" cm="1">
        <f t="array" ref="L15">SUM(IF('[4]Raw Imports 2023'!$D$5:$CR$5='Imports 2023'!L$6,IF('[4]Raw Imports 2023'!$A$8:$A$80='Imports 2023'!$A15,'[4]Raw Imports 2023'!$D$8:$CR$80)))</f>
        <v>6392</v>
      </c>
      <c r="M15" s="29" cm="1">
        <f t="array" ref="M15">SUM(IF('[4]Raw Imports 2023'!$D$5:$CR$5='Imports 2023'!M$6,IF('[4]Raw Imports 2023'!$A$8:$A$80='Imports 2023'!$A15,'[4]Raw Imports 2023'!$D$8:$CR$80)))</f>
        <v>3688</v>
      </c>
      <c r="N15" s="29" cm="1">
        <f t="array" ref="N15">SUM(IF('[4]Raw Imports 2023'!$D$5:$CR$5='Imports 2023'!N$6,IF('[4]Raw Imports 2023'!$A$8:$A$80='Imports 2023'!$A15,'[4]Raw Imports 2023'!$D$8:$CR$80)))</f>
        <v>1420</v>
      </c>
      <c r="O15" s="29" cm="1">
        <f t="array" ref="O15">SUM(IF('[4]Raw Imports 2023'!$D$5:$CR$5='Imports 2023'!O$6,IF('[4]Raw Imports 2023'!$A$8:$A$80='Imports 2023'!$A15,'[4]Raw Imports 2023'!$D$8:$CR$80)))</f>
        <v>913</v>
      </c>
      <c r="P15" s="29" cm="1">
        <f t="array" ref="P15">SUM(IF('[4]Raw Imports 2023'!$D$5:$CR$5='Imports 2023'!P$6,IF('[4]Raw Imports 2023'!$A$8:$A$80='Imports 2023'!$A15,'[4]Raw Imports 2023'!$D$8:$CR$80)))</f>
        <v>166</v>
      </c>
      <c r="Q15" s="29" cm="1">
        <f t="array" ref="Q15">SUM(IF('[4]Raw Imports 2023'!$D$5:$CR$5='Imports 2023'!Q$6,IF('[4]Raw Imports 2023'!$A$8:$A$80='Imports 2023'!$A15,'[4]Raw Imports 2023'!$D$8:$CR$80)))</f>
        <v>1787</v>
      </c>
      <c r="R15" s="29">
        <f t="shared" si="1"/>
        <v>17768</v>
      </c>
      <c r="S15" s="29" cm="1">
        <f t="array" ref="S15">SUM(IF('[4]Raw Imports 2023'!$D$5:$CR$5='Imports 2023'!S$6,IF('[4]Raw Imports 2023'!$A$8:$A$80='Imports 2023'!$A15,'[4]Raw Imports 2023'!$D$8:$CR$80)))</f>
        <v>47060</v>
      </c>
      <c r="T15" s="30">
        <f t="array" ref="T15">$S15*(1-SUM(IF('[4]BLS 2022'!$A$2:$A$167='Imports 2023'!$A15,'[4]BLS 2022'!$AL$2:$CB$167))/SUM(IF('[4]BLS 2022'!$A$2:$A$167='Imports 2023'!$A15,'[4]BLS 2022'!$E$2:$CB$167)))</f>
        <v>0</v>
      </c>
      <c r="U15" s="29">
        <f t="shared" si="10"/>
        <v>47060</v>
      </c>
      <c r="V15" s="29" cm="1">
        <f t="array" ref="V15">SUM(IF('[4]Raw Imports 2023'!$D$5:$CR$5='Imports 2023'!V$6,IF('[4]Raw Imports 2023'!$A$8:$A$80='Imports 2023'!$A15,'[4]Raw Imports 2023'!$D$8:$CR$80)))</f>
        <v>0</v>
      </c>
      <c r="W15" s="29" cm="1">
        <f t="array" ref="W15">SUM(IF('[4]Raw Imports 2023'!$D$5:$CR$5='Imports 2023'!W$6,IF('[4]Raw Imports 2023'!$A$8:$A$80='Imports 2023'!$A15,'[4]Raw Imports 2023'!$D$8:$CR$80)))</f>
        <v>0</v>
      </c>
      <c r="X15" s="29" cm="1">
        <f t="array" ref="X15">SUM(IF('[4]Raw Imports 2023'!$D$5:$CR$5='Imports 2023'!X$6,IF('[4]Raw Imports 2023'!$A$8:$A$80='Imports 2023'!$A15,'[4]Raw Imports 2023'!$D$8:$CR$80)))</f>
        <v>0</v>
      </c>
      <c r="Y15" s="29" cm="1">
        <f t="array" ref="Y15">SUM(IF('[4]Raw Imports 2023'!$D$5:$CR$5='Imports 2023'!Y$6,IF('[4]Raw Imports 2023'!$A$8:$A$80='Imports 2023'!$A15,'[4]Raw Imports 2023'!$D$8:$CR$80)))</f>
        <v>0</v>
      </c>
      <c r="Z15" s="29" cm="1">
        <f t="array" ref="Z15">SUM(IF('[4]Raw Imports 2023'!$D$5:$CR$5='Imports 2023'!Z$6,IF('[4]Raw Imports 2023'!$A$8:$A$80='Imports 2023'!$A15,'[4]Raw Imports 2023'!$D$8:$CR$80)))</f>
        <v>-17774</v>
      </c>
      <c r="AA15" s="29" cm="1">
        <f t="array" ref="AA15">SUM(IF('[4]Raw Imports 2023'!$D$5:$CR$5='Imports 2023'!AA$6,IF('[4]Raw Imports 2023'!$A$8:$A$80='Imports 2023'!$A15,'[4]Raw Imports 2023'!$D$8:$CR$80)))</f>
        <v>-64835</v>
      </c>
      <c r="AB15" s="29">
        <f t="shared" si="3"/>
        <v>17768</v>
      </c>
      <c r="AC15" s="29">
        <f t="shared" si="4"/>
        <v>94120</v>
      </c>
      <c r="AD15" s="29">
        <f t="shared" si="5"/>
        <v>111888</v>
      </c>
      <c r="AF15" s="29">
        <f>'[4]Use 2023'!S15-S15</f>
        <v>327475</v>
      </c>
      <c r="AI15" s="31">
        <f t="shared" si="6"/>
        <v>0</v>
      </c>
      <c r="AJ15" s="31">
        <f t="shared" si="6"/>
        <v>7556.4741848178992</v>
      </c>
      <c r="AM15" s="32">
        <f>R15/'[4]Use 2023'!R15</f>
        <v>2.30749650654795E-2</v>
      </c>
      <c r="AN15" s="33">
        <f t="shared" si="0"/>
        <v>6128.2905887947554</v>
      </c>
      <c r="AO15" s="27">
        <f>R15*AF15/'[4]Use 2023'!R15</f>
        <v>7556.4741848178992</v>
      </c>
      <c r="AQ15" s="27">
        <f>'[4]Use 2023'!V15</f>
        <v>71502</v>
      </c>
      <c r="AS15" s="29">
        <f t="shared" si="7"/>
        <v>111888</v>
      </c>
      <c r="AW15" s="29">
        <f>'[4]Use 2023'!T15-V15</f>
        <v>0</v>
      </c>
      <c r="AZ15" s="33">
        <f t="shared" si="8"/>
        <v>0</v>
      </c>
      <c r="BA15" s="27">
        <f>AW15*R15/'[4]Use 2023'!R15</f>
        <v>0</v>
      </c>
    </row>
    <row r="16" spans="1:53">
      <c r="A16" s="27" t="s">
        <v>3703</v>
      </c>
      <c r="B16" s="27" t="s">
        <v>3727</v>
      </c>
      <c r="C16" s="29" cm="1">
        <f t="array" ref="C16">SUM(IF('[4]Raw Imports 2023'!$D$5:$CR$5='Imports 2023'!C$6,IF('[4]Raw Imports 2023'!$A$8:$A$80='Imports 2023'!$A16,'[4]Raw Imports 2023'!$D$8:$CR$80)))</f>
        <v>4</v>
      </c>
      <c r="D16" s="29" cm="1">
        <f t="array" ref="D16">SUM(IF('[4]Raw Imports 2023'!$D$5:$CR$5='Imports 2023'!D$6,IF('[4]Raw Imports 2023'!$A$8:$A$80='Imports 2023'!$A16,'[4]Raw Imports 2023'!$D$8:$CR$80)))</f>
        <v>2</v>
      </c>
      <c r="E16" s="29" cm="1">
        <f t="array" ref="E16">SUM(IF('[4]Raw Imports 2023'!$D$5:$CR$5='Imports 2023'!E$6,IF('[4]Raw Imports 2023'!$A$8:$A$80='Imports 2023'!$A16,'[4]Raw Imports 2023'!$D$8:$CR$80)))</f>
        <v>33</v>
      </c>
      <c r="F16" s="29" cm="1">
        <f t="array" ref="F16">SUM(IF('[4]Raw Imports 2023'!$D$5:$CR$5='Imports 2023'!F$6,IF('[4]Raw Imports 2023'!$A$8:$A$80='Imports 2023'!$A16,'[4]Raw Imports 2023'!$D$8:$CR$80)))</f>
        <v>100</v>
      </c>
      <c r="G16" s="29" cm="1">
        <f t="array" ref="G16">SUM(IF('[4]Raw Imports 2023'!$D$5:$CR$5='Imports 2023'!G$6,IF('[4]Raw Imports 2023'!$A$8:$A$80='Imports 2023'!$A16,'[4]Raw Imports 2023'!$D$8:$CR$80)))</f>
        <v>76</v>
      </c>
      <c r="H16" s="29" cm="1">
        <f t="array" ref="H16">SUM(IF('[4]Raw Imports 2023'!$D$5:$CR$5='Imports 2023'!H$6,IF('[4]Raw Imports 2023'!$A$8:$A$80='Imports 2023'!$A16,'[4]Raw Imports 2023'!$D$8:$CR$80)))</f>
        <v>298</v>
      </c>
      <c r="I16" s="29" cm="1">
        <f t="array" ref="I16">SUM(IF('[4]Raw Imports 2023'!$D$5:$CR$5='Imports 2023'!I$6,IF('[4]Raw Imports 2023'!$A$8:$A$80='Imports 2023'!$A16,'[4]Raw Imports 2023'!$D$8:$CR$80)))</f>
        <v>361</v>
      </c>
      <c r="J16" s="29" cm="1">
        <f t="array" ref="J16">SUM(IF('[4]Raw Imports 2023'!$D$5:$CR$5='Imports 2023'!J$6,IF('[4]Raw Imports 2023'!$A$8:$A$80='Imports 2023'!$A16,'[4]Raw Imports 2023'!$D$8:$CR$80)))</f>
        <v>79</v>
      </c>
      <c r="K16" s="29" cm="1">
        <f t="array" ref="K16">SUM(IF('[4]Raw Imports 2023'!$D$5:$CR$5='Imports 2023'!K$6,IF('[4]Raw Imports 2023'!$A$8:$A$80='Imports 2023'!$A16,'[4]Raw Imports 2023'!$D$8:$CR$80)))</f>
        <v>12120</v>
      </c>
      <c r="L16" s="29" cm="1">
        <f t="array" ref="L16">SUM(IF('[4]Raw Imports 2023'!$D$5:$CR$5='Imports 2023'!L$6,IF('[4]Raw Imports 2023'!$A$8:$A$80='Imports 2023'!$A16,'[4]Raw Imports 2023'!$D$8:$CR$80)))</f>
        <v>544</v>
      </c>
      <c r="M16" s="29" cm="1">
        <f t="array" ref="M16">SUM(IF('[4]Raw Imports 2023'!$D$5:$CR$5='Imports 2023'!M$6,IF('[4]Raw Imports 2023'!$A$8:$A$80='Imports 2023'!$A16,'[4]Raw Imports 2023'!$D$8:$CR$80)))</f>
        <v>1362</v>
      </c>
      <c r="N16" s="29" cm="1">
        <f t="array" ref="N16">SUM(IF('[4]Raw Imports 2023'!$D$5:$CR$5='Imports 2023'!N$6,IF('[4]Raw Imports 2023'!$A$8:$A$80='Imports 2023'!$A16,'[4]Raw Imports 2023'!$D$8:$CR$80)))</f>
        <v>1252</v>
      </c>
      <c r="O16" s="29" cm="1">
        <f t="array" ref="O16">SUM(IF('[4]Raw Imports 2023'!$D$5:$CR$5='Imports 2023'!O$6,IF('[4]Raw Imports 2023'!$A$8:$A$80='Imports 2023'!$A16,'[4]Raw Imports 2023'!$D$8:$CR$80)))</f>
        <v>959</v>
      </c>
      <c r="P16" s="29" cm="1">
        <f t="array" ref="P16">SUM(IF('[4]Raw Imports 2023'!$D$5:$CR$5='Imports 2023'!P$6,IF('[4]Raw Imports 2023'!$A$8:$A$80='Imports 2023'!$A16,'[4]Raw Imports 2023'!$D$8:$CR$80)))</f>
        <v>184</v>
      </c>
      <c r="Q16" s="29" cm="1">
        <f t="array" ref="Q16">SUM(IF('[4]Raw Imports 2023'!$D$5:$CR$5='Imports 2023'!Q$6,IF('[4]Raw Imports 2023'!$A$8:$A$80='Imports 2023'!$A16,'[4]Raw Imports 2023'!$D$8:$CR$80)))</f>
        <v>1254</v>
      </c>
      <c r="R16" s="29">
        <f t="shared" si="1"/>
        <v>18628</v>
      </c>
      <c r="S16" s="29" cm="1">
        <f t="array" ref="S16">SUM(IF('[4]Raw Imports 2023'!$D$5:$CR$5='Imports 2023'!S$6,IF('[4]Raw Imports 2023'!$A$8:$A$80='Imports 2023'!$A16,'[4]Raw Imports 2023'!$D$8:$CR$80)))</f>
        <v>4697</v>
      </c>
      <c r="T16" s="30">
        <f t="array" ref="T16">$S16*(1-SUM(IF('[4]BLS 2022'!$A$2:$A$167='Imports 2023'!$A16,'[4]BLS 2022'!$AL$2:$CB$167))/SUM(IF('[4]BLS 2022'!$A$2:$A$167='Imports 2023'!$A16,'[4]BLS 2022'!$E$2:$CB$167)))</f>
        <v>2051.326248577031</v>
      </c>
      <c r="U16" s="29">
        <f t="shared" si="10"/>
        <v>2645.673751422969</v>
      </c>
      <c r="V16" s="29" cm="1">
        <f t="array" ref="V16">SUM(IF('[4]Raw Imports 2023'!$D$5:$CR$5='Imports 2023'!V$6,IF('[4]Raw Imports 2023'!$A$8:$A$80='Imports 2023'!$A16,'[4]Raw Imports 2023'!$D$8:$CR$80)))</f>
        <v>-24</v>
      </c>
      <c r="W16" s="29" cm="1">
        <f t="array" ref="W16">SUM(IF('[4]Raw Imports 2023'!$D$5:$CR$5='Imports 2023'!W$6,IF('[4]Raw Imports 2023'!$A$8:$A$80='Imports 2023'!$A16,'[4]Raw Imports 2023'!$D$8:$CR$80)))</f>
        <v>-98</v>
      </c>
      <c r="X16" s="29" cm="1">
        <f t="array" ref="X16">SUM(IF('[4]Raw Imports 2023'!$D$5:$CR$5='Imports 2023'!X$6,IF('[4]Raw Imports 2023'!$A$8:$A$80='Imports 2023'!$A16,'[4]Raw Imports 2023'!$D$8:$CR$80)))</f>
        <v>0</v>
      </c>
      <c r="Y16" s="29" cm="1">
        <f t="array" ref="Y16">SUM(IF('[4]Raw Imports 2023'!$D$5:$CR$5='Imports 2023'!Y$6,IF('[4]Raw Imports 2023'!$A$8:$A$80='Imports 2023'!$A16,'[4]Raw Imports 2023'!$D$8:$CR$80)))</f>
        <v>-4</v>
      </c>
      <c r="Z16" s="29" cm="1">
        <f t="array" ref="Z16">SUM(IF('[4]Raw Imports 2023'!$D$5:$CR$5='Imports 2023'!Z$6,IF('[4]Raw Imports 2023'!$A$8:$A$80='Imports 2023'!$A16,'[4]Raw Imports 2023'!$D$8:$CR$80)))</f>
        <v>-18641</v>
      </c>
      <c r="AA16" s="29" cm="1">
        <f t="array" ref="AA16">SUM(IF('[4]Raw Imports 2023'!$D$5:$CR$5='Imports 2023'!AA$6,IF('[4]Raw Imports 2023'!$A$8:$A$80='Imports 2023'!$A16,'[4]Raw Imports 2023'!$D$8:$CR$80)))</f>
        <v>-23211</v>
      </c>
      <c r="AB16" s="29">
        <f t="shared" si="3"/>
        <v>18628</v>
      </c>
      <c r="AC16" s="29">
        <f t="shared" si="4"/>
        <v>9268</v>
      </c>
      <c r="AD16" s="29">
        <f t="shared" si="5"/>
        <v>27896</v>
      </c>
      <c r="AF16" s="29">
        <f>'[4]Use 2023'!S16-S16</f>
        <v>799497</v>
      </c>
      <c r="AI16" s="31">
        <f t="shared" si="6"/>
        <v>6758.7440348366472</v>
      </c>
      <c r="AJ16" s="31">
        <f t="shared" si="6"/>
        <v>8717.0101284268767</v>
      </c>
      <c r="AM16" s="32">
        <f>R16/'[4]Use 2023'!R16</f>
        <v>1.9356863331899336E-2</v>
      </c>
      <c r="AN16" s="33">
        <f t="shared" si="0"/>
        <v>12550.816197291704</v>
      </c>
      <c r="AO16" s="27">
        <f>R16*AF16/'[4]Use 2023'!R16</f>
        <v>15475.754163263524</v>
      </c>
      <c r="AQ16" s="27">
        <f>'[4]Use 2023'!V16</f>
        <v>91740</v>
      </c>
      <c r="AS16" s="29">
        <f t="shared" si="7"/>
        <v>27896</v>
      </c>
      <c r="AW16" s="29">
        <f>'[4]Use 2023'!T16-V16</f>
        <v>396485</v>
      </c>
      <c r="AZ16" s="33">
        <f t="shared" si="8"/>
        <v>7674.7059581481089</v>
      </c>
      <c r="BA16" s="27">
        <f>AW16*R16/'[4]Use 2023'!R16</f>
        <v>7674.7059581481089</v>
      </c>
    </row>
    <row r="17" spans="1:53">
      <c r="A17" s="27" t="s">
        <v>3704</v>
      </c>
      <c r="B17" s="27" t="s">
        <v>3728</v>
      </c>
      <c r="C17" s="29" cm="1">
        <f t="array" ref="C17">SUM(IF('[4]Raw Imports 2023'!$D$5:$CR$5='Imports 2023'!C$6,IF('[4]Raw Imports 2023'!$A$8:$A$80='Imports 2023'!$A17,'[4]Raw Imports 2023'!$D$8:$CR$80)))</f>
        <v>110</v>
      </c>
      <c r="D17" s="29" cm="1">
        <f t="array" ref="D17">SUM(IF('[4]Raw Imports 2023'!$D$5:$CR$5='Imports 2023'!D$6,IF('[4]Raw Imports 2023'!$A$8:$A$80='Imports 2023'!$A17,'[4]Raw Imports 2023'!$D$8:$CR$80)))</f>
        <v>224</v>
      </c>
      <c r="E17" s="29" cm="1">
        <f t="array" ref="E17">SUM(IF('[4]Raw Imports 2023'!$D$5:$CR$5='Imports 2023'!E$6,IF('[4]Raw Imports 2023'!$A$8:$A$80='Imports 2023'!$A17,'[4]Raw Imports 2023'!$D$8:$CR$80)))</f>
        <v>142</v>
      </c>
      <c r="F17" s="29" cm="1">
        <f t="array" ref="F17">SUM(IF('[4]Raw Imports 2023'!$D$5:$CR$5='Imports 2023'!F$6,IF('[4]Raw Imports 2023'!$A$8:$A$80='Imports 2023'!$A17,'[4]Raw Imports 2023'!$D$8:$CR$80)))</f>
        <v>223</v>
      </c>
      <c r="G17" s="29" cm="1">
        <f t="array" ref="G17">SUM(IF('[4]Raw Imports 2023'!$D$5:$CR$5='Imports 2023'!G$6,IF('[4]Raw Imports 2023'!$A$8:$A$80='Imports 2023'!$A17,'[4]Raw Imports 2023'!$D$8:$CR$80)))</f>
        <v>773</v>
      </c>
      <c r="H17" s="29" cm="1">
        <f t="array" ref="H17">SUM(IF('[4]Raw Imports 2023'!$D$5:$CR$5='Imports 2023'!H$6,IF('[4]Raw Imports 2023'!$A$8:$A$80='Imports 2023'!$A17,'[4]Raw Imports 2023'!$D$8:$CR$80)))</f>
        <v>1189</v>
      </c>
      <c r="I17" s="29" cm="1">
        <f t="array" ref="I17">SUM(IF('[4]Raw Imports 2023'!$D$5:$CR$5='Imports 2023'!I$6,IF('[4]Raw Imports 2023'!$A$8:$A$80='Imports 2023'!$A17,'[4]Raw Imports 2023'!$D$8:$CR$80)))</f>
        <v>436</v>
      </c>
      <c r="J17" s="29" cm="1">
        <f t="array" ref="J17">SUM(IF('[4]Raw Imports 2023'!$D$5:$CR$5='Imports 2023'!J$6,IF('[4]Raw Imports 2023'!$A$8:$A$80='Imports 2023'!$A17,'[4]Raw Imports 2023'!$D$8:$CR$80)))</f>
        <v>1068</v>
      </c>
      <c r="K17" s="29" cm="1">
        <f t="array" ref="K17">SUM(IF('[4]Raw Imports 2023'!$D$5:$CR$5='Imports 2023'!K$6,IF('[4]Raw Imports 2023'!$A$8:$A$80='Imports 2023'!$A17,'[4]Raw Imports 2023'!$D$8:$CR$80)))</f>
        <v>678</v>
      </c>
      <c r="L17" s="29" cm="1">
        <f t="array" ref="L17">SUM(IF('[4]Raw Imports 2023'!$D$5:$CR$5='Imports 2023'!L$6,IF('[4]Raw Imports 2023'!$A$8:$A$80='Imports 2023'!$A17,'[4]Raw Imports 2023'!$D$8:$CR$80)))</f>
        <v>61317</v>
      </c>
      <c r="M17" s="29" cm="1">
        <f t="array" ref="M17">SUM(IF('[4]Raw Imports 2023'!$D$5:$CR$5='Imports 2023'!M$6,IF('[4]Raw Imports 2023'!$A$8:$A$80='Imports 2023'!$A17,'[4]Raw Imports 2023'!$D$8:$CR$80)))</f>
        <v>1133</v>
      </c>
      <c r="N17" s="29" cm="1">
        <f t="array" ref="N17">SUM(IF('[4]Raw Imports 2023'!$D$5:$CR$5='Imports 2023'!N$6,IF('[4]Raw Imports 2023'!$A$8:$A$80='Imports 2023'!$A17,'[4]Raw Imports 2023'!$D$8:$CR$80)))</f>
        <v>1530</v>
      </c>
      <c r="O17" s="29" cm="1">
        <f t="array" ref="O17">SUM(IF('[4]Raw Imports 2023'!$D$5:$CR$5='Imports 2023'!O$6,IF('[4]Raw Imports 2023'!$A$8:$A$80='Imports 2023'!$A17,'[4]Raw Imports 2023'!$D$8:$CR$80)))</f>
        <v>611</v>
      </c>
      <c r="P17" s="29" cm="1">
        <f t="array" ref="P17">SUM(IF('[4]Raw Imports 2023'!$D$5:$CR$5='Imports 2023'!P$6,IF('[4]Raw Imports 2023'!$A$8:$A$80='Imports 2023'!$A17,'[4]Raw Imports 2023'!$D$8:$CR$80)))</f>
        <v>137</v>
      </c>
      <c r="Q17" s="29" cm="1">
        <f t="array" ref="Q17">SUM(IF('[4]Raw Imports 2023'!$D$5:$CR$5='Imports 2023'!Q$6,IF('[4]Raw Imports 2023'!$A$8:$A$80='Imports 2023'!$A17,'[4]Raw Imports 2023'!$D$8:$CR$80)))</f>
        <v>615</v>
      </c>
      <c r="R17" s="29">
        <f t="shared" si="1"/>
        <v>70186</v>
      </c>
      <c r="S17" s="29" cm="1">
        <f t="array" ref="S17">SUM(IF('[4]Raw Imports 2023'!$D$5:$CR$5='Imports 2023'!S$6,IF('[4]Raw Imports 2023'!$A$8:$A$80='Imports 2023'!$A17,'[4]Raw Imports 2023'!$D$8:$CR$80)))</f>
        <v>6154</v>
      </c>
      <c r="T17" s="30">
        <f t="array" ref="T17">$S17*(1-SUM(IF('[4]BLS 2022'!$A$2:$A$167='Imports 2023'!$A17,'[4]BLS 2022'!$AL$2:$CB$167))/SUM(IF('[4]BLS 2022'!$A$2:$A$167='Imports 2023'!$A17,'[4]BLS 2022'!$E$2:$CB$167)))</f>
        <v>25.123237346982211</v>
      </c>
      <c r="U17" s="29">
        <f t="shared" si="10"/>
        <v>6128.876762653018</v>
      </c>
      <c r="V17" s="29" cm="1">
        <f t="array" ref="V17">SUM(IF('[4]Raw Imports 2023'!$D$5:$CR$5='Imports 2023'!V$6,IF('[4]Raw Imports 2023'!$A$8:$A$80='Imports 2023'!$A17,'[4]Raw Imports 2023'!$D$8:$CR$80)))</f>
        <v>0</v>
      </c>
      <c r="W17" s="29" cm="1">
        <f t="array" ref="W17">SUM(IF('[4]Raw Imports 2023'!$D$5:$CR$5='Imports 2023'!W$6,IF('[4]Raw Imports 2023'!$A$8:$A$80='Imports 2023'!$A17,'[4]Raw Imports 2023'!$D$8:$CR$80)))</f>
        <v>0</v>
      </c>
      <c r="X17" s="29" cm="1">
        <f t="array" ref="X17">SUM(IF('[4]Raw Imports 2023'!$D$5:$CR$5='Imports 2023'!X$6,IF('[4]Raw Imports 2023'!$A$8:$A$80='Imports 2023'!$A17,'[4]Raw Imports 2023'!$D$8:$CR$80)))</f>
        <v>0</v>
      </c>
      <c r="Y17" s="29" cm="1">
        <f t="array" ref="Y17">SUM(IF('[4]Raw Imports 2023'!$D$5:$CR$5='Imports 2023'!Y$6,IF('[4]Raw Imports 2023'!$A$8:$A$80='Imports 2023'!$A17,'[4]Raw Imports 2023'!$D$8:$CR$80)))</f>
        <v>0</v>
      </c>
      <c r="Z17" s="29" cm="1">
        <f t="array" ref="Z17">SUM(IF('[4]Raw Imports 2023'!$D$5:$CR$5='Imports 2023'!Z$6,IF('[4]Raw Imports 2023'!$A$8:$A$80='Imports 2023'!$A17,'[4]Raw Imports 2023'!$D$8:$CR$80)))</f>
        <v>-70195</v>
      </c>
      <c r="AA17" s="29" cm="1">
        <f t="array" ref="AA17">SUM(IF('[4]Raw Imports 2023'!$D$5:$CR$5='Imports 2023'!AA$6,IF('[4]Raw Imports 2023'!$A$8:$A$80='Imports 2023'!$A17,'[4]Raw Imports 2023'!$D$8:$CR$80)))</f>
        <v>-76350</v>
      </c>
      <c r="AB17" s="29">
        <f t="shared" si="3"/>
        <v>70186</v>
      </c>
      <c r="AC17" s="29">
        <f t="shared" si="4"/>
        <v>12308</v>
      </c>
      <c r="AD17" s="29">
        <f t="shared" si="5"/>
        <v>82494</v>
      </c>
      <c r="AF17" s="29">
        <f>'[4]Use 2023'!S17-S17</f>
        <v>4450794</v>
      </c>
      <c r="AI17" s="31">
        <f t="shared" si="6"/>
        <v>281.08799240532096</v>
      </c>
      <c r="AJ17" s="31">
        <f t="shared" si="6"/>
        <v>68572.120747038018</v>
      </c>
      <c r="AM17" s="32">
        <f>R17/'[4]Use 2023'!R17</f>
        <v>1.5469870935263089E-2</v>
      </c>
      <c r="AN17" s="33">
        <f t="shared" si="0"/>
        <v>55839.861396472166</v>
      </c>
      <c r="AO17" s="27">
        <f>R17*AF17/'[4]Use 2023'!R17</f>
        <v>68853.208739443347</v>
      </c>
      <c r="AQ17" s="27">
        <f>'[4]Use 2023'!V17</f>
        <v>301476</v>
      </c>
      <c r="AS17" s="29">
        <f t="shared" si="7"/>
        <v>82494</v>
      </c>
      <c r="AW17" s="29">
        <f>'[4]Use 2023'!T17-V17</f>
        <v>203981</v>
      </c>
      <c r="AZ17" s="33">
        <f t="shared" si="8"/>
        <v>3155.5597432458999</v>
      </c>
      <c r="BA17" s="27">
        <f>AW17*R17/'[4]Use 2023'!R17</f>
        <v>3155.5597432458999</v>
      </c>
    </row>
    <row r="18" spans="1:53">
      <c r="A18" s="27" t="s">
        <v>3705</v>
      </c>
      <c r="B18" s="27" t="s">
        <v>3729</v>
      </c>
      <c r="C18" s="29" cm="1">
        <f t="array" ref="C18">SUM(IF('[4]Raw Imports 2023'!$D$5:$CR$5='Imports 2023'!C$6,IF('[4]Raw Imports 2023'!$A$8:$A$80='Imports 2023'!$A18,'[4]Raw Imports 2023'!$D$8:$CR$80)))</f>
        <v>83</v>
      </c>
      <c r="D18" s="29" cm="1">
        <f t="array" ref="D18">SUM(IF('[4]Raw Imports 2023'!$D$5:$CR$5='Imports 2023'!D$6,IF('[4]Raw Imports 2023'!$A$8:$A$80='Imports 2023'!$A18,'[4]Raw Imports 2023'!$D$8:$CR$80)))</f>
        <v>769</v>
      </c>
      <c r="E18" s="29" cm="1">
        <f t="array" ref="E18">SUM(IF('[4]Raw Imports 2023'!$D$5:$CR$5='Imports 2023'!E$6,IF('[4]Raw Imports 2023'!$A$8:$A$80='Imports 2023'!$A18,'[4]Raw Imports 2023'!$D$8:$CR$80)))</f>
        <v>651</v>
      </c>
      <c r="F18" s="29" cm="1">
        <f t="array" ref="F18">SUM(IF('[4]Raw Imports 2023'!$D$5:$CR$5='Imports 2023'!F$6,IF('[4]Raw Imports 2023'!$A$8:$A$80='Imports 2023'!$A18,'[4]Raw Imports 2023'!$D$8:$CR$80)))</f>
        <v>3673</v>
      </c>
      <c r="G18" s="29" cm="1">
        <f t="array" ref="G18">SUM(IF('[4]Raw Imports 2023'!$D$5:$CR$5='Imports 2023'!G$6,IF('[4]Raw Imports 2023'!$A$8:$A$80='Imports 2023'!$A18,'[4]Raw Imports 2023'!$D$8:$CR$80)))</f>
        <v>5941</v>
      </c>
      <c r="H18" s="29" cm="1">
        <f t="array" ref="H18">SUM(IF('[4]Raw Imports 2023'!$D$5:$CR$5='Imports 2023'!H$6,IF('[4]Raw Imports 2023'!$A$8:$A$80='Imports 2023'!$A18,'[4]Raw Imports 2023'!$D$8:$CR$80)))</f>
        <v>10414</v>
      </c>
      <c r="I18" s="29" cm="1">
        <f t="array" ref="I18">SUM(IF('[4]Raw Imports 2023'!$D$5:$CR$5='Imports 2023'!I$6,IF('[4]Raw Imports 2023'!$A$8:$A$80='Imports 2023'!$A18,'[4]Raw Imports 2023'!$D$8:$CR$80)))</f>
        <v>6885</v>
      </c>
      <c r="J18" s="29" cm="1">
        <f t="array" ref="J18">SUM(IF('[4]Raw Imports 2023'!$D$5:$CR$5='Imports 2023'!J$6,IF('[4]Raw Imports 2023'!$A$8:$A$80='Imports 2023'!$A18,'[4]Raw Imports 2023'!$D$8:$CR$80)))</f>
        <v>1400</v>
      </c>
      <c r="K18" s="29" cm="1">
        <f t="array" ref="K18">SUM(IF('[4]Raw Imports 2023'!$D$5:$CR$5='Imports 2023'!K$6,IF('[4]Raw Imports 2023'!$A$8:$A$80='Imports 2023'!$A18,'[4]Raw Imports 2023'!$D$8:$CR$80)))</f>
        <v>9971</v>
      </c>
      <c r="L18" s="29" cm="1">
        <f t="array" ref="L18">SUM(IF('[4]Raw Imports 2023'!$D$5:$CR$5='Imports 2023'!L$6,IF('[4]Raw Imports 2023'!$A$8:$A$80='Imports 2023'!$A18,'[4]Raw Imports 2023'!$D$8:$CR$80)))</f>
        <v>18051</v>
      </c>
      <c r="M18" s="29" cm="1">
        <f t="array" ref="M18">SUM(IF('[4]Raw Imports 2023'!$D$5:$CR$5='Imports 2023'!M$6,IF('[4]Raw Imports 2023'!$A$8:$A$80='Imports 2023'!$A18,'[4]Raw Imports 2023'!$D$8:$CR$80)))</f>
        <v>24138</v>
      </c>
      <c r="N18" s="29" cm="1">
        <f t="array" ref="N18">SUM(IF('[4]Raw Imports 2023'!$D$5:$CR$5='Imports 2023'!N$6,IF('[4]Raw Imports 2023'!$A$8:$A$80='Imports 2023'!$A18,'[4]Raw Imports 2023'!$D$8:$CR$80)))</f>
        <v>9920</v>
      </c>
      <c r="O18" s="29" cm="1">
        <f t="array" ref="O18">SUM(IF('[4]Raw Imports 2023'!$D$5:$CR$5='Imports 2023'!O$6,IF('[4]Raw Imports 2023'!$A$8:$A$80='Imports 2023'!$A18,'[4]Raw Imports 2023'!$D$8:$CR$80)))</f>
        <v>4176</v>
      </c>
      <c r="P18" s="29" cm="1">
        <f t="array" ref="P18">SUM(IF('[4]Raw Imports 2023'!$D$5:$CR$5='Imports 2023'!P$6,IF('[4]Raw Imports 2023'!$A$8:$A$80='Imports 2023'!$A18,'[4]Raw Imports 2023'!$D$8:$CR$80)))</f>
        <v>3342</v>
      </c>
      <c r="Q18" s="29" cm="1">
        <f t="array" ref="Q18">SUM(IF('[4]Raw Imports 2023'!$D$5:$CR$5='Imports 2023'!Q$6,IF('[4]Raw Imports 2023'!$A$8:$A$80='Imports 2023'!$A18,'[4]Raw Imports 2023'!$D$8:$CR$80)))</f>
        <v>16572</v>
      </c>
      <c r="R18" s="29">
        <f t="shared" si="1"/>
        <v>115986</v>
      </c>
      <c r="S18" s="29" cm="1">
        <f t="array" ref="S18">SUM(IF('[4]Raw Imports 2023'!$D$5:$CR$5='Imports 2023'!S$6,IF('[4]Raw Imports 2023'!$A$8:$A$80='Imports 2023'!$A18,'[4]Raw Imports 2023'!$D$8:$CR$80)))</f>
        <v>2853</v>
      </c>
      <c r="T18" s="30">
        <f t="array" ref="T18">$S18*(1-SUM(IF('[4]BLS 2022'!$A$2:$A$167='Imports 2023'!$A18,'[4]BLS 2022'!$AL$2:$CB$167))/SUM(IF('[4]BLS 2022'!$A$2:$A$167='Imports 2023'!$A18,'[4]BLS 2022'!$E$2:$CB$167)))</f>
        <v>0</v>
      </c>
      <c r="U18" s="29">
        <f t="shared" si="10"/>
        <v>2853</v>
      </c>
      <c r="V18" s="29" cm="1">
        <f t="array" ref="V18">SUM(IF('[4]Raw Imports 2023'!$D$5:$CR$5='Imports 2023'!V$6,IF('[4]Raw Imports 2023'!$A$8:$A$80='Imports 2023'!$A18,'[4]Raw Imports 2023'!$D$8:$CR$80)))</f>
        <v>52628</v>
      </c>
      <c r="W18" s="29" cm="1">
        <f t="array" ref="W18">SUM(IF('[4]Raw Imports 2023'!$D$5:$CR$5='Imports 2023'!W$6,IF('[4]Raw Imports 2023'!$A$8:$A$80='Imports 2023'!$A18,'[4]Raw Imports 2023'!$D$8:$CR$80)))</f>
        <v>0</v>
      </c>
      <c r="X18" s="29" cm="1">
        <f t="array" ref="X18">SUM(IF('[4]Raw Imports 2023'!$D$5:$CR$5='Imports 2023'!X$6,IF('[4]Raw Imports 2023'!$A$8:$A$80='Imports 2023'!$A18,'[4]Raw Imports 2023'!$D$8:$CR$80)))</f>
        <v>0</v>
      </c>
      <c r="Y18" s="29" cm="1">
        <f t="array" ref="Y18">SUM(IF('[4]Raw Imports 2023'!$D$5:$CR$5='Imports 2023'!Y$6,IF('[4]Raw Imports 2023'!$A$8:$A$80='Imports 2023'!$A18,'[4]Raw Imports 2023'!$D$8:$CR$80)))</f>
        <v>6415</v>
      </c>
      <c r="Z18" s="29" cm="1">
        <f t="array" ref="Z18">SUM(IF('[4]Raw Imports 2023'!$D$5:$CR$5='Imports 2023'!Z$6,IF('[4]Raw Imports 2023'!$A$8:$A$80='Imports 2023'!$A18,'[4]Raw Imports 2023'!$D$8:$CR$80)))</f>
        <v>-115992</v>
      </c>
      <c r="AA18" s="29" cm="1">
        <f t="array" ref="AA18">SUM(IF('[4]Raw Imports 2023'!$D$5:$CR$5='Imports 2023'!AA$6,IF('[4]Raw Imports 2023'!$A$8:$A$80='Imports 2023'!$A18,'[4]Raw Imports 2023'!$D$8:$CR$80)))</f>
        <v>-177891</v>
      </c>
      <c r="AB18" s="29">
        <f t="shared" si="3"/>
        <v>115986</v>
      </c>
      <c r="AC18" s="29">
        <f t="shared" si="4"/>
        <v>64749</v>
      </c>
      <c r="AD18" s="29">
        <f t="shared" si="5"/>
        <v>180735</v>
      </c>
      <c r="AF18" s="29">
        <f>'[4]Use 2023'!S18-S18</f>
        <v>378368</v>
      </c>
      <c r="AI18" s="31">
        <f t="shared" si="6"/>
        <v>0</v>
      </c>
      <c r="AJ18" s="31">
        <f t="shared" si="6"/>
        <v>9802.7715669663958</v>
      </c>
      <c r="AM18" s="32">
        <f>R18/'[4]Use 2023'!R18</f>
        <v>2.590803547595567E-2</v>
      </c>
      <c r="AN18" s="33">
        <f t="shared" si="0"/>
        <v>7950.034800442143</v>
      </c>
      <c r="AO18" s="27">
        <f>R18*AF18/'[4]Use 2023'!R18</f>
        <v>9802.7715669663939</v>
      </c>
      <c r="AQ18" s="27">
        <f>'[4]Use 2023'!V18</f>
        <v>308602</v>
      </c>
      <c r="AS18" s="29">
        <f t="shared" si="7"/>
        <v>180735</v>
      </c>
      <c r="AW18" s="29">
        <f>'[4]Use 2023'!T18-V18</f>
        <v>1214324</v>
      </c>
      <c r="AZ18" s="33">
        <f t="shared" si="8"/>
        <v>31460.749271304394</v>
      </c>
      <c r="BA18" s="27">
        <f>AW18*R18/'[4]Use 2023'!R18</f>
        <v>31460.749271304394</v>
      </c>
    </row>
    <row r="19" spans="1:53">
      <c r="A19" s="27" t="s">
        <v>3706</v>
      </c>
      <c r="B19" s="27" t="s">
        <v>3730</v>
      </c>
      <c r="C19" s="29" cm="1">
        <f t="array" ref="C19">SUM(IF('[4]Raw Imports 2023'!$D$5:$CR$5='Imports 2023'!C$6,IF('[4]Raw Imports 2023'!$A$8:$A$80='Imports 2023'!$A19,'[4]Raw Imports 2023'!$D$8:$CR$80)))</f>
        <v>0</v>
      </c>
      <c r="D19" s="29" cm="1">
        <f t="array" ref="D19">SUM(IF('[4]Raw Imports 2023'!$D$5:$CR$5='Imports 2023'!D$6,IF('[4]Raw Imports 2023'!$A$8:$A$80='Imports 2023'!$A19,'[4]Raw Imports 2023'!$D$8:$CR$80)))</f>
        <v>0</v>
      </c>
      <c r="E19" s="29" cm="1">
        <f t="array" ref="E19">SUM(IF('[4]Raw Imports 2023'!$D$5:$CR$5='Imports 2023'!E$6,IF('[4]Raw Imports 2023'!$A$8:$A$80='Imports 2023'!$A19,'[4]Raw Imports 2023'!$D$8:$CR$80)))</f>
        <v>0</v>
      </c>
      <c r="F19" s="29" cm="1">
        <f t="array" ref="F19">SUM(IF('[4]Raw Imports 2023'!$D$5:$CR$5='Imports 2023'!F$6,IF('[4]Raw Imports 2023'!$A$8:$A$80='Imports 2023'!$A19,'[4]Raw Imports 2023'!$D$8:$CR$80)))</f>
        <v>0</v>
      </c>
      <c r="G19" s="29" cm="1">
        <f t="array" ref="G19">SUM(IF('[4]Raw Imports 2023'!$D$5:$CR$5='Imports 2023'!G$6,IF('[4]Raw Imports 2023'!$A$8:$A$80='Imports 2023'!$A19,'[4]Raw Imports 2023'!$D$8:$CR$80)))</f>
        <v>0</v>
      </c>
      <c r="H19" s="29" cm="1">
        <f t="array" ref="H19">SUM(IF('[4]Raw Imports 2023'!$D$5:$CR$5='Imports 2023'!H$6,IF('[4]Raw Imports 2023'!$A$8:$A$80='Imports 2023'!$A19,'[4]Raw Imports 2023'!$D$8:$CR$80)))</f>
        <v>0</v>
      </c>
      <c r="I19" s="29" cm="1">
        <f t="array" ref="I19">SUM(IF('[4]Raw Imports 2023'!$D$5:$CR$5='Imports 2023'!I$6,IF('[4]Raw Imports 2023'!$A$8:$A$80='Imports 2023'!$A19,'[4]Raw Imports 2023'!$D$8:$CR$80)))</f>
        <v>0</v>
      </c>
      <c r="J19" s="29" cm="1">
        <f t="array" ref="J19">SUM(IF('[4]Raw Imports 2023'!$D$5:$CR$5='Imports 2023'!J$6,IF('[4]Raw Imports 2023'!$A$8:$A$80='Imports 2023'!$A19,'[4]Raw Imports 2023'!$D$8:$CR$80)))</f>
        <v>0</v>
      </c>
      <c r="K19" s="29" cm="1">
        <f t="array" ref="K19">SUM(IF('[4]Raw Imports 2023'!$D$5:$CR$5='Imports 2023'!K$6,IF('[4]Raw Imports 2023'!$A$8:$A$80='Imports 2023'!$A19,'[4]Raw Imports 2023'!$D$8:$CR$80)))</f>
        <v>0</v>
      </c>
      <c r="L19" s="29" cm="1">
        <f t="array" ref="L19">SUM(IF('[4]Raw Imports 2023'!$D$5:$CR$5='Imports 2023'!L$6,IF('[4]Raw Imports 2023'!$A$8:$A$80='Imports 2023'!$A19,'[4]Raw Imports 2023'!$D$8:$CR$80)))</f>
        <v>0</v>
      </c>
      <c r="M19" s="29" cm="1">
        <f t="array" ref="M19">SUM(IF('[4]Raw Imports 2023'!$D$5:$CR$5='Imports 2023'!M$6,IF('[4]Raw Imports 2023'!$A$8:$A$80='Imports 2023'!$A19,'[4]Raw Imports 2023'!$D$8:$CR$80)))</f>
        <v>0</v>
      </c>
      <c r="N19" s="29" cm="1">
        <f t="array" ref="N19">SUM(IF('[4]Raw Imports 2023'!$D$5:$CR$5='Imports 2023'!N$6,IF('[4]Raw Imports 2023'!$A$8:$A$80='Imports 2023'!$A19,'[4]Raw Imports 2023'!$D$8:$CR$80)))</f>
        <v>13</v>
      </c>
      <c r="O19" s="29" cm="1">
        <f t="array" ref="O19">SUM(IF('[4]Raw Imports 2023'!$D$5:$CR$5='Imports 2023'!O$6,IF('[4]Raw Imports 2023'!$A$8:$A$80='Imports 2023'!$A19,'[4]Raw Imports 2023'!$D$8:$CR$80)))</f>
        <v>1</v>
      </c>
      <c r="P19" s="29" cm="1">
        <f t="array" ref="P19">SUM(IF('[4]Raw Imports 2023'!$D$5:$CR$5='Imports 2023'!P$6,IF('[4]Raw Imports 2023'!$A$8:$A$80='Imports 2023'!$A19,'[4]Raw Imports 2023'!$D$8:$CR$80)))</f>
        <v>0</v>
      </c>
      <c r="Q19" s="29" cm="1">
        <f t="array" ref="Q19">SUM(IF('[4]Raw Imports 2023'!$D$5:$CR$5='Imports 2023'!Q$6,IF('[4]Raw Imports 2023'!$A$8:$A$80='Imports 2023'!$A19,'[4]Raw Imports 2023'!$D$8:$CR$80)))</f>
        <v>558</v>
      </c>
      <c r="R19" s="29">
        <f t="shared" si="1"/>
        <v>572</v>
      </c>
      <c r="S19" s="29" cm="1">
        <f t="array" ref="S19">SUM(IF('[4]Raw Imports 2023'!$D$5:$CR$5='Imports 2023'!S$6,IF('[4]Raw Imports 2023'!$A$8:$A$80='Imports 2023'!$A19,'[4]Raw Imports 2023'!$D$8:$CR$80)))</f>
        <v>12512</v>
      </c>
      <c r="T19" s="30">
        <f t="array" ref="T19">$S19*(1-SUM(IF('[4]BLS 2022'!$A$2:$A$167='Imports 2023'!$A19,'[4]BLS 2022'!$AL$2:$CB$167))/SUM(IF('[4]BLS 2022'!$A$2:$A$167='Imports 2023'!$A19,'[4]BLS 2022'!$E$2:$CB$167)))</f>
        <v>37.018808495122627</v>
      </c>
      <c r="U19" s="29">
        <f t="shared" si="10"/>
        <v>12474.981191504878</v>
      </c>
      <c r="V19" s="29" cm="1">
        <f t="array" ref="V19">SUM(IF('[4]Raw Imports 2023'!$D$5:$CR$5='Imports 2023'!V$6,IF('[4]Raw Imports 2023'!$A$8:$A$80='Imports 2023'!$A19,'[4]Raw Imports 2023'!$D$8:$CR$80)))</f>
        <v>0</v>
      </c>
      <c r="W19" s="29" cm="1">
        <f t="array" ref="W19">SUM(IF('[4]Raw Imports 2023'!$D$5:$CR$5='Imports 2023'!W$6,IF('[4]Raw Imports 2023'!$A$8:$A$80='Imports 2023'!$A19,'[4]Raw Imports 2023'!$D$8:$CR$80)))</f>
        <v>0</v>
      </c>
      <c r="X19" s="29" cm="1">
        <f t="array" ref="X19">SUM(IF('[4]Raw Imports 2023'!$D$5:$CR$5='Imports 2023'!X$6,IF('[4]Raw Imports 2023'!$A$8:$A$80='Imports 2023'!$A19,'[4]Raw Imports 2023'!$D$8:$CR$80)))</f>
        <v>0</v>
      </c>
      <c r="Y19" s="29" cm="1">
        <f t="array" ref="Y19">SUM(IF('[4]Raw Imports 2023'!$D$5:$CR$5='Imports 2023'!Y$6,IF('[4]Raw Imports 2023'!$A$8:$A$80='Imports 2023'!$A19,'[4]Raw Imports 2023'!$D$8:$CR$80)))</f>
        <v>0</v>
      </c>
      <c r="Z19" s="29" cm="1">
        <f t="array" ref="Z19">SUM(IF('[4]Raw Imports 2023'!$D$5:$CR$5='Imports 2023'!Z$6,IF('[4]Raw Imports 2023'!$A$8:$A$80='Imports 2023'!$A19,'[4]Raw Imports 2023'!$D$8:$CR$80)))</f>
        <v>-572</v>
      </c>
      <c r="AA19" s="29" cm="1">
        <f t="array" ref="AA19">SUM(IF('[4]Raw Imports 2023'!$D$5:$CR$5='Imports 2023'!AA$6,IF('[4]Raw Imports 2023'!$A$8:$A$80='Imports 2023'!$A19,'[4]Raw Imports 2023'!$D$8:$CR$80)))</f>
        <v>-13084</v>
      </c>
      <c r="AB19" s="29">
        <f t="shared" si="3"/>
        <v>572</v>
      </c>
      <c r="AC19" s="29">
        <f t="shared" si="4"/>
        <v>25024</v>
      </c>
      <c r="AD19" s="29">
        <f t="shared" si="5"/>
        <v>25596</v>
      </c>
      <c r="AF19" s="29">
        <f>'[4]Use 2023'!S19-S19</f>
        <v>3982885</v>
      </c>
      <c r="AI19" s="31">
        <f t="shared" si="6"/>
        <v>70.720686874061826</v>
      </c>
      <c r="AJ19" s="31">
        <f t="shared" si="6"/>
        <v>23832.188945802121</v>
      </c>
      <c r="AM19" s="32">
        <f>R19/'[4]Use 2023'!R19</f>
        <v>6.0014059237653572E-3</v>
      </c>
      <c r="AN19" s="33">
        <f t="shared" si="0"/>
        <v>19385.228158530532</v>
      </c>
      <c r="AO19" s="27">
        <f>R19*AF19/'[4]Use 2023'!R19</f>
        <v>23902.909632676186</v>
      </c>
      <c r="AQ19" s="27">
        <f>'[4]Use 2023'!V19</f>
        <v>16688</v>
      </c>
      <c r="AS19" s="29">
        <f t="shared" si="7"/>
        <v>25596</v>
      </c>
      <c r="AW19" s="29">
        <f>'[4]Use 2023'!T19-V19</f>
        <v>0</v>
      </c>
      <c r="AZ19" s="33">
        <f t="shared" si="8"/>
        <v>0</v>
      </c>
      <c r="BA19" s="27">
        <f>AW19*R19/'[4]Use 2023'!R19</f>
        <v>0</v>
      </c>
    </row>
    <row r="20" spans="1:53">
      <c r="A20" s="27" t="s">
        <v>3707</v>
      </c>
      <c r="B20" s="27" t="s">
        <v>3731</v>
      </c>
      <c r="C20" s="29" cm="1">
        <f t="array" ref="C20">SUM(IF('[4]Raw Imports 2023'!$D$5:$CR$5='Imports 2023'!C$6,IF('[4]Raw Imports 2023'!$A$8:$A$80='Imports 2023'!$A20,'[4]Raw Imports 2023'!$D$8:$CR$80)))</f>
        <v>2</v>
      </c>
      <c r="D20" s="29" cm="1">
        <f t="array" ref="D20">SUM(IF('[4]Raw Imports 2023'!$D$5:$CR$5='Imports 2023'!D$6,IF('[4]Raw Imports 2023'!$A$8:$A$80='Imports 2023'!$A20,'[4]Raw Imports 2023'!$D$8:$CR$80)))</f>
        <v>0</v>
      </c>
      <c r="E20" s="29" cm="1">
        <f t="array" ref="E20">SUM(IF('[4]Raw Imports 2023'!$D$5:$CR$5='Imports 2023'!E$6,IF('[4]Raw Imports 2023'!$A$8:$A$80='Imports 2023'!$A20,'[4]Raw Imports 2023'!$D$8:$CR$80)))</f>
        <v>1</v>
      </c>
      <c r="F20" s="29" cm="1">
        <f t="array" ref="F20">SUM(IF('[4]Raw Imports 2023'!$D$5:$CR$5='Imports 2023'!F$6,IF('[4]Raw Imports 2023'!$A$8:$A$80='Imports 2023'!$A20,'[4]Raw Imports 2023'!$D$8:$CR$80)))</f>
        <v>8</v>
      </c>
      <c r="G20" s="29" cm="1">
        <f t="array" ref="G20">SUM(IF('[4]Raw Imports 2023'!$D$5:$CR$5='Imports 2023'!G$6,IF('[4]Raw Imports 2023'!$A$8:$A$80='Imports 2023'!$A20,'[4]Raw Imports 2023'!$D$8:$CR$80)))</f>
        <v>11</v>
      </c>
      <c r="H20" s="29" cm="1">
        <f t="array" ref="H20">SUM(IF('[4]Raw Imports 2023'!$D$5:$CR$5='Imports 2023'!H$6,IF('[4]Raw Imports 2023'!$A$8:$A$80='Imports 2023'!$A20,'[4]Raw Imports 2023'!$D$8:$CR$80)))</f>
        <v>51</v>
      </c>
      <c r="I20" s="29" cm="1">
        <f t="array" ref="I20">SUM(IF('[4]Raw Imports 2023'!$D$5:$CR$5='Imports 2023'!I$6,IF('[4]Raw Imports 2023'!$A$8:$A$80='Imports 2023'!$A20,'[4]Raw Imports 2023'!$D$8:$CR$80)))</f>
        <v>13</v>
      </c>
      <c r="J20" s="29" cm="1">
        <f t="array" ref="J20">SUM(IF('[4]Raw Imports 2023'!$D$5:$CR$5='Imports 2023'!J$6,IF('[4]Raw Imports 2023'!$A$8:$A$80='Imports 2023'!$A20,'[4]Raw Imports 2023'!$D$8:$CR$80)))</f>
        <v>0</v>
      </c>
      <c r="K20" s="29" cm="1">
        <f t="array" ref="K20">SUM(IF('[4]Raw Imports 2023'!$D$5:$CR$5='Imports 2023'!K$6,IF('[4]Raw Imports 2023'!$A$8:$A$80='Imports 2023'!$A20,'[4]Raw Imports 2023'!$D$8:$CR$80)))</f>
        <v>106</v>
      </c>
      <c r="L20" s="29" cm="1">
        <f t="array" ref="L20">SUM(IF('[4]Raw Imports 2023'!$D$5:$CR$5='Imports 2023'!L$6,IF('[4]Raw Imports 2023'!$A$8:$A$80='Imports 2023'!$A20,'[4]Raw Imports 2023'!$D$8:$CR$80)))</f>
        <v>167</v>
      </c>
      <c r="M20" s="29" cm="1">
        <f t="array" ref="M20">SUM(IF('[4]Raw Imports 2023'!$D$5:$CR$5='Imports 2023'!M$6,IF('[4]Raw Imports 2023'!$A$8:$A$80='Imports 2023'!$A20,'[4]Raw Imports 2023'!$D$8:$CR$80)))</f>
        <v>103</v>
      </c>
      <c r="N20" s="29" cm="1">
        <f t="array" ref="N20">SUM(IF('[4]Raw Imports 2023'!$D$5:$CR$5='Imports 2023'!N$6,IF('[4]Raw Imports 2023'!$A$8:$A$80='Imports 2023'!$A20,'[4]Raw Imports 2023'!$D$8:$CR$80)))</f>
        <v>68</v>
      </c>
      <c r="O20" s="29" cm="1">
        <f t="array" ref="O20">SUM(IF('[4]Raw Imports 2023'!$D$5:$CR$5='Imports 2023'!O$6,IF('[4]Raw Imports 2023'!$A$8:$A$80='Imports 2023'!$A20,'[4]Raw Imports 2023'!$D$8:$CR$80)))</f>
        <v>246</v>
      </c>
      <c r="P20" s="29" cm="1">
        <f t="array" ref="P20">SUM(IF('[4]Raw Imports 2023'!$D$5:$CR$5='Imports 2023'!P$6,IF('[4]Raw Imports 2023'!$A$8:$A$80='Imports 2023'!$A20,'[4]Raw Imports 2023'!$D$8:$CR$80)))</f>
        <v>5</v>
      </c>
      <c r="Q20" s="29" cm="1">
        <f t="array" ref="Q20">SUM(IF('[4]Raw Imports 2023'!$D$5:$CR$5='Imports 2023'!Q$6,IF('[4]Raw Imports 2023'!$A$8:$A$80='Imports 2023'!$A20,'[4]Raw Imports 2023'!$D$8:$CR$80)))</f>
        <v>27</v>
      </c>
      <c r="R20" s="29">
        <f t="shared" si="1"/>
        <v>808</v>
      </c>
      <c r="S20" s="29" cm="1">
        <f t="array" ref="S20">SUM(IF('[4]Raw Imports 2023'!$D$5:$CR$5='Imports 2023'!S$6,IF('[4]Raw Imports 2023'!$A$8:$A$80='Imports 2023'!$A20,'[4]Raw Imports 2023'!$D$8:$CR$80)))</f>
        <v>1343</v>
      </c>
      <c r="T20" s="30">
        <f t="array" ref="T20">$S20*(1-SUM(IF('[4]BLS 2022'!$A$2:$A$167='Imports 2023'!$A20,'[4]BLS 2022'!$AL$2:$CB$167))/SUM(IF('[4]BLS 2022'!$A$2:$A$167='Imports 2023'!$A20,'[4]BLS 2022'!$E$2:$CB$167)))</f>
        <v>0</v>
      </c>
      <c r="U20" s="29">
        <f t="shared" si="10"/>
        <v>1343</v>
      </c>
      <c r="V20" s="29" cm="1">
        <f t="array" ref="V20">SUM(IF('[4]Raw Imports 2023'!$D$5:$CR$5='Imports 2023'!V$6,IF('[4]Raw Imports 2023'!$A$8:$A$80='Imports 2023'!$A20,'[4]Raw Imports 2023'!$D$8:$CR$80)))</f>
        <v>0</v>
      </c>
      <c r="W20" s="29" cm="1">
        <f t="array" ref="W20">SUM(IF('[4]Raw Imports 2023'!$D$5:$CR$5='Imports 2023'!W$6,IF('[4]Raw Imports 2023'!$A$8:$A$80='Imports 2023'!$A20,'[4]Raw Imports 2023'!$D$8:$CR$80)))</f>
        <v>0</v>
      </c>
      <c r="X20" s="29" cm="1">
        <f t="array" ref="X20">SUM(IF('[4]Raw Imports 2023'!$D$5:$CR$5='Imports 2023'!X$6,IF('[4]Raw Imports 2023'!$A$8:$A$80='Imports 2023'!$A20,'[4]Raw Imports 2023'!$D$8:$CR$80)))</f>
        <v>0</v>
      </c>
      <c r="Y20" s="29" cm="1">
        <f t="array" ref="Y20">SUM(IF('[4]Raw Imports 2023'!$D$5:$CR$5='Imports 2023'!Y$6,IF('[4]Raw Imports 2023'!$A$8:$A$80='Imports 2023'!$A20,'[4]Raw Imports 2023'!$D$8:$CR$80)))</f>
        <v>0</v>
      </c>
      <c r="Z20" s="29" cm="1">
        <f t="array" ref="Z20">SUM(IF('[4]Raw Imports 2023'!$D$5:$CR$5='Imports 2023'!Z$6,IF('[4]Raw Imports 2023'!$A$8:$A$80='Imports 2023'!$A20,'[4]Raw Imports 2023'!$D$8:$CR$80)))</f>
        <v>-809</v>
      </c>
      <c r="AA20" s="29" cm="1">
        <f t="array" ref="AA20">SUM(IF('[4]Raw Imports 2023'!$D$5:$CR$5='Imports 2023'!AA$6,IF('[4]Raw Imports 2023'!$A$8:$A$80='Imports 2023'!$A20,'[4]Raw Imports 2023'!$D$8:$CR$80)))</f>
        <v>-2152</v>
      </c>
      <c r="AB20" s="29">
        <f t="shared" si="3"/>
        <v>808</v>
      </c>
      <c r="AC20" s="29">
        <f t="shared" si="4"/>
        <v>2686</v>
      </c>
      <c r="AD20" s="29">
        <f t="shared" si="5"/>
        <v>3494</v>
      </c>
      <c r="AF20" s="29">
        <f>'[4]Use 2023'!S20-S20</f>
        <v>1730961</v>
      </c>
      <c r="AI20" s="31">
        <f t="shared" si="6"/>
        <v>0</v>
      </c>
      <c r="AJ20" s="31">
        <f t="shared" si="6"/>
        <v>2292.6823674051489</v>
      </c>
      <c r="AM20" s="32">
        <f>R20/'[4]Use 2023'!R20</f>
        <v>1.3245141672199136E-3</v>
      </c>
      <c r="AN20" s="33">
        <f t="shared" si="0"/>
        <v>1859.3623734589976</v>
      </c>
      <c r="AO20" s="27">
        <f>R20*AF20/'[4]Use 2023'!R20</f>
        <v>2292.6823674051489</v>
      </c>
      <c r="AQ20" s="27">
        <f>'[4]Use 2023'!V20</f>
        <v>4400</v>
      </c>
      <c r="AS20" s="29">
        <f t="shared" si="7"/>
        <v>3494</v>
      </c>
      <c r="AW20" s="29">
        <f>'[4]Use 2023'!T20-V20</f>
        <v>9818</v>
      </c>
      <c r="AZ20" s="33">
        <f t="shared" si="8"/>
        <v>13.004080093765111</v>
      </c>
      <c r="BA20" s="27">
        <f>AW20*R20/'[4]Use 2023'!R20</f>
        <v>13.004080093765111</v>
      </c>
    </row>
    <row r="21" spans="1:53">
      <c r="A21" s="27" t="s">
        <v>3708</v>
      </c>
      <c r="B21" s="27" t="s">
        <v>3732</v>
      </c>
      <c r="C21" s="29" cm="1">
        <f t="array" ref="C21">SUM(IF('[4]Raw Imports 2023'!$D$5:$CR$5='Imports 2023'!C$6,IF('[4]Raw Imports 2023'!$A$8:$A$80='Imports 2023'!$A21,'[4]Raw Imports 2023'!$D$8:$CR$80)))</f>
        <v>1</v>
      </c>
      <c r="D21" s="29" cm="1">
        <f t="array" ref="D21">SUM(IF('[4]Raw Imports 2023'!$D$5:$CR$5='Imports 2023'!D$6,IF('[4]Raw Imports 2023'!$A$8:$A$80='Imports 2023'!$A21,'[4]Raw Imports 2023'!$D$8:$CR$80)))</f>
        <v>12</v>
      </c>
      <c r="E21" s="29" cm="1">
        <f t="array" ref="E21">SUM(IF('[4]Raw Imports 2023'!$D$5:$CR$5='Imports 2023'!E$6,IF('[4]Raw Imports 2023'!$A$8:$A$80='Imports 2023'!$A21,'[4]Raw Imports 2023'!$D$8:$CR$80)))</f>
        <v>26</v>
      </c>
      <c r="F21" s="29" cm="1">
        <f t="array" ref="F21">SUM(IF('[4]Raw Imports 2023'!$D$5:$CR$5='Imports 2023'!F$6,IF('[4]Raw Imports 2023'!$A$8:$A$80='Imports 2023'!$A21,'[4]Raw Imports 2023'!$D$8:$CR$80)))</f>
        <v>197</v>
      </c>
      <c r="G21" s="29" cm="1">
        <f t="array" ref="G21">SUM(IF('[4]Raw Imports 2023'!$D$5:$CR$5='Imports 2023'!G$6,IF('[4]Raw Imports 2023'!$A$8:$A$80='Imports 2023'!$A21,'[4]Raw Imports 2023'!$D$8:$CR$80)))</f>
        <v>0</v>
      </c>
      <c r="H21" s="29" cm="1">
        <f t="array" ref="H21">SUM(IF('[4]Raw Imports 2023'!$D$5:$CR$5='Imports 2023'!H$6,IF('[4]Raw Imports 2023'!$A$8:$A$80='Imports 2023'!$A21,'[4]Raw Imports 2023'!$D$8:$CR$80)))</f>
        <v>257</v>
      </c>
      <c r="I21" s="29" cm="1">
        <f t="array" ref="I21">SUM(IF('[4]Raw Imports 2023'!$D$5:$CR$5='Imports 2023'!I$6,IF('[4]Raw Imports 2023'!$A$8:$A$80='Imports 2023'!$A21,'[4]Raw Imports 2023'!$D$8:$CR$80)))</f>
        <v>204</v>
      </c>
      <c r="J21" s="29" cm="1">
        <f t="array" ref="J21">SUM(IF('[4]Raw Imports 2023'!$D$5:$CR$5='Imports 2023'!J$6,IF('[4]Raw Imports 2023'!$A$8:$A$80='Imports 2023'!$A21,'[4]Raw Imports 2023'!$D$8:$CR$80)))</f>
        <v>155</v>
      </c>
      <c r="K21" s="29" cm="1">
        <f t="array" ref="K21">SUM(IF('[4]Raw Imports 2023'!$D$5:$CR$5='Imports 2023'!K$6,IF('[4]Raw Imports 2023'!$A$8:$A$80='Imports 2023'!$A21,'[4]Raw Imports 2023'!$D$8:$CR$80)))</f>
        <v>122</v>
      </c>
      <c r="L21" s="29" cm="1">
        <f t="array" ref="L21">SUM(IF('[4]Raw Imports 2023'!$D$5:$CR$5='Imports 2023'!L$6,IF('[4]Raw Imports 2023'!$A$8:$A$80='Imports 2023'!$A21,'[4]Raw Imports 2023'!$D$8:$CR$80)))</f>
        <v>250</v>
      </c>
      <c r="M21" s="29" cm="1">
        <f t="array" ref="M21">SUM(IF('[4]Raw Imports 2023'!$D$5:$CR$5='Imports 2023'!M$6,IF('[4]Raw Imports 2023'!$A$8:$A$80='Imports 2023'!$A21,'[4]Raw Imports 2023'!$D$8:$CR$80)))</f>
        <v>1160</v>
      </c>
      <c r="N21" s="29" cm="1">
        <f t="array" ref="N21">SUM(IF('[4]Raw Imports 2023'!$D$5:$CR$5='Imports 2023'!N$6,IF('[4]Raw Imports 2023'!$A$8:$A$80='Imports 2023'!$A21,'[4]Raw Imports 2023'!$D$8:$CR$80)))</f>
        <v>322</v>
      </c>
      <c r="O21" s="29" cm="1">
        <f t="array" ref="O21">SUM(IF('[4]Raw Imports 2023'!$D$5:$CR$5='Imports 2023'!O$6,IF('[4]Raw Imports 2023'!$A$8:$A$80='Imports 2023'!$A21,'[4]Raw Imports 2023'!$D$8:$CR$80)))</f>
        <v>218</v>
      </c>
      <c r="P21" s="29" cm="1">
        <f t="array" ref="P21">SUM(IF('[4]Raw Imports 2023'!$D$5:$CR$5='Imports 2023'!P$6,IF('[4]Raw Imports 2023'!$A$8:$A$80='Imports 2023'!$A21,'[4]Raw Imports 2023'!$D$8:$CR$80)))</f>
        <v>64</v>
      </c>
      <c r="Q21" s="29" cm="1">
        <f t="array" ref="Q21">SUM(IF('[4]Raw Imports 2023'!$D$5:$CR$5='Imports 2023'!Q$6,IF('[4]Raw Imports 2023'!$A$8:$A$80='Imports 2023'!$A21,'[4]Raw Imports 2023'!$D$8:$CR$80)))</f>
        <v>831</v>
      </c>
      <c r="R21" s="29">
        <f t="shared" si="1"/>
        <v>3819</v>
      </c>
      <c r="S21" s="29" cm="1">
        <f t="array" ref="S21">SUM(IF('[4]Raw Imports 2023'!$D$5:$CR$5='Imports 2023'!S$6,IF('[4]Raw Imports 2023'!$A$8:$A$80='Imports 2023'!$A21,'[4]Raw Imports 2023'!$D$8:$CR$80)))</f>
        <v>687</v>
      </c>
      <c r="T21" s="30">
        <f t="array" ref="T21">$S21*(1-SUM(IF('[4]BLS 2022'!$A$2:$A$167='Imports 2023'!$A21,'[4]BLS 2022'!$AL$2:$CB$167))/SUM(IF('[4]BLS 2022'!$A$2:$A$167='Imports 2023'!$A21,'[4]BLS 2022'!$E$2:$CB$167)))</f>
        <v>2.2974814962128844</v>
      </c>
      <c r="U21" s="29">
        <f t="shared" si="10"/>
        <v>684.70251850378713</v>
      </c>
      <c r="V21" s="29" cm="1">
        <f t="array" ref="V21">SUM(IF('[4]Raw Imports 2023'!$D$5:$CR$5='Imports 2023'!V$6,IF('[4]Raw Imports 2023'!$A$8:$A$80='Imports 2023'!$A21,'[4]Raw Imports 2023'!$D$8:$CR$80)))</f>
        <v>0</v>
      </c>
      <c r="W21" s="29" cm="1">
        <f t="array" ref="W21">SUM(IF('[4]Raw Imports 2023'!$D$5:$CR$5='Imports 2023'!W$6,IF('[4]Raw Imports 2023'!$A$8:$A$80='Imports 2023'!$A21,'[4]Raw Imports 2023'!$D$8:$CR$80)))</f>
        <v>0</v>
      </c>
      <c r="X21" s="29" cm="1">
        <f t="array" ref="X21">SUM(IF('[4]Raw Imports 2023'!$D$5:$CR$5='Imports 2023'!X$6,IF('[4]Raw Imports 2023'!$A$8:$A$80='Imports 2023'!$A21,'[4]Raw Imports 2023'!$D$8:$CR$80)))</f>
        <v>0</v>
      </c>
      <c r="Y21" s="29" cm="1">
        <f t="array" ref="Y21">SUM(IF('[4]Raw Imports 2023'!$D$5:$CR$5='Imports 2023'!Y$6,IF('[4]Raw Imports 2023'!$A$8:$A$80='Imports 2023'!$A21,'[4]Raw Imports 2023'!$D$8:$CR$80)))</f>
        <v>0</v>
      </c>
      <c r="Z21" s="29" cm="1">
        <f t="array" ref="Z21">SUM(IF('[4]Raw Imports 2023'!$D$5:$CR$5='Imports 2023'!Z$6,IF('[4]Raw Imports 2023'!$A$8:$A$80='Imports 2023'!$A21,'[4]Raw Imports 2023'!$D$8:$CR$80)))</f>
        <v>-3815</v>
      </c>
      <c r="AA21" s="29" cm="1">
        <f t="array" ref="AA21">SUM(IF('[4]Raw Imports 2023'!$D$5:$CR$5='Imports 2023'!AA$6,IF('[4]Raw Imports 2023'!$A$8:$A$80='Imports 2023'!$A21,'[4]Raw Imports 2023'!$D$8:$CR$80)))</f>
        <v>-4502</v>
      </c>
      <c r="AB21" s="29">
        <f t="shared" si="3"/>
        <v>3819</v>
      </c>
      <c r="AC21" s="29">
        <f t="shared" si="4"/>
        <v>1374</v>
      </c>
      <c r="AD21" s="29">
        <f t="shared" si="5"/>
        <v>5193</v>
      </c>
      <c r="AF21" s="29">
        <f>'[4]Use 2023'!S21-S21</f>
        <v>865219</v>
      </c>
      <c r="AI21" s="31">
        <f t="shared" si="6"/>
        <v>30.905820815802539</v>
      </c>
      <c r="AJ21" s="31">
        <f t="shared" si="6"/>
        <v>9210.6480003815286</v>
      </c>
      <c r="AM21" s="32">
        <f>R21/'[4]Use 2023'!R21</f>
        <v>1.0681172999202897E-2</v>
      </c>
      <c r="AN21" s="33">
        <f t="shared" si="0"/>
        <v>7494.8879494714565</v>
      </c>
      <c r="AO21" s="27">
        <f>R21*AF21/'[4]Use 2023'!R21</f>
        <v>9241.5538211973326</v>
      </c>
      <c r="AQ21" s="27">
        <f>'[4]Use 2023'!V21</f>
        <v>105</v>
      </c>
      <c r="AS21" s="29">
        <f t="shared" si="7"/>
        <v>5193</v>
      </c>
      <c r="AW21" s="29">
        <f>'[4]Use 2023'!T21-V21</f>
        <v>0</v>
      </c>
      <c r="AZ21" s="33">
        <f t="shared" si="8"/>
        <v>0</v>
      </c>
      <c r="BA21" s="27">
        <f>AW21*R21/'[4]Use 2023'!R21</f>
        <v>0</v>
      </c>
    </row>
    <row r="22" spans="1:53">
      <c r="A22" s="27" t="s">
        <v>3709</v>
      </c>
      <c r="B22" s="27" t="s">
        <v>3733</v>
      </c>
      <c r="C22" s="29" cm="1">
        <f t="array" ref="C22">SUM(IF('[4]Raw Imports 2023'!$D$5:$CR$5='Imports 2023'!C$6,IF('[4]Raw Imports 2023'!$A$8:$A$80='Imports 2023'!$A22,'[4]Raw Imports 2023'!$D$8:$CR$80)))</f>
        <v>0</v>
      </c>
      <c r="D22" s="29" cm="1">
        <f t="array" ref="D22">SUM(IF('[4]Raw Imports 2023'!$D$5:$CR$5='Imports 2023'!D$6,IF('[4]Raw Imports 2023'!$A$8:$A$80='Imports 2023'!$A22,'[4]Raw Imports 2023'!$D$8:$CR$80)))</f>
        <v>0</v>
      </c>
      <c r="E22" s="29" cm="1">
        <f t="array" ref="E22">SUM(IF('[4]Raw Imports 2023'!$D$5:$CR$5='Imports 2023'!E$6,IF('[4]Raw Imports 2023'!$A$8:$A$80='Imports 2023'!$A22,'[4]Raw Imports 2023'!$D$8:$CR$80)))</f>
        <v>1</v>
      </c>
      <c r="F22" s="29" cm="1">
        <f t="array" ref="F22">SUM(IF('[4]Raw Imports 2023'!$D$5:$CR$5='Imports 2023'!F$6,IF('[4]Raw Imports 2023'!$A$8:$A$80='Imports 2023'!$A22,'[4]Raw Imports 2023'!$D$8:$CR$80)))</f>
        <v>0</v>
      </c>
      <c r="G22" s="29" cm="1">
        <f t="array" ref="G22">SUM(IF('[4]Raw Imports 2023'!$D$5:$CR$5='Imports 2023'!G$6,IF('[4]Raw Imports 2023'!$A$8:$A$80='Imports 2023'!$A22,'[4]Raw Imports 2023'!$D$8:$CR$80)))</f>
        <v>1</v>
      </c>
      <c r="H22" s="29" cm="1">
        <f t="array" ref="H22">SUM(IF('[4]Raw Imports 2023'!$D$5:$CR$5='Imports 2023'!H$6,IF('[4]Raw Imports 2023'!$A$8:$A$80='Imports 2023'!$A22,'[4]Raw Imports 2023'!$D$8:$CR$80)))</f>
        <v>63</v>
      </c>
      <c r="I22" s="29" cm="1">
        <f t="array" ref="I22">SUM(IF('[4]Raw Imports 2023'!$D$5:$CR$5='Imports 2023'!I$6,IF('[4]Raw Imports 2023'!$A$8:$A$80='Imports 2023'!$A22,'[4]Raw Imports 2023'!$D$8:$CR$80)))</f>
        <v>23</v>
      </c>
      <c r="J22" s="29" cm="1">
        <f t="array" ref="J22">SUM(IF('[4]Raw Imports 2023'!$D$5:$CR$5='Imports 2023'!J$6,IF('[4]Raw Imports 2023'!$A$8:$A$80='Imports 2023'!$A22,'[4]Raw Imports 2023'!$D$8:$CR$80)))</f>
        <v>26</v>
      </c>
      <c r="K22" s="29" cm="1">
        <f t="array" ref="K22">SUM(IF('[4]Raw Imports 2023'!$D$5:$CR$5='Imports 2023'!K$6,IF('[4]Raw Imports 2023'!$A$8:$A$80='Imports 2023'!$A22,'[4]Raw Imports 2023'!$D$8:$CR$80)))</f>
        <v>7</v>
      </c>
      <c r="L22" s="29" cm="1">
        <f t="array" ref="L22">SUM(IF('[4]Raw Imports 2023'!$D$5:$CR$5='Imports 2023'!L$6,IF('[4]Raw Imports 2023'!$A$8:$A$80='Imports 2023'!$A22,'[4]Raw Imports 2023'!$D$8:$CR$80)))</f>
        <v>21</v>
      </c>
      <c r="M22" s="29" cm="1">
        <f t="array" ref="M22">SUM(IF('[4]Raw Imports 2023'!$D$5:$CR$5='Imports 2023'!M$6,IF('[4]Raw Imports 2023'!$A$8:$A$80='Imports 2023'!$A22,'[4]Raw Imports 2023'!$D$8:$CR$80)))</f>
        <v>15</v>
      </c>
      <c r="N22" s="29" cm="1">
        <f t="array" ref="N22">SUM(IF('[4]Raw Imports 2023'!$D$5:$CR$5='Imports 2023'!N$6,IF('[4]Raw Imports 2023'!$A$8:$A$80='Imports 2023'!$A22,'[4]Raw Imports 2023'!$D$8:$CR$80)))</f>
        <v>19</v>
      </c>
      <c r="O22" s="29" cm="1">
        <f t="array" ref="O22">SUM(IF('[4]Raw Imports 2023'!$D$5:$CR$5='Imports 2023'!O$6,IF('[4]Raw Imports 2023'!$A$8:$A$80='Imports 2023'!$A22,'[4]Raw Imports 2023'!$D$8:$CR$80)))</f>
        <v>30</v>
      </c>
      <c r="P22" s="29" cm="1">
        <f t="array" ref="P22">SUM(IF('[4]Raw Imports 2023'!$D$5:$CR$5='Imports 2023'!P$6,IF('[4]Raw Imports 2023'!$A$8:$A$80='Imports 2023'!$A22,'[4]Raw Imports 2023'!$D$8:$CR$80)))</f>
        <v>2</v>
      </c>
      <c r="Q22" s="29" cm="1">
        <f t="array" ref="Q22">SUM(IF('[4]Raw Imports 2023'!$D$5:$CR$5='Imports 2023'!Q$6,IF('[4]Raw Imports 2023'!$A$8:$A$80='Imports 2023'!$A22,'[4]Raw Imports 2023'!$D$8:$CR$80)))</f>
        <v>7</v>
      </c>
      <c r="R22" s="29">
        <f t="shared" si="1"/>
        <v>215</v>
      </c>
      <c r="S22" s="29" cm="1">
        <f t="array" ref="S22">SUM(IF('[4]Raw Imports 2023'!$D$5:$CR$5='Imports 2023'!S$6,IF('[4]Raw Imports 2023'!$A$8:$A$80='Imports 2023'!$A22,'[4]Raw Imports 2023'!$D$8:$CR$80)))</f>
        <v>16</v>
      </c>
      <c r="T22" s="30">
        <f t="array" ref="T22">$S22*(1-SUM(IF('[4]BLS 2022'!$A$2:$A$167='Imports 2023'!$A22,'[4]BLS 2022'!$AL$2:$CB$167))/SUM(IF('[4]BLS 2022'!$A$2:$A$167='Imports 2023'!$A22,'[4]BLS 2022'!$E$2:$CB$167)))</f>
        <v>0</v>
      </c>
      <c r="U22" s="29">
        <f t="shared" si="10"/>
        <v>16</v>
      </c>
      <c r="V22" s="29" cm="1">
        <f t="array" ref="V22">SUM(IF('[4]Raw Imports 2023'!$D$5:$CR$5='Imports 2023'!V$6,IF('[4]Raw Imports 2023'!$A$8:$A$80='Imports 2023'!$A22,'[4]Raw Imports 2023'!$D$8:$CR$80)))</f>
        <v>0</v>
      </c>
      <c r="W22" s="29" cm="1">
        <f t="array" ref="W22">SUM(IF('[4]Raw Imports 2023'!$D$5:$CR$5='Imports 2023'!W$6,IF('[4]Raw Imports 2023'!$A$8:$A$80='Imports 2023'!$A22,'[4]Raw Imports 2023'!$D$8:$CR$80)))</f>
        <v>0</v>
      </c>
      <c r="X22" s="29" cm="1">
        <f t="array" ref="X22">SUM(IF('[4]Raw Imports 2023'!$D$5:$CR$5='Imports 2023'!X$6,IF('[4]Raw Imports 2023'!$A$8:$A$80='Imports 2023'!$A22,'[4]Raw Imports 2023'!$D$8:$CR$80)))</f>
        <v>0</v>
      </c>
      <c r="Y22" s="29" cm="1">
        <f t="array" ref="Y22">SUM(IF('[4]Raw Imports 2023'!$D$5:$CR$5='Imports 2023'!Y$6,IF('[4]Raw Imports 2023'!$A$8:$A$80='Imports 2023'!$A22,'[4]Raw Imports 2023'!$D$8:$CR$80)))</f>
        <v>0</v>
      </c>
      <c r="Z22" s="29" cm="1">
        <f t="array" ref="Z22">SUM(IF('[4]Raw Imports 2023'!$D$5:$CR$5='Imports 2023'!Z$6,IF('[4]Raw Imports 2023'!$A$8:$A$80='Imports 2023'!$A22,'[4]Raw Imports 2023'!$D$8:$CR$80)))</f>
        <v>-217</v>
      </c>
      <c r="AA22" s="29" cm="1">
        <f t="array" ref="AA22">SUM(IF('[4]Raw Imports 2023'!$D$5:$CR$5='Imports 2023'!AA$6,IF('[4]Raw Imports 2023'!$A$8:$A$80='Imports 2023'!$A22,'[4]Raw Imports 2023'!$D$8:$CR$80)))</f>
        <v>-233</v>
      </c>
      <c r="AB22" s="29">
        <f t="shared" si="3"/>
        <v>215</v>
      </c>
      <c r="AC22" s="29">
        <f t="shared" si="4"/>
        <v>32</v>
      </c>
      <c r="AD22" s="29">
        <f t="shared" si="5"/>
        <v>247</v>
      </c>
      <c r="AF22" s="29">
        <f>'[4]Use 2023'!S22-S22</f>
        <v>98845</v>
      </c>
      <c r="AI22" s="31">
        <f t="shared" si="6"/>
        <v>0</v>
      </c>
      <c r="AJ22" s="31">
        <f t="shared" si="6"/>
        <v>180.01656021820523</v>
      </c>
      <c r="AM22" s="32">
        <f>R22/'[4]Use 2023'!R22</f>
        <v>1.8212004675826317E-3</v>
      </c>
      <c r="AN22" s="33">
        <f t="shared" si="0"/>
        <v>145.99319270208252</v>
      </c>
      <c r="AO22" s="27">
        <f>R22*AF22/'[4]Use 2023'!R22</f>
        <v>180.01656021820523</v>
      </c>
      <c r="AQ22" s="27">
        <f>'[4]Use 2023'!V22</f>
        <v>473</v>
      </c>
      <c r="AS22" s="29">
        <f t="shared" si="7"/>
        <v>247</v>
      </c>
      <c r="AW22" s="29">
        <f>'[4]Use 2023'!T22-V22</f>
        <v>0</v>
      </c>
      <c r="AZ22" s="33">
        <f t="shared" si="8"/>
        <v>0</v>
      </c>
      <c r="BA22" s="27">
        <f>AW22*R22/'[4]Use 2023'!R22</f>
        <v>0</v>
      </c>
    </row>
    <row r="23" spans="1:53">
      <c r="A23" s="27" t="s">
        <v>3749</v>
      </c>
      <c r="B23" s="27" t="s">
        <v>3750</v>
      </c>
      <c r="C23" s="29" cm="1">
        <f t="array" ref="C23">SUM(IF('[4]Raw Imports 2023'!$D$5:$CR$5='Imports 2023'!C$6,IF('[4]Raw Imports 2023'!$A$8:$A$80='Imports 2023'!$A23,'[4]Raw Imports 2023'!$D$8:$CR$80)))</f>
        <v>0</v>
      </c>
      <c r="D23" s="29" cm="1">
        <f t="array" ref="D23">SUM(IF('[4]Raw Imports 2023'!$D$5:$CR$5='Imports 2023'!D$6,IF('[4]Raw Imports 2023'!$A$8:$A$80='Imports 2023'!$A23,'[4]Raw Imports 2023'!$D$8:$CR$80)))</f>
        <v>0</v>
      </c>
      <c r="E23" s="29" cm="1">
        <f t="array" ref="E23">SUM(IF('[4]Raw Imports 2023'!$D$5:$CR$5='Imports 2023'!E$6,IF('[4]Raw Imports 2023'!$A$8:$A$80='Imports 2023'!$A23,'[4]Raw Imports 2023'!$D$8:$CR$80)))</f>
        <v>10</v>
      </c>
      <c r="F23" s="29" cm="1">
        <f t="array" ref="F23">SUM(IF('[4]Raw Imports 2023'!$D$5:$CR$5='Imports 2023'!F$6,IF('[4]Raw Imports 2023'!$A$8:$A$80='Imports 2023'!$A23,'[4]Raw Imports 2023'!$D$8:$CR$80)))</f>
        <v>177</v>
      </c>
      <c r="G23" s="29" cm="1">
        <f t="array" ref="G23">SUM(IF('[4]Raw Imports 2023'!$D$5:$CR$5='Imports 2023'!G$6,IF('[4]Raw Imports 2023'!$A$8:$A$80='Imports 2023'!$A23,'[4]Raw Imports 2023'!$D$8:$CR$80)))</f>
        <v>2250</v>
      </c>
      <c r="H23" s="29" cm="1">
        <f t="array" ref="H23">SUM(IF('[4]Raw Imports 2023'!$D$5:$CR$5='Imports 2023'!H$6,IF('[4]Raw Imports 2023'!$A$8:$A$80='Imports 2023'!$A23,'[4]Raw Imports 2023'!$D$8:$CR$80)))</f>
        <v>0</v>
      </c>
      <c r="I23" s="29" cm="1">
        <f t="array" ref="I23">SUM(IF('[4]Raw Imports 2023'!$D$5:$CR$5='Imports 2023'!I$6,IF('[4]Raw Imports 2023'!$A$8:$A$80='Imports 2023'!$A23,'[4]Raw Imports 2023'!$D$8:$CR$80)))</f>
        <v>40</v>
      </c>
      <c r="J23" s="29" cm="1">
        <f t="array" ref="J23">SUM(IF('[4]Raw Imports 2023'!$D$5:$CR$5='Imports 2023'!J$6,IF('[4]Raw Imports 2023'!$A$8:$A$80='Imports 2023'!$A23,'[4]Raw Imports 2023'!$D$8:$CR$80)))</f>
        <v>-60</v>
      </c>
      <c r="K23" s="29" cm="1">
        <f t="array" ref="K23">SUM(IF('[4]Raw Imports 2023'!$D$5:$CR$5='Imports 2023'!K$6,IF('[4]Raw Imports 2023'!$A$8:$A$80='Imports 2023'!$A23,'[4]Raw Imports 2023'!$D$8:$CR$80)))</f>
        <v>0</v>
      </c>
      <c r="L23" s="29" cm="1">
        <f t="array" ref="L23">SUM(IF('[4]Raw Imports 2023'!$D$5:$CR$5='Imports 2023'!L$6,IF('[4]Raw Imports 2023'!$A$8:$A$80='Imports 2023'!$A23,'[4]Raw Imports 2023'!$D$8:$CR$80)))</f>
        <v>0</v>
      </c>
      <c r="M23" s="29" cm="1">
        <f t="array" ref="M23">SUM(IF('[4]Raw Imports 2023'!$D$5:$CR$5='Imports 2023'!M$6,IF('[4]Raw Imports 2023'!$A$8:$A$80='Imports 2023'!$A23,'[4]Raw Imports 2023'!$D$8:$CR$80)))</f>
        <v>43</v>
      </c>
      <c r="N23" s="29" cm="1">
        <f t="array" ref="N23">SUM(IF('[4]Raw Imports 2023'!$D$5:$CR$5='Imports 2023'!N$6,IF('[4]Raw Imports 2023'!$A$8:$A$80='Imports 2023'!$A23,'[4]Raw Imports 2023'!$D$8:$CR$80)))</f>
        <v>-52</v>
      </c>
      <c r="O23" s="29" cm="1">
        <f t="array" ref="O23">SUM(IF('[4]Raw Imports 2023'!$D$5:$CR$5='Imports 2023'!O$6,IF('[4]Raw Imports 2023'!$A$8:$A$80='Imports 2023'!$A23,'[4]Raw Imports 2023'!$D$8:$CR$80)))</f>
        <v>36</v>
      </c>
      <c r="P23" s="29" cm="1">
        <f t="array" ref="P23">SUM(IF('[4]Raw Imports 2023'!$D$5:$CR$5='Imports 2023'!P$6,IF('[4]Raw Imports 2023'!$A$8:$A$80='Imports 2023'!$A23,'[4]Raw Imports 2023'!$D$8:$CR$80)))</f>
        <v>142</v>
      </c>
      <c r="Q23" s="29" cm="1">
        <f t="array" ref="Q23">SUM(IF('[4]Raw Imports 2023'!$D$5:$CR$5='Imports 2023'!Q$6,IF('[4]Raw Imports 2023'!$A$8:$A$80='Imports 2023'!$A23,'[4]Raw Imports 2023'!$D$8:$CR$80)))</f>
        <v>53</v>
      </c>
      <c r="R23" s="29">
        <f t="shared" si="1"/>
        <v>2639</v>
      </c>
      <c r="S23" s="29" cm="1">
        <f t="array" ref="S23">SUM(IF('[4]Raw Imports 2023'!$D$5:$CR$5='Imports 2023'!S$6,IF('[4]Raw Imports 2023'!$A$8:$A$80='Imports 2023'!$A23,'[4]Raw Imports 2023'!$D$8:$CR$80)))</f>
        <v>17070</v>
      </c>
      <c r="T23" s="30">
        <f t="array" ref="T23">$S23*(1-SUM(IF('[4]BLS 2022'!$A$2:$A$167='Imports 2023'!$A23,'[4]BLS 2022'!$AL$2:$CB$167))/SUM(IF('[4]BLS 2022'!$A$2:$A$167='Imports 2023'!$A23,'[4]BLS 2022'!$E$2:$CB$167)))</f>
        <v>17068.476689486368</v>
      </c>
      <c r="U23" s="29">
        <f t="shared" si="10"/>
        <v>1.5233105136321683</v>
      </c>
      <c r="V23" s="29" cm="1">
        <f t="array" ref="V23">SUM(IF('[4]Raw Imports 2023'!$D$5:$CR$5='Imports 2023'!V$6,IF('[4]Raw Imports 2023'!$A$8:$A$80='Imports 2023'!$A23,'[4]Raw Imports 2023'!$D$8:$CR$80)))</f>
        <v>-79</v>
      </c>
      <c r="W23" s="29" cm="1">
        <f t="array" ref="W23">SUM(IF('[4]Raw Imports 2023'!$D$5:$CR$5='Imports 2023'!W$6,IF('[4]Raw Imports 2023'!$A$8:$A$80='Imports 2023'!$A23,'[4]Raw Imports 2023'!$D$8:$CR$80)))</f>
        <v>-19</v>
      </c>
      <c r="X23" s="29" cm="1">
        <f t="array" ref="X23">SUM(IF('[4]Raw Imports 2023'!$D$5:$CR$5='Imports 2023'!X$6,IF('[4]Raw Imports 2023'!$A$8:$A$80='Imports 2023'!$A23,'[4]Raw Imports 2023'!$D$8:$CR$80)))</f>
        <v>0</v>
      </c>
      <c r="Y23" s="29" cm="1">
        <f t="array" ref="Y23">SUM(IF('[4]Raw Imports 2023'!$D$5:$CR$5='Imports 2023'!Y$6,IF('[4]Raw Imports 2023'!$A$8:$A$80='Imports 2023'!$A23,'[4]Raw Imports 2023'!$D$8:$CR$80)))</f>
        <v>0</v>
      </c>
      <c r="Z23" s="29" cm="1">
        <f t="array" ref="Z23">SUM(IF('[4]Raw Imports 2023'!$D$5:$CR$5='Imports 2023'!Z$6,IF('[4]Raw Imports 2023'!$A$8:$A$80='Imports 2023'!$A23,'[4]Raw Imports 2023'!$D$8:$CR$80)))</f>
        <v>-2638</v>
      </c>
      <c r="AA23" s="29" cm="1">
        <f t="array" ref="AA23">SUM(IF('[4]Raw Imports 2023'!$D$5:$CR$5='Imports 2023'!AA$6,IF('[4]Raw Imports 2023'!$A$8:$A$80='Imports 2023'!$A23,'[4]Raw Imports 2023'!$D$8:$CR$80)))</f>
        <v>-19610</v>
      </c>
      <c r="AB23" s="29">
        <f t="shared" si="3"/>
        <v>2639</v>
      </c>
      <c r="AC23" s="29">
        <f t="shared" si="4"/>
        <v>34042</v>
      </c>
      <c r="AD23" s="29">
        <f t="shared" si="5"/>
        <v>36681</v>
      </c>
      <c r="AF23" s="29">
        <f>'[4]Use 2023'!S23-S23</f>
        <v>288490</v>
      </c>
      <c r="AI23" s="31">
        <f t="shared" si="6"/>
        <v>5849.2102781743606</v>
      </c>
      <c r="AJ23" s="31">
        <f t="shared" si="6"/>
        <v>0.52202452950454081</v>
      </c>
      <c r="AM23" s="32">
        <f>R23/'[4]Use 2023'!R23</f>
        <v>2.0277071311670648E-2</v>
      </c>
      <c r="AN23" s="33">
        <f t="shared" si="0"/>
        <v>4744.1251754230243</v>
      </c>
      <c r="AO23" s="27">
        <f>R23*AF23/'[4]Use 2023'!R23</f>
        <v>5849.7323027038656</v>
      </c>
      <c r="AQ23" s="27">
        <f>'[4]Use 2023'!V23</f>
        <v>51058</v>
      </c>
      <c r="AS23" s="29">
        <f t="shared" si="7"/>
        <v>36681</v>
      </c>
      <c r="AW23" s="29">
        <f>'[4]Use 2023'!T23-V23</f>
        <v>-147146</v>
      </c>
      <c r="AZ23" s="33">
        <f t="shared" si="8"/>
        <v>0</v>
      </c>
      <c r="BA23" s="27">
        <v>0</v>
      </c>
    </row>
    <row r="24" spans="1:53">
      <c r="A24" s="27" t="s">
        <v>525</v>
      </c>
      <c r="B24" s="27" t="s">
        <v>3751</v>
      </c>
      <c r="C24" s="29" cm="1">
        <f t="array" ref="C24">SUM(IF('[4]Raw Imports 2023'!$D$5:$CR$5='Imports 2023'!C$6,IF('[4]Raw Imports 2023'!$A$8:$A$80='Imports 2023'!$A24,'[4]Raw Imports 2023'!$D$8:$CR$80)))</f>
        <v>778</v>
      </c>
      <c r="D24" s="29" cm="1">
        <f t="array" ref="D24">SUM(IF('[4]Raw Imports 2023'!$D$5:$CR$5='Imports 2023'!D$6,IF('[4]Raw Imports 2023'!$A$8:$A$80='Imports 2023'!$A24,'[4]Raw Imports 2023'!$D$8:$CR$80)))</f>
        <v>1269</v>
      </c>
      <c r="E24" s="29" cm="1">
        <f t="array" ref="E24">SUM(IF('[4]Raw Imports 2023'!$D$5:$CR$5='Imports 2023'!E$6,IF('[4]Raw Imports 2023'!$A$8:$A$80='Imports 2023'!$A24,'[4]Raw Imports 2023'!$D$8:$CR$80)))</f>
        <v>998</v>
      </c>
      <c r="F24" s="29" cm="1">
        <f t="array" ref="F24">SUM(IF('[4]Raw Imports 2023'!$D$5:$CR$5='Imports 2023'!F$6,IF('[4]Raw Imports 2023'!$A$8:$A$80='Imports 2023'!$A24,'[4]Raw Imports 2023'!$D$8:$CR$80)))</f>
        <v>2178</v>
      </c>
      <c r="G24" s="29" cm="1">
        <f t="array" ref="G24">SUM(IF('[4]Raw Imports 2023'!$D$5:$CR$5='Imports 2023'!G$6,IF('[4]Raw Imports 2023'!$A$8:$A$80='Imports 2023'!$A24,'[4]Raw Imports 2023'!$D$8:$CR$80)))</f>
        <v>19320</v>
      </c>
      <c r="H24" s="29" cm="1">
        <f t="array" ref="H24">SUM(IF('[4]Raw Imports 2023'!$D$5:$CR$5='Imports 2023'!H$6,IF('[4]Raw Imports 2023'!$A$8:$A$80='Imports 2023'!$A24,'[4]Raw Imports 2023'!$D$8:$CR$80)))</f>
        <v>8124</v>
      </c>
      <c r="I24" s="29" cm="1">
        <f t="array" ref="I24">SUM(IF('[4]Raw Imports 2023'!$D$5:$CR$5='Imports 2023'!I$6,IF('[4]Raw Imports 2023'!$A$8:$A$80='Imports 2023'!$A24,'[4]Raw Imports 2023'!$D$8:$CR$80)))</f>
        <v>5559</v>
      </c>
      <c r="J24" s="29" cm="1">
        <f t="array" ref="J24">SUM(IF('[4]Raw Imports 2023'!$D$5:$CR$5='Imports 2023'!J$6,IF('[4]Raw Imports 2023'!$A$8:$A$80='Imports 2023'!$A24,'[4]Raw Imports 2023'!$D$8:$CR$80)))</f>
        <v>25537</v>
      </c>
      <c r="K24" s="29" cm="1">
        <f t="array" ref="K24">SUM(IF('[4]Raw Imports 2023'!$D$5:$CR$5='Imports 2023'!K$6,IF('[4]Raw Imports 2023'!$A$8:$A$80='Imports 2023'!$A24,'[4]Raw Imports 2023'!$D$8:$CR$80)))</f>
        <v>10311</v>
      </c>
      <c r="L24" s="29" cm="1">
        <f t="array" ref="L24">SUM(IF('[4]Raw Imports 2023'!$D$5:$CR$5='Imports 2023'!L$6,IF('[4]Raw Imports 2023'!$A$8:$A$80='Imports 2023'!$A24,'[4]Raw Imports 2023'!$D$8:$CR$80)))</f>
        <v>62319</v>
      </c>
      <c r="M24" s="29" cm="1">
        <f t="array" ref="M24">SUM(IF('[4]Raw Imports 2023'!$D$5:$CR$5='Imports 2023'!M$6,IF('[4]Raw Imports 2023'!$A$8:$A$80='Imports 2023'!$A24,'[4]Raw Imports 2023'!$D$8:$CR$80)))</f>
        <v>9377</v>
      </c>
      <c r="N24" s="29" cm="1">
        <f t="array" ref="N24">SUM(IF('[4]Raw Imports 2023'!$D$5:$CR$5='Imports 2023'!N$6,IF('[4]Raw Imports 2023'!$A$8:$A$80='Imports 2023'!$A24,'[4]Raw Imports 2023'!$D$8:$CR$80)))</f>
        <v>959</v>
      </c>
      <c r="O24" s="29" cm="1">
        <f t="array" ref="O24">SUM(IF('[4]Raw Imports 2023'!$D$5:$CR$5='Imports 2023'!O$6,IF('[4]Raw Imports 2023'!$A$8:$A$80='Imports 2023'!$A24,'[4]Raw Imports 2023'!$D$8:$CR$80)))</f>
        <v>5086</v>
      </c>
      <c r="P24" s="29" cm="1">
        <f t="array" ref="P24">SUM(IF('[4]Raw Imports 2023'!$D$5:$CR$5='Imports 2023'!P$6,IF('[4]Raw Imports 2023'!$A$8:$A$80='Imports 2023'!$A24,'[4]Raw Imports 2023'!$D$8:$CR$80)))</f>
        <v>4345</v>
      </c>
      <c r="Q24" s="29" cm="1">
        <f t="array" ref="Q24">SUM(IF('[4]Raw Imports 2023'!$D$5:$CR$5='Imports 2023'!Q$6,IF('[4]Raw Imports 2023'!$A$8:$A$80='Imports 2023'!$A24,'[4]Raw Imports 2023'!$D$8:$CR$80)))</f>
        <v>11338</v>
      </c>
      <c r="R24" s="29">
        <f t="shared" si="1"/>
        <v>167498</v>
      </c>
      <c r="S24" s="29" cm="1">
        <f t="array" ref="S24">SUM(IF('[4]Raw Imports 2023'!$D$5:$CR$5='Imports 2023'!S$6,IF('[4]Raw Imports 2023'!$A$8:$A$80='Imports 2023'!$A24,'[4]Raw Imports 2023'!$D$8:$CR$80)))</f>
        <v>159498</v>
      </c>
      <c r="T24" s="30">
        <v>0</v>
      </c>
      <c r="U24" s="29">
        <f t="shared" si="10"/>
        <v>159498</v>
      </c>
      <c r="V24" s="29" cm="1">
        <f t="array" ref="V24">SUM(IF('[4]Raw Imports 2023'!$D$5:$CR$5='Imports 2023'!V$6,IF('[4]Raw Imports 2023'!$A$8:$A$80='Imports 2023'!$A24,'[4]Raw Imports 2023'!$D$8:$CR$80)))</f>
        <v>12955</v>
      </c>
      <c r="W24" s="29" cm="1">
        <f t="array" ref="W24">SUM(IF('[4]Raw Imports 2023'!$D$5:$CR$5='Imports 2023'!W$6,IF('[4]Raw Imports 2023'!$A$8:$A$80='Imports 2023'!$A24,'[4]Raw Imports 2023'!$D$8:$CR$80)))</f>
        <v>0</v>
      </c>
      <c r="X24" s="29" cm="1">
        <f t="array" ref="X24">SUM(IF('[4]Raw Imports 2023'!$D$5:$CR$5='Imports 2023'!X$6,IF('[4]Raw Imports 2023'!$A$8:$A$80='Imports 2023'!$A24,'[4]Raw Imports 2023'!$D$8:$CR$80)))</f>
        <v>0</v>
      </c>
      <c r="Y24" s="29" cm="1">
        <f t="array" ref="Y24">SUM(IF('[4]Raw Imports 2023'!$D$5:$CR$5='Imports 2023'!Y$6,IF('[4]Raw Imports 2023'!$A$8:$A$80='Imports 2023'!$A24,'[4]Raw Imports 2023'!$D$8:$CR$80)))</f>
        <v>0</v>
      </c>
      <c r="Z24" s="29" cm="1">
        <f t="array" ref="Z24">SUM(IF('[4]Raw Imports 2023'!$D$5:$CR$5='Imports 2023'!Z$6,IF('[4]Raw Imports 2023'!$A$8:$A$80='Imports 2023'!$A24,'[4]Raw Imports 2023'!$D$8:$CR$80)))</f>
        <v>-167503</v>
      </c>
      <c r="AA24" s="29" cm="1">
        <f t="array" ref="AA24">SUM(IF('[4]Raw Imports 2023'!$D$5:$CR$5='Imports 2023'!AA$6,IF('[4]Raw Imports 2023'!$A$8:$A$80='Imports 2023'!$A24,'[4]Raw Imports 2023'!$D$8:$CR$80)))</f>
        <v>-339956</v>
      </c>
      <c r="AB24" s="29">
        <f t="shared" si="3"/>
        <v>167498</v>
      </c>
      <c r="AC24" s="29">
        <f t="shared" si="4"/>
        <v>331951</v>
      </c>
      <c r="AD24" s="29">
        <f t="shared" si="5"/>
        <v>499449</v>
      </c>
      <c r="AF24" s="29">
        <v>0</v>
      </c>
      <c r="AM24" s="32">
        <f>R24/'[4]Use 2023'!R24</f>
        <v>0.99997014978836196</v>
      </c>
      <c r="AN24" s="33">
        <f t="shared" si="0"/>
        <v>0</v>
      </c>
      <c r="AO24" s="27">
        <f>R24*AF24/'[4]Use 2023'!R24</f>
        <v>0</v>
      </c>
      <c r="AQ24" s="27">
        <f>'[4]Use 2023'!V24</f>
        <v>198736</v>
      </c>
      <c r="AW24" s="29">
        <f>'[4]Use 2023'!T24-V24</f>
        <v>0</v>
      </c>
      <c r="AZ24" s="33">
        <f t="shared" si="8"/>
        <v>0</v>
      </c>
      <c r="BA24" s="27">
        <f>AW24*R24/'[4]Use 2023'!R24</f>
        <v>0</v>
      </c>
    </row>
    <row r="25" spans="1:53">
      <c r="A25" s="27" t="s">
        <v>3752</v>
      </c>
      <c r="B25" s="34" t="s">
        <v>3734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  <c r="S25" s="34"/>
      <c r="T25" s="34"/>
      <c r="U25" s="34"/>
      <c r="V25" s="34"/>
      <c r="W25" s="34"/>
      <c r="X25" s="34"/>
      <c r="Y25" s="34"/>
      <c r="Z25" s="34"/>
      <c r="AB25" s="29"/>
      <c r="AC25" s="29"/>
      <c r="AD25" s="29"/>
    </row>
    <row r="26" spans="1:53">
      <c r="A26" s="27" t="s">
        <v>3753</v>
      </c>
      <c r="B26" s="27" t="s">
        <v>3754</v>
      </c>
      <c r="P26" s="29"/>
      <c r="R26" s="35">
        <f>SUM(R13:R24)</f>
        <v>398119</v>
      </c>
      <c r="Z26" s="35"/>
      <c r="AB26" s="29"/>
      <c r="AC26" s="29"/>
      <c r="AD26" s="29"/>
    </row>
    <row r="27" spans="1:53">
      <c r="A27" s="27" t="s">
        <v>3755</v>
      </c>
      <c r="B27" s="27" t="s">
        <v>3756</v>
      </c>
      <c r="R27" s="35" t="s">
        <v>3757</v>
      </c>
      <c r="S27" s="29">
        <f>SUM(S8:S24)</f>
        <v>1125143</v>
      </c>
      <c r="T27" s="29"/>
      <c r="U27" s="29"/>
      <c r="V27" s="29">
        <f>SUM(V8:V24)</f>
        <v>500389</v>
      </c>
      <c r="Z27" s="35"/>
      <c r="AB27" s="29"/>
      <c r="AC27" s="29"/>
      <c r="AD27" s="29"/>
    </row>
    <row r="28" spans="1:53">
      <c r="A28" s="27" t="s">
        <v>3758</v>
      </c>
      <c r="B28" s="27" t="s">
        <v>3759</v>
      </c>
      <c r="P28" s="29">
        <f>SUM(R8:S12,V8:Y12)</f>
        <v>2826871</v>
      </c>
      <c r="R28" s="35" t="s">
        <v>2119</v>
      </c>
      <c r="S28" s="33">
        <v>18822769</v>
      </c>
      <c r="T28" s="33"/>
      <c r="U28" s="33" t="s">
        <v>3760</v>
      </c>
      <c r="V28" s="27">
        <f>4943.1*1000</f>
        <v>4943100</v>
      </c>
      <c r="Z28" s="34"/>
      <c r="AB28" s="29"/>
      <c r="AC28" s="29"/>
      <c r="AD28" s="29"/>
    </row>
    <row r="29" spans="1:53">
      <c r="A29" s="27" t="s">
        <v>3761</v>
      </c>
      <c r="B29" s="27" t="s">
        <v>3762</v>
      </c>
      <c r="R29" s="35"/>
      <c r="Z29" s="34"/>
      <c r="AB29" s="29"/>
      <c r="AC29" s="29"/>
      <c r="AD29" s="29"/>
      <c r="AN29" s="27">
        <v>-192725</v>
      </c>
      <c r="AZ29" s="27">
        <v>0</v>
      </c>
    </row>
    <row r="30" spans="1:53">
      <c r="A30" s="27" t="s">
        <v>3763</v>
      </c>
      <c r="B30" s="34" t="s">
        <v>3764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 t="s">
        <v>3765</v>
      </c>
      <c r="S30" s="34">
        <f>S27/S28</f>
        <v>5.9775636623920742E-2</v>
      </c>
      <c r="T30" s="34"/>
      <c r="U30" s="34"/>
      <c r="V30" s="34">
        <f>V27/V28</f>
        <v>0.10122979506787239</v>
      </c>
      <c r="W30" s="34"/>
      <c r="X30" s="34"/>
      <c r="Y30" s="34"/>
      <c r="Z30" s="34"/>
      <c r="AB30" s="29"/>
      <c r="AC30" s="29"/>
      <c r="AD30" s="29"/>
    </row>
    <row r="31" spans="1:53">
      <c r="A31" s="27" t="s">
        <v>3766</v>
      </c>
      <c r="B31" s="34" t="s">
        <v>3767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  <c r="S31" s="34"/>
      <c r="T31" s="34"/>
      <c r="U31" s="34"/>
      <c r="V31" s="34"/>
      <c r="W31" s="34"/>
      <c r="X31" s="34"/>
      <c r="Y31" s="34"/>
      <c r="Z31" s="34"/>
      <c r="AB31" s="29"/>
      <c r="AC31" s="29"/>
      <c r="AD31" s="29"/>
    </row>
    <row r="32" spans="1:53">
      <c r="A32" s="27" t="s">
        <v>3768</v>
      </c>
      <c r="B32" s="27" t="s">
        <v>3769</v>
      </c>
      <c r="R32" s="35" t="s">
        <v>3770</v>
      </c>
      <c r="S32" s="30">
        <f>SUM(AN8:AN24)</f>
        <v>826976.87259133742</v>
      </c>
      <c r="T32" s="30"/>
      <c r="U32" s="30"/>
      <c r="V32" s="30">
        <f>SUM(AZ8:AZ24)</f>
        <v>271220.55375793931</v>
      </c>
      <c r="X32" s="27" t="s">
        <v>3771</v>
      </c>
      <c r="Z32" s="34"/>
      <c r="AB32" s="29"/>
      <c r="AC32" s="29"/>
      <c r="AD32" s="29"/>
    </row>
    <row r="33" spans="1:31">
      <c r="A33" s="27" t="s">
        <v>3772</v>
      </c>
      <c r="B33" s="27" t="s">
        <v>3773</v>
      </c>
      <c r="P33" s="29"/>
      <c r="R33" s="35"/>
      <c r="X33" s="27" t="s">
        <v>2119</v>
      </c>
      <c r="Y33" s="198">
        <f>S32+S27</f>
        <v>1952119.8725913374</v>
      </c>
      <c r="Z33" s="34">
        <f>Y33/Y34</f>
        <v>2.5299322216579689</v>
      </c>
      <c r="AB33" s="29"/>
      <c r="AC33" s="29"/>
      <c r="AD33" s="29"/>
    </row>
    <row r="34" spans="1:31">
      <c r="A34" s="27" t="s">
        <v>3774</v>
      </c>
      <c r="B34" s="34" t="s">
        <v>3775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 t="s">
        <v>3776</v>
      </c>
      <c r="S34" s="36">
        <f>S32/S28</f>
        <v>4.3934921189934244E-2</v>
      </c>
      <c r="T34" s="36"/>
      <c r="U34" s="36"/>
      <c r="V34" s="36">
        <f>V32/V28</f>
        <v>5.4868514445983153E-2</v>
      </c>
      <c r="W34" s="34"/>
      <c r="X34" s="34" t="s">
        <v>3777</v>
      </c>
      <c r="Y34" s="199">
        <f>V32+V27</f>
        <v>771609.55375793925</v>
      </c>
      <c r="Z34" s="34"/>
      <c r="AB34" s="29"/>
      <c r="AC34" s="29"/>
      <c r="AD34" s="29"/>
    </row>
    <row r="36" spans="1:31">
      <c r="R36" s="27" t="s">
        <v>52</v>
      </c>
      <c r="S36" s="32">
        <f>S34+S30</f>
        <v>0.10371055781385499</v>
      </c>
      <c r="T36" s="32"/>
      <c r="U36" s="32"/>
      <c r="V36" s="32">
        <f>V34+V30</f>
        <v>0.15609830951385553</v>
      </c>
    </row>
    <row r="38" spans="1:31">
      <c r="T38" s="31">
        <f>S40/S28</f>
        <v>0.32534596796039944</v>
      </c>
      <c r="U38" s="32">
        <f>S45*T38</f>
        <v>8.5319295898184461E-2</v>
      </c>
      <c r="AA38" s="27" t="s">
        <v>2114</v>
      </c>
      <c r="AB38" s="27" t="s">
        <v>3778</v>
      </c>
      <c r="AC38" s="27" t="s">
        <v>3779</v>
      </c>
      <c r="AE38" s="27" t="s">
        <v>2119</v>
      </c>
    </row>
    <row r="39" spans="1:31">
      <c r="Z39" s="27" t="s">
        <v>2120</v>
      </c>
      <c r="AA39" s="31">
        <f>S40/S28</f>
        <v>0.32534596796039944</v>
      </c>
      <c r="AB39" s="37">
        <f>S45</f>
        <v>0.26224174970740494</v>
      </c>
      <c r="AC39" s="30">
        <v>18.272500000000001</v>
      </c>
      <c r="AD39" s="31"/>
      <c r="AE39" s="27">
        <f>SUMPRODUCT(AA39:AA40,AB39:AB40,AC39:AC40)</f>
        <v>1.5589968342995757</v>
      </c>
    </row>
    <row r="40" spans="1:31">
      <c r="R40" s="27" t="s">
        <v>2120</v>
      </c>
      <c r="S40" s="27">
        <v>6123912</v>
      </c>
      <c r="T40" s="27">
        <f>SUM('[4]Use 2023'!S8:S12)</f>
        <v>5826636</v>
      </c>
      <c r="U40" s="27">
        <f>(S41+S43)/S28</f>
        <v>8.5319295898184447E-2</v>
      </c>
      <c r="Z40" s="27" t="s">
        <v>28</v>
      </c>
      <c r="AA40" s="31">
        <f>1-AA39</f>
        <v>0.67465403203960062</v>
      </c>
      <c r="AB40" s="38">
        <f>S52</f>
        <v>2.7260288222589801E-2</v>
      </c>
      <c r="AC40" s="30">
        <v>0</v>
      </c>
    </row>
    <row r="41" spans="1:31">
      <c r="R41" s="27" t="s">
        <v>3780</v>
      </c>
      <c r="S41" s="29">
        <f>SUM(S8:S12)+S23</f>
        <v>890323</v>
      </c>
      <c r="T41" s="29"/>
      <c r="U41" s="29"/>
    </row>
    <row r="42" spans="1:31">
      <c r="R42" s="27" t="s">
        <v>3765</v>
      </c>
      <c r="S42" s="27">
        <f>S41/S40</f>
        <v>0.14538468220967252</v>
      </c>
      <c r="U42" s="31">
        <f>S41+S43</f>
        <v>1605945.3979341735</v>
      </c>
      <c r="AA42" s="27" t="s">
        <v>32</v>
      </c>
      <c r="AB42" s="27" t="s">
        <v>3781</v>
      </c>
    </row>
    <row r="43" spans="1:31">
      <c r="R43" s="27" t="s">
        <v>3782</v>
      </c>
      <c r="S43" s="31">
        <f>SUM(AN8:AN12,AN23)</f>
        <v>715622.39793417347</v>
      </c>
      <c r="Z43" s="27" t="s">
        <v>2120</v>
      </c>
      <c r="AA43" s="27">
        <v>0.16545000000000001</v>
      </c>
      <c r="AB43" s="27">
        <f>1-AA43</f>
        <v>0.83455000000000001</v>
      </c>
      <c r="AD43" s="27" t="s">
        <v>3783</v>
      </c>
    </row>
    <row r="44" spans="1:31">
      <c r="R44" s="27" t="s">
        <v>3784</v>
      </c>
      <c r="S44" s="27">
        <f>S43/S40</f>
        <v>0.11685706749773241</v>
      </c>
      <c r="Z44" s="27" t="s">
        <v>3779</v>
      </c>
      <c r="AA44" s="27">
        <v>60</v>
      </c>
      <c r="AB44" s="27">
        <v>10</v>
      </c>
      <c r="AD44" s="27">
        <f>SUMPRODUCT(AA43:AB43,AA44:AB44)</f>
        <v>18.272500000000001</v>
      </c>
    </row>
    <row r="45" spans="1:31">
      <c r="R45" s="27" t="s">
        <v>52</v>
      </c>
      <c r="S45" s="39">
        <f>S44+S42</f>
        <v>0.26224174970740494</v>
      </c>
      <c r="T45" s="39"/>
      <c r="U45" s="39"/>
    </row>
    <row r="47" spans="1:31">
      <c r="R47" s="27" t="s">
        <v>28</v>
      </c>
      <c r="S47" s="27">
        <v>12698856</v>
      </c>
    </row>
    <row r="48" spans="1:31">
      <c r="R48" s="27" t="s">
        <v>3780</v>
      </c>
      <c r="S48" s="29">
        <f>SUM(S13:S24)-S23</f>
        <v>234820</v>
      </c>
      <c r="T48" s="29"/>
      <c r="U48" s="29"/>
    </row>
    <row r="49" spans="18:21">
      <c r="R49" s="27" t="s">
        <v>3765</v>
      </c>
      <c r="S49" s="32">
        <f>S48/S47</f>
        <v>1.8491429464197406E-2</v>
      </c>
      <c r="T49" s="32"/>
      <c r="U49" s="32"/>
    </row>
    <row r="50" spans="18:21">
      <c r="R50" s="27" t="s">
        <v>3782</v>
      </c>
      <c r="S50" s="31">
        <f>SUM(AN13:AN24)-AN23</f>
        <v>111354.47465716382</v>
      </c>
    </row>
    <row r="51" spans="18:21">
      <c r="R51" s="27" t="s">
        <v>3784</v>
      </c>
      <c r="S51" s="32">
        <f>S50/S47</f>
        <v>8.7688587583923949E-3</v>
      </c>
      <c r="T51" s="32"/>
      <c r="U51" s="32"/>
    </row>
    <row r="52" spans="18:21">
      <c r="R52" s="27" t="s">
        <v>52</v>
      </c>
      <c r="S52" s="38">
        <f>S51+S49</f>
        <v>2.7260288222589801E-2</v>
      </c>
      <c r="T52" s="38"/>
      <c r="U52" s="38"/>
    </row>
  </sheetData>
  <mergeCells count="5">
    <mergeCell ref="A1:Z1"/>
    <mergeCell ref="A2:Z2"/>
    <mergeCell ref="A3:Z3"/>
    <mergeCell ref="A4:Z4"/>
    <mergeCell ref="A6:A7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f920677-3304-433e-be05-2e1ad2081a3e" xsi:nil="true"/>
    <lcf76f155ced4ddcb4097134ff3c332f xmlns="53eb200e-4eea-4efa-b94a-d26410433f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F0C640B5A97941AD0E01237FDE13AD" ma:contentTypeVersion="15" ma:contentTypeDescription="Create a new document." ma:contentTypeScope="" ma:versionID="10f0d7248c3674d50e07b22d3f936981">
  <xsd:schema xmlns:xsd="http://www.w3.org/2001/XMLSchema" xmlns:xs="http://www.w3.org/2001/XMLSchema" xmlns:p="http://schemas.microsoft.com/office/2006/metadata/properties" xmlns:ns2="53eb200e-4eea-4efa-b94a-d26410433f56" xmlns:ns3="6f920677-3304-433e-be05-2e1ad2081a3e" targetNamespace="http://schemas.microsoft.com/office/2006/metadata/properties" ma:root="true" ma:fieldsID="1659f828d48f44a42c879bf2ff6b986c" ns2:_="" ns3:_="">
    <xsd:import namespace="53eb200e-4eea-4efa-b94a-d26410433f56"/>
    <xsd:import namespace="6f920677-3304-433e-be05-2e1ad2081a3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eb200e-4eea-4efa-b94a-d26410433f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d9ce95e-1345-4484-817e-41007f7553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920677-3304-433e-be05-2e1ad2081a3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d69c74b6-6e82-40cd-a50c-16285d3a1c19}" ma:internalName="TaxCatchAll" ma:showField="CatchAllData" ma:web="6f920677-3304-433e-be05-2e1ad2081a3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51E053-03D6-4A13-989D-EB36256E7C97}"/>
</file>

<file path=customXml/itemProps2.xml><?xml version="1.0" encoding="utf-8"?>
<ds:datastoreItem xmlns:ds="http://schemas.openxmlformats.org/officeDocument/2006/customXml" ds:itemID="{CCFA3C19-0851-4289-8C7E-966021096D8B}"/>
</file>

<file path=customXml/itemProps3.xml><?xml version="1.0" encoding="utf-8"?>
<ds:datastoreItem xmlns:ds="http://schemas.openxmlformats.org/officeDocument/2006/customXml" ds:itemID="{999EB699-3B88-44CF-9B0E-E6B928C209A8}"/>
</file>

<file path=customXml/itemProps4.xml><?xml version="1.0" encoding="utf-8"?>
<ds:datastoreItem xmlns:ds="http://schemas.openxmlformats.org/officeDocument/2006/customXml" ds:itemID="{B9527B64-970C-4EC6-A6C9-D547FD7710D6}"/>
</file>

<file path=docMetadata/LabelInfo.xml><?xml version="1.0" encoding="utf-8"?>
<clbl:labelList xmlns:clbl="http://schemas.microsoft.com/office/2020/mipLabelMetadata">
  <clbl:label id="{dd8cbebb-2139-4df8-b411-4e3e87abeb5c}" enabled="0" method="" siteId="{dd8cbebb-2139-4df8-b411-4e3e87abeb5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Ernie Tedeschi</dc:creator>
  <cp:keywords/>
  <dc:description/>
  <cp:lastModifiedBy/>
  <cp:revision/>
  <dcterms:created xsi:type="dcterms:W3CDTF">2024-08-05T21:23:10Z</dcterms:created>
  <dcterms:modified xsi:type="dcterms:W3CDTF">2026-01-05T17:39:19Z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0x0101008BF0C640B5A97941AD0E01237FDE13AD</vt:lpwstr>
  </property>
  <property fmtid="{D5CDD505-2E9C-101B-9397-08002B2CF9AE}" pid="3" name="MediaServiceImageTags">
    <vt:lpwstr/>
  </property>
</Properties>
</file>