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705 blast load on cable facade model\software\"/>
    </mc:Choice>
  </mc:AlternateContent>
  <bookViews>
    <workbookView xWindow="360" yWindow="240" windowWidth="4275" windowHeight="7260" activeTab="1"/>
  </bookViews>
  <sheets>
    <sheet name="폭압 파라메터 산정" sheetId="4" r:id="rId1"/>
    <sheet name="하중계산" sheetId="10" r:id="rId2"/>
    <sheet name="Graph" sheetId="7" r:id="rId3"/>
    <sheet name="파라메터 UFC 비교 차트" sheetId="8" r:id="rId4"/>
  </sheets>
  <definedNames>
    <definedName name="_xlnm.Print_Area" localSheetId="0">'폭압 파라메터 산정'!$C$6</definedName>
    <definedName name="_xlnm.Print_Area" localSheetId="1">하중계산!$A$1:$L$92</definedName>
    <definedName name="강종" localSheetId="2">#REF!</definedName>
    <definedName name="강종" localSheetId="1">#REF!</definedName>
    <definedName name="강종">#REF!</definedName>
    <definedName name="밀도" localSheetId="2">#REF!</definedName>
    <definedName name="밀도" localSheetId="1">#REF!</definedName>
    <definedName name="밀도">#REF!</definedName>
    <definedName name="알루미늄" localSheetId="2">#REF!</definedName>
    <definedName name="알루미늄" localSheetId="1">#REF!</definedName>
    <definedName name="알루미늄">#REF!</definedName>
    <definedName name="종류" localSheetId="2">#REF!</definedName>
    <definedName name="종류" localSheetId="1">#REF!</definedName>
    <definedName name="종류">#REF!</definedName>
    <definedName name="폭파위치" localSheetId="2">#REF!</definedName>
    <definedName name="폭파위치" localSheetId="1">#REF!</definedName>
    <definedName name="폭파위치">#REF!</definedName>
    <definedName name="흡수능력" localSheetId="2">#REF!</definedName>
    <definedName name="흡수능력" localSheetId="1">#REF!</definedName>
    <definedName name="흡수능력">#REF!</definedName>
  </definedNames>
  <calcPr calcId="171027"/>
</workbook>
</file>

<file path=xl/calcChain.xml><?xml version="1.0" encoding="utf-8"?>
<calcChain xmlns="http://schemas.openxmlformats.org/spreadsheetml/2006/main">
  <c r="F76" i="10" l="1"/>
  <c r="M75" i="10"/>
  <c r="F75" i="10"/>
  <c r="D75" i="10"/>
  <c r="C67" i="10"/>
  <c r="D45" i="10"/>
  <c r="M14" i="10"/>
  <c r="M10" i="10"/>
  <c r="G35" i="10" s="1"/>
  <c r="F38" i="10" l="1"/>
  <c r="O29" i="8" l="1"/>
  <c r="Q31" i="8"/>
  <c r="O27" i="8"/>
  <c r="M27" i="8"/>
  <c r="I24" i="8"/>
  <c r="I31" i="8" s="1"/>
  <c r="E29" i="8"/>
  <c r="G29" i="8"/>
  <c r="I29" i="8"/>
  <c r="J29" i="8"/>
  <c r="K29" i="8"/>
  <c r="E30" i="8"/>
  <c r="G32" i="8"/>
  <c r="M21" i="8"/>
  <c r="M28" i="8" s="1"/>
  <c r="O21" i="8"/>
  <c r="O28" i="8" s="1"/>
  <c r="P21" i="8"/>
  <c r="P28" i="8" s="1"/>
  <c r="Q21" i="8"/>
  <c r="Q28" i="8" s="1"/>
  <c r="R21" i="8"/>
  <c r="R28" i="8" s="1"/>
  <c r="S21" i="8"/>
  <c r="S28" i="8" s="1"/>
  <c r="M22" i="8"/>
  <c r="M29" i="8" s="1"/>
  <c r="O22" i="8"/>
  <c r="Q22" i="8"/>
  <c r="Q29" i="8" s="1"/>
  <c r="M23" i="8"/>
  <c r="M30" i="8" s="1"/>
  <c r="O23" i="8"/>
  <c r="O30" i="8" s="1"/>
  <c r="Q23" i="8"/>
  <c r="Q30" i="8" s="1"/>
  <c r="S23" i="8"/>
  <c r="S30" i="8" s="1"/>
  <c r="M24" i="8"/>
  <c r="M31" i="8" s="1"/>
  <c r="N24" i="8"/>
  <c r="N31" i="8" s="1"/>
  <c r="O24" i="8"/>
  <c r="O31" i="8" s="1"/>
  <c r="Q24" i="8"/>
  <c r="M25" i="8"/>
  <c r="M32" i="8" s="1"/>
  <c r="O25" i="8"/>
  <c r="O32" i="8" s="1"/>
  <c r="Q25" i="8"/>
  <c r="Q32" i="8" s="1"/>
  <c r="Q20" i="8"/>
  <c r="Q27" i="8" s="1"/>
  <c r="O20" i="8"/>
  <c r="M20" i="8"/>
  <c r="E23" i="8"/>
  <c r="G23" i="8"/>
  <c r="G30" i="8" s="1"/>
  <c r="I23" i="8"/>
  <c r="I30" i="8" s="1"/>
  <c r="E24" i="8"/>
  <c r="E31" i="8" s="1"/>
  <c r="G24" i="8"/>
  <c r="G31" i="8" s="1"/>
  <c r="J24" i="8"/>
  <c r="J31" i="8" s="1"/>
  <c r="K24" i="8"/>
  <c r="K31" i="8" s="1"/>
  <c r="E25" i="8"/>
  <c r="E32" i="8" s="1"/>
  <c r="G25" i="8"/>
  <c r="I25" i="8"/>
  <c r="I32" i="8" s="1"/>
  <c r="E22" i="8"/>
  <c r="G22" i="8"/>
  <c r="I22" i="8"/>
  <c r="J22" i="8"/>
  <c r="K22" i="8"/>
  <c r="E21" i="8"/>
  <c r="E28" i="8" s="1"/>
  <c r="F21" i="8"/>
  <c r="F28" i="8" s="1"/>
  <c r="G21" i="8"/>
  <c r="G28" i="8" s="1"/>
  <c r="I21" i="8"/>
  <c r="I28" i="8" s="1"/>
  <c r="B21" i="8"/>
  <c r="B22" i="8"/>
  <c r="B23" i="8"/>
  <c r="C23" i="8"/>
  <c r="C24" i="8"/>
  <c r="I20" i="8"/>
  <c r="I27" i="8" s="1"/>
  <c r="G20" i="8"/>
  <c r="G27" i="8" s="1"/>
  <c r="E20" i="8"/>
  <c r="E27" i="8" s="1"/>
  <c r="D13" i="8"/>
  <c r="D21" i="8" s="1"/>
  <c r="D14" i="8"/>
  <c r="D22" i="8" s="1"/>
  <c r="D15" i="8"/>
  <c r="D23" i="8" s="1"/>
  <c r="B13" i="8"/>
  <c r="B14" i="8"/>
  <c r="B15" i="8"/>
  <c r="B16" i="8"/>
  <c r="D16" i="8" s="1"/>
  <c r="D24" i="8" s="1"/>
  <c r="B17" i="8"/>
  <c r="B25" i="8" s="1"/>
  <c r="B12" i="8"/>
  <c r="D12" i="8" s="1"/>
  <c r="D20" i="8" s="1"/>
  <c r="C13" i="8"/>
  <c r="H21" i="8" s="1"/>
  <c r="H28" i="8" s="1"/>
  <c r="C14" i="8"/>
  <c r="N22" i="8" s="1"/>
  <c r="N29" i="8" s="1"/>
  <c r="C15" i="8"/>
  <c r="H23" i="8" s="1"/>
  <c r="H30" i="8" s="1"/>
  <c r="C16" i="8"/>
  <c r="P24" i="8" s="1"/>
  <c r="P31" i="8" s="1"/>
  <c r="C17" i="8"/>
  <c r="F25" i="8" s="1"/>
  <c r="F32" i="8" s="1"/>
  <c r="C12" i="8"/>
  <c r="C20" i="8" s="1"/>
  <c r="D5" i="8"/>
  <c r="D6" i="8"/>
  <c r="D7" i="8"/>
  <c r="D8" i="8"/>
  <c r="D9" i="8"/>
  <c r="D4" i="8"/>
  <c r="R20" i="8" l="1"/>
  <c r="R27" i="8" s="1"/>
  <c r="S20" i="8"/>
  <c r="S27" i="8" s="1"/>
  <c r="N20" i="8"/>
  <c r="N27" i="8" s="1"/>
  <c r="H22" i="8"/>
  <c r="H29" i="8" s="1"/>
  <c r="P20" i="8"/>
  <c r="P27" i="8" s="1"/>
  <c r="F20" i="8"/>
  <c r="F27" i="8" s="1"/>
  <c r="H20" i="8"/>
  <c r="H27" i="8" s="1"/>
  <c r="K23" i="8"/>
  <c r="K30" i="8" s="1"/>
  <c r="B24" i="8"/>
  <c r="J25" i="8"/>
  <c r="J32" i="8" s="1"/>
  <c r="R22" i="8"/>
  <c r="R29" i="8" s="1"/>
  <c r="H24" i="8"/>
  <c r="H31" i="8" s="1"/>
  <c r="F24" i="8"/>
  <c r="F31" i="8" s="1"/>
  <c r="C22" i="8"/>
  <c r="N21" i="8"/>
  <c r="N28" i="8" s="1"/>
  <c r="J23" i="8"/>
  <c r="J30" i="8" s="1"/>
  <c r="B20" i="8"/>
  <c r="F23" i="8"/>
  <c r="F30" i="8" s="1"/>
  <c r="S24" i="8"/>
  <c r="S31" i="8" s="1"/>
  <c r="R23" i="8"/>
  <c r="R30" i="8" s="1"/>
  <c r="J20" i="8"/>
  <c r="J27" i="8" s="1"/>
  <c r="N23" i="8"/>
  <c r="N30" i="8" s="1"/>
  <c r="K20" i="8"/>
  <c r="K27" i="8" s="1"/>
  <c r="S22" i="8"/>
  <c r="S29" i="8" s="1"/>
  <c r="J21" i="8"/>
  <c r="J28" i="8" s="1"/>
  <c r="H25" i="8"/>
  <c r="H32" i="8" s="1"/>
  <c r="R24" i="8"/>
  <c r="R31" i="8" s="1"/>
  <c r="P22" i="8"/>
  <c r="P29" i="8" s="1"/>
  <c r="S25" i="8"/>
  <c r="S32" i="8" s="1"/>
  <c r="P23" i="8"/>
  <c r="P30" i="8" s="1"/>
  <c r="F22" i="8"/>
  <c r="F29" i="8" s="1"/>
  <c r="C21" i="8"/>
  <c r="K25" i="8"/>
  <c r="K32" i="8" s="1"/>
  <c r="N25" i="8"/>
  <c r="N32" i="8" s="1"/>
  <c r="D17" i="8"/>
  <c r="D25" i="8" s="1"/>
  <c r="C25" i="8"/>
  <c r="R25" i="8"/>
  <c r="R32" i="8" s="1"/>
  <c r="P25" i="8"/>
  <c r="P32" i="8" s="1"/>
  <c r="K21" i="8"/>
  <c r="K28" i="8" s="1"/>
  <c r="B8" i="7"/>
  <c r="B9" i="7" s="1"/>
  <c r="B10" i="7" l="1"/>
  <c r="B11" i="7" l="1"/>
  <c r="C10" i="4"/>
  <c r="B12" i="7" l="1"/>
  <c r="L2" i="4"/>
  <c r="L9" i="4" s="1"/>
  <c r="B13" i="7" l="1"/>
  <c r="L10" i="4"/>
  <c r="L16" i="4" s="1"/>
  <c r="B14" i="7" l="1"/>
  <c r="AV16" i="4"/>
  <c r="AN16" i="4"/>
  <c r="AF16" i="4"/>
  <c r="X16" i="4"/>
  <c r="P16" i="4"/>
  <c r="AP16" i="4"/>
  <c r="AD16" i="4"/>
  <c r="T16" i="4"/>
  <c r="AX16" i="4"/>
  <c r="AL16" i="4"/>
  <c r="AB16" i="4"/>
  <c r="R16" i="4"/>
  <c r="AT16" i="4"/>
  <c r="AJ16" i="4"/>
  <c r="Z16" i="4"/>
  <c r="N16" i="4"/>
  <c r="AR16" i="4"/>
  <c r="AH16" i="4"/>
  <c r="V16" i="4"/>
  <c r="B15" i="7" l="1"/>
  <c r="L19" i="4"/>
  <c r="L24" i="4"/>
  <c r="L21" i="4"/>
  <c r="L20" i="4"/>
  <c r="L18" i="4"/>
  <c r="L25" i="4"/>
  <c r="L23" i="4"/>
  <c r="L22" i="4"/>
  <c r="N21" i="4"/>
  <c r="N19" i="4"/>
  <c r="N18" i="4"/>
  <c r="N20" i="4"/>
  <c r="R26" i="4"/>
  <c r="R25" i="4"/>
  <c r="R23" i="4"/>
  <c r="R22" i="4"/>
  <c r="R21" i="4"/>
  <c r="R20" i="4"/>
  <c r="R19" i="4"/>
  <c r="R24" i="4"/>
  <c r="R18" i="4"/>
  <c r="T19" i="4"/>
  <c r="T20" i="4"/>
  <c r="T18" i="4"/>
  <c r="X21" i="4"/>
  <c r="X20" i="4"/>
  <c r="X18" i="4"/>
  <c r="X23" i="4"/>
  <c r="X22" i="4"/>
  <c r="X19" i="4"/>
  <c r="X24" i="4"/>
  <c r="V30" i="4"/>
  <c r="V25" i="4"/>
  <c r="V23" i="4"/>
  <c r="V22" i="4"/>
  <c r="V20" i="4"/>
  <c r="V27" i="4"/>
  <c r="V26" i="4"/>
  <c r="V21" i="4"/>
  <c r="V19" i="4"/>
  <c r="V18" i="4"/>
  <c r="V28" i="4"/>
  <c r="V24" i="4"/>
  <c r="V29" i="4"/>
  <c r="Z24" i="4"/>
  <c r="Z21" i="4"/>
  <c r="Z18" i="4"/>
  <c r="Z20" i="4"/>
  <c r="Z19" i="4"/>
  <c r="Z25" i="4"/>
  <c r="Z22" i="4"/>
  <c r="Z23" i="4"/>
  <c r="AB19" i="4"/>
  <c r="AB24" i="4"/>
  <c r="AB25" i="4"/>
  <c r="AB23" i="4"/>
  <c r="AB22" i="4"/>
  <c r="AB20" i="4"/>
  <c r="AB21" i="4"/>
  <c r="AB18" i="4"/>
  <c r="AD23" i="4"/>
  <c r="AD22" i="4"/>
  <c r="AD20" i="4"/>
  <c r="AD21" i="4"/>
  <c r="AD19" i="4"/>
  <c r="AD18" i="4"/>
  <c r="AD24" i="4"/>
  <c r="AF21" i="4"/>
  <c r="AF20" i="4"/>
  <c r="AF18" i="4"/>
  <c r="AF27" i="4"/>
  <c r="AF26" i="4"/>
  <c r="AF28" i="4"/>
  <c r="AF25" i="4"/>
  <c r="AF23" i="4"/>
  <c r="AF22" i="4"/>
  <c r="AF19" i="4"/>
  <c r="AF24" i="4"/>
  <c r="AH20" i="4"/>
  <c r="AH19" i="4"/>
  <c r="AH21" i="4"/>
  <c r="AH18" i="4"/>
  <c r="AJ24" i="4"/>
  <c r="AJ19" i="4"/>
  <c r="AJ23" i="4"/>
  <c r="AJ22" i="4"/>
  <c r="AJ21" i="4"/>
  <c r="AJ18" i="4"/>
  <c r="AJ20" i="4"/>
  <c r="AL28" i="4"/>
  <c r="AL27" i="4"/>
  <c r="AL25" i="4"/>
  <c r="AL24" i="4"/>
  <c r="AL20" i="4"/>
  <c r="AL26" i="4"/>
  <c r="AL21" i="4"/>
  <c r="AL19" i="4"/>
  <c r="AL18" i="4"/>
  <c r="AL22" i="4"/>
  <c r="AL23" i="4"/>
  <c r="AP26" i="4"/>
  <c r="AP23" i="4"/>
  <c r="AP22" i="4"/>
  <c r="AP21" i="4"/>
  <c r="AP31" i="4"/>
  <c r="AP28" i="4"/>
  <c r="AP25" i="4"/>
  <c r="AP24" i="4"/>
  <c r="AP30" i="4"/>
  <c r="AP20" i="4"/>
  <c r="AP19" i="4"/>
  <c r="AP29" i="4"/>
  <c r="AP18" i="4"/>
  <c r="AP27" i="4"/>
  <c r="AN20" i="4"/>
  <c r="AN18" i="4"/>
  <c r="AN19" i="4"/>
  <c r="AR19" i="4"/>
  <c r="AR20" i="4"/>
  <c r="AR18" i="4"/>
  <c r="AR26" i="4"/>
  <c r="AR23" i="4"/>
  <c r="AR22" i="4"/>
  <c r="AR21" i="4"/>
  <c r="AR25" i="4"/>
  <c r="AR24" i="4"/>
  <c r="AT19" i="4"/>
  <c r="AT18" i="4"/>
  <c r="AT22" i="4"/>
  <c r="AT21" i="4"/>
  <c r="AT20" i="4"/>
  <c r="AX22" i="4"/>
  <c r="AX21" i="4"/>
  <c r="AX20" i="4"/>
  <c r="AX19" i="4"/>
  <c r="AX18" i="4"/>
  <c r="P24" i="4"/>
  <c r="P20" i="4"/>
  <c r="P18" i="4"/>
  <c r="P25" i="4"/>
  <c r="P23" i="4"/>
  <c r="P22" i="4"/>
  <c r="P21" i="4"/>
  <c r="P19" i="4"/>
  <c r="AV24" i="4"/>
  <c r="AV20" i="4"/>
  <c r="AV18" i="4"/>
  <c r="AV22" i="4"/>
  <c r="AV21" i="4"/>
  <c r="AV23" i="4"/>
  <c r="AV25" i="4"/>
  <c r="AV19" i="4"/>
  <c r="B16" i="7" l="1"/>
  <c r="AP33" i="4"/>
  <c r="AP35" i="4" s="1"/>
  <c r="T33" i="4"/>
  <c r="T35" i="4" s="1"/>
  <c r="V33" i="4"/>
  <c r="V35" i="4" s="1"/>
  <c r="R33" i="4"/>
  <c r="R34" i="4" s="1"/>
  <c r="L33" i="4"/>
  <c r="L35" i="4" s="1"/>
  <c r="AX33" i="4"/>
  <c r="AT33" i="4"/>
  <c r="AR33" i="4"/>
  <c r="AN33" i="4"/>
  <c r="AJ33" i="4"/>
  <c r="AB33" i="4"/>
  <c r="AV33" i="4"/>
  <c r="P33" i="4"/>
  <c r="Z33" i="4"/>
  <c r="X33" i="4"/>
  <c r="N33" i="4"/>
  <c r="AL33" i="4"/>
  <c r="AH33" i="4"/>
  <c r="AF33" i="4"/>
  <c r="AD33" i="4"/>
  <c r="B17" i="7" l="1"/>
  <c r="AD35" i="4"/>
  <c r="AD34" i="4"/>
  <c r="AX35" i="4"/>
  <c r="AX34" i="4"/>
  <c r="T34" i="4"/>
  <c r="T36" i="4" s="1"/>
  <c r="T37" i="4" s="1"/>
  <c r="T38" i="4" s="1"/>
  <c r="T40" i="4" s="1"/>
  <c r="C17" i="4" s="1"/>
  <c r="L34" i="4"/>
  <c r="L36" i="4" s="1"/>
  <c r="L37" i="4" s="1"/>
  <c r="L38" i="4" s="1"/>
  <c r="L40" i="4" s="1"/>
  <c r="C14" i="4" s="1"/>
  <c r="C10" i="10" s="1"/>
  <c r="V34" i="4"/>
  <c r="V36" i="4" s="1"/>
  <c r="V37" i="4" s="1"/>
  <c r="V38" i="4" s="1"/>
  <c r="V40" i="4" s="1"/>
  <c r="C18" i="4" s="1"/>
  <c r="C13" i="10" s="1"/>
  <c r="R35" i="4"/>
  <c r="R36" i="4" s="1"/>
  <c r="R37" i="4" s="1"/>
  <c r="R38" i="4" s="1"/>
  <c r="R40" i="4" s="1"/>
  <c r="C16" i="4" s="1"/>
  <c r="C11" i="10" s="1"/>
  <c r="AP34" i="4"/>
  <c r="AP36" i="4" s="1"/>
  <c r="AP37" i="4" s="1"/>
  <c r="AP38" i="4" s="1"/>
  <c r="AP40" i="4" s="1"/>
  <c r="E18" i="4" s="1"/>
  <c r="AT34" i="4"/>
  <c r="AT35" i="4"/>
  <c r="N34" i="4"/>
  <c r="N35" i="4"/>
  <c r="AH34" i="4"/>
  <c r="AH35" i="4"/>
  <c r="Z34" i="4"/>
  <c r="Z35" i="4"/>
  <c r="AF35" i="4"/>
  <c r="AF34" i="4"/>
  <c r="X34" i="4"/>
  <c r="X35" i="4"/>
  <c r="AN34" i="4"/>
  <c r="AN35" i="4"/>
  <c r="AL35" i="4"/>
  <c r="AL34" i="4"/>
  <c r="P35" i="4"/>
  <c r="P34" i="4"/>
  <c r="AB35" i="4"/>
  <c r="AB34" i="4"/>
  <c r="AV35" i="4"/>
  <c r="AV34" i="4"/>
  <c r="AJ35" i="4"/>
  <c r="AJ34" i="4"/>
  <c r="AR34" i="4"/>
  <c r="AR35" i="4"/>
  <c r="C16" i="10" l="1"/>
  <c r="E30" i="10"/>
  <c r="G30" i="10" s="1"/>
  <c r="E45" i="10" s="1"/>
  <c r="C45" i="10"/>
  <c r="F45" i="10"/>
  <c r="C26" i="10"/>
  <c r="H38" i="10"/>
  <c r="G38" i="10"/>
  <c r="B53" i="10"/>
  <c r="H53" i="10" s="1"/>
  <c r="C49" i="10"/>
  <c r="D50" i="10"/>
  <c r="C64" i="10"/>
  <c r="B18" i="7"/>
  <c r="AX36" i="4"/>
  <c r="AX37" i="4" s="1"/>
  <c r="AX38" i="4" s="1"/>
  <c r="AD36" i="4"/>
  <c r="AD37" i="4" s="1"/>
  <c r="AD38" i="4" s="1"/>
  <c r="AJ36" i="4"/>
  <c r="AJ37" i="4" s="1"/>
  <c r="AJ38" i="4" s="1"/>
  <c r="AB36" i="4"/>
  <c r="AB37" i="4" s="1"/>
  <c r="AB38" i="4" s="1"/>
  <c r="AL36" i="4"/>
  <c r="AL37" i="4" s="1"/>
  <c r="AL38" i="4" s="1"/>
  <c r="AL40" i="4" s="1"/>
  <c r="E16" i="4" s="1"/>
  <c r="Z36" i="4"/>
  <c r="Z37" i="4" s="1"/>
  <c r="Z38" i="4" s="1"/>
  <c r="N36" i="4"/>
  <c r="N37" i="4" s="1"/>
  <c r="N38" i="4" s="1"/>
  <c r="AR36" i="4"/>
  <c r="AR37" i="4" s="1"/>
  <c r="AR38" i="4" s="1"/>
  <c r="AR40" i="4" s="1"/>
  <c r="E19" i="4" s="1"/>
  <c r="AV36" i="4"/>
  <c r="AV37" i="4" s="1"/>
  <c r="AV38" i="4" s="1"/>
  <c r="P36" i="4"/>
  <c r="P37" i="4" s="1"/>
  <c r="P38" i="4" s="1"/>
  <c r="AF36" i="4"/>
  <c r="AF37" i="4" s="1"/>
  <c r="AF38" i="4" s="1"/>
  <c r="AF40" i="4" s="1"/>
  <c r="E14" i="4" s="1"/>
  <c r="AH36" i="4"/>
  <c r="AH37" i="4" s="1"/>
  <c r="AH38" i="4" s="1"/>
  <c r="AT36" i="4"/>
  <c r="AT37" i="4" s="1"/>
  <c r="AT38" i="4" s="1"/>
  <c r="X36" i="4"/>
  <c r="X37" i="4" s="1"/>
  <c r="X38" i="4" s="1"/>
  <c r="X40" i="4" s="1"/>
  <c r="C19" i="4" s="1"/>
  <c r="C17" i="7" s="1"/>
  <c r="AN36" i="4"/>
  <c r="AN37" i="4" s="1"/>
  <c r="AN38" i="4" s="1"/>
  <c r="AN40" i="4" s="1"/>
  <c r="E17" i="4" s="1"/>
  <c r="E74" i="10" l="1"/>
  <c r="E49" i="10"/>
  <c r="G49" i="10"/>
  <c r="B55" i="10"/>
  <c r="E58" i="10"/>
  <c r="F49" i="10"/>
  <c r="F17" i="7"/>
  <c r="F8" i="7"/>
  <c r="F7" i="7"/>
  <c r="F9" i="7"/>
  <c r="F10" i="7"/>
  <c r="H10" i="7" s="1"/>
  <c r="F11" i="7"/>
  <c r="H11" i="7" s="1"/>
  <c r="F12" i="7"/>
  <c r="F13" i="7"/>
  <c r="F14" i="7"/>
  <c r="F15" i="7"/>
  <c r="F16" i="7"/>
  <c r="C7" i="7"/>
  <c r="C8" i="7"/>
  <c r="C9" i="7"/>
  <c r="C10" i="7"/>
  <c r="C11" i="7"/>
  <c r="C12" i="7"/>
  <c r="C13" i="7"/>
  <c r="C14" i="7"/>
  <c r="C15" i="7"/>
  <c r="C16" i="7"/>
  <c r="C18" i="7"/>
  <c r="B19" i="7"/>
  <c r="F18" i="7"/>
  <c r="P39" i="4"/>
  <c r="P40" i="4" s="1"/>
  <c r="C15" i="4" s="1"/>
  <c r="AJ39" i="4"/>
  <c r="AJ40" i="4" s="1"/>
  <c r="E15" i="4" s="1"/>
  <c r="AD39" i="4"/>
  <c r="AD40" i="4" s="1"/>
  <c r="C20" i="4" s="1"/>
  <c r="C12" i="10" s="1"/>
  <c r="J49" i="10" s="1"/>
  <c r="AX39" i="4"/>
  <c r="AX40" i="4" s="1"/>
  <c r="E20" i="4" s="1"/>
  <c r="E50" i="10" l="1"/>
  <c r="C50" i="10"/>
  <c r="G58" i="10"/>
  <c r="H22" i="10"/>
  <c r="I49" i="10"/>
  <c r="E26" i="10"/>
  <c r="F26" i="10" s="1"/>
  <c r="H16" i="7"/>
  <c r="H18" i="7"/>
  <c r="D9" i="7"/>
  <c r="G10" i="7"/>
  <c r="H9" i="7"/>
  <c r="E18" i="7"/>
  <c r="E12" i="7"/>
  <c r="G14" i="7"/>
  <c r="G17" i="7"/>
  <c r="D15" i="7"/>
  <c r="D14" i="7"/>
  <c r="E13" i="7"/>
  <c r="E8" i="7"/>
  <c r="E7" i="7"/>
  <c r="G16" i="7"/>
  <c r="H15" i="7"/>
  <c r="G12" i="7"/>
  <c r="H8" i="7"/>
  <c r="D16" i="7"/>
  <c r="E11" i="7"/>
  <c r="E10" i="7"/>
  <c r="H13" i="7"/>
  <c r="G11" i="7"/>
  <c r="D13" i="7"/>
  <c r="D11" i="7"/>
  <c r="D18" i="7"/>
  <c r="D8" i="7"/>
  <c r="E9" i="7"/>
  <c r="G15" i="7"/>
  <c r="G8" i="7"/>
  <c r="H14" i="7"/>
  <c r="G18" i="7"/>
  <c r="D12" i="7"/>
  <c r="E14" i="7"/>
  <c r="D17" i="7"/>
  <c r="E15" i="7"/>
  <c r="D7" i="7"/>
  <c r="E17" i="7"/>
  <c r="G13" i="7"/>
  <c r="G9" i="7"/>
  <c r="H12" i="7"/>
  <c r="D10" i="7"/>
  <c r="E16" i="7"/>
  <c r="H17" i="7"/>
  <c r="H7" i="7"/>
  <c r="G7" i="7"/>
  <c r="F19" i="7"/>
  <c r="H19" i="7" s="1"/>
  <c r="B20" i="7"/>
  <c r="C19" i="7"/>
  <c r="E19" i="7" s="1"/>
  <c r="G19" i="7"/>
  <c r="C65" i="10" l="1"/>
  <c r="D68" i="10" s="1"/>
  <c r="K58" i="10"/>
  <c r="D19" i="7"/>
  <c r="B21" i="7"/>
  <c r="F20" i="7"/>
  <c r="H20" i="7" s="1"/>
  <c r="C20" i="7"/>
  <c r="E20" i="7" s="1"/>
  <c r="O76" i="10" l="1"/>
  <c r="G76" i="10"/>
  <c r="D76" i="10"/>
  <c r="M76" i="10"/>
  <c r="O75" i="10"/>
  <c r="G20" i="7"/>
  <c r="D20" i="7"/>
  <c r="B22" i="7"/>
  <c r="C21" i="7"/>
  <c r="E21" i="7" s="1"/>
  <c r="F21" i="7"/>
  <c r="H21" i="7" s="1"/>
  <c r="I74" i="10" l="1"/>
  <c r="D21" i="7"/>
  <c r="G21" i="7"/>
  <c r="F22" i="7"/>
  <c r="H22" i="7" s="1"/>
  <c r="B23" i="7"/>
  <c r="C22" i="7"/>
  <c r="E22" i="7" s="1"/>
  <c r="D22" i="7" l="1"/>
  <c r="G22" i="7"/>
  <c r="F23" i="7"/>
  <c r="H23" i="7" s="1"/>
  <c r="B24" i="7"/>
  <c r="C23" i="7"/>
  <c r="E23" i="7" s="1"/>
  <c r="D23" i="7" l="1"/>
  <c r="G23" i="7"/>
  <c r="C24" i="7"/>
  <c r="E24" i="7" s="1"/>
  <c r="B25" i="7"/>
  <c r="F24" i="7"/>
  <c r="H24" i="7" s="1"/>
  <c r="G24" i="7" l="1"/>
  <c r="D24" i="7"/>
  <c r="B26" i="7"/>
  <c r="C25" i="7"/>
  <c r="E25" i="7" s="1"/>
  <c r="F25" i="7"/>
  <c r="D25" i="7" l="1"/>
  <c r="G25" i="7"/>
  <c r="H25" i="7"/>
  <c r="B27" i="7"/>
  <c r="C26" i="7"/>
  <c r="E26" i="7" s="1"/>
  <c r="F26" i="7"/>
  <c r="D26" i="7" l="1"/>
  <c r="G26" i="7"/>
  <c r="H26" i="7"/>
  <c r="F27" i="7"/>
  <c r="H27" i="7" s="1"/>
  <c r="B28" i="7"/>
  <c r="C27" i="7"/>
  <c r="E27" i="7" s="1"/>
  <c r="G27" i="7" l="1"/>
  <c r="D27" i="7"/>
  <c r="B29" i="7"/>
  <c r="F28" i="7"/>
  <c r="C28" i="7"/>
  <c r="D28" i="7" l="1"/>
  <c r="E28" i="7"/>
  <c r="G28" i="7"/>
  <c r="H28" i="7"/>
  <c r="B30" i="7"/>
  <c r="C29" i="7"/>
  <c r="F29" i="7"/>
  <c r="G29" i="7" l="1"/>
  <c r="H29" i="7"/>
  <c r="D29" i="7"/>
  <c r="E29" i="7"/>
  <c r="F30" i="7"/>
  <c r="C30" i="7"/>
  <c r="B31" i="7"/>
  <c r="G30" i="7" l="1"/>
  <c r="H30" i="7"/>
  <c r="D30" i="7"/>
  <c r="E30" i="7"/>
  <c r="F31" i="7"/>
  <c r="B32" i="7"/>
  <c r="C31" i="7"/>
  <c r="D31" i="7" l="1"/>
  <c r="E31" i="7"/>
  <c r="G31" i="7"/>
  <c r="H31" i="7"/>
  <c r="C32" i="7"/>
  <c r="F32" i="7"/>
  <c r="B33" i="7"/>
  <c r="G32" i="7" l="1"/>
  <c r="H32" i="7"/>
  <c r="D32" i="7"/>
  <c r="E32" i="7"/>
  <c r="B34" i="7"/>
  <c r="C33" i="7"/>
  <c r="E33" i="7" s="1"/>
  <c r="F33" i="7"/>
  <c r="D33" i="7" l="1"/>
  <c r="G33" i="7"/>
  <c r="H33" i="7"/>
  <c r="B35" i="7"/>
  <c r="F34" i="7"/>
  <c r="C34" i="7"/>
  <c r="D34" i="7" l="1"/>
  <c r="E34" i="7"/>
  <c r="G34" i="7"/>
  <c r="H34" i="7"/>
  <c r="F35" i="7"/>
  <c r="H35" i="7" s="1"/>
  <c r="B36" i="7"/>
  <c r="C35" i="7"/>
  <c r="E35" i="7" s="1"/>
  <c r="G35" i="7"/>
  <c r="D35" i="7" l="1"/>
  <c r="B37" i="7"/>
  <c r="F36" i="7"/>
  <c r="C36" i="7"/>
  <c r="G36" i="7" l="1"/>
  <c r="H36" i="7"/>
  <c r="D36" i="7"/>
  <c r="E36" i="7"/>
  <c r="B38" i="7"/>
  <c r="C37" i="7"/>
  <c r="E37" i="7" s="1"/>
  <c r="F37" i="7"/>
  <c r="D37" i="7" l="1"/>
  <c r="G37" i="7"/>
  <c r="H37" i="7"/>
  <c r="F38" i="7"/>
  <c r="C38" i="7"/>
  <c r="B39" i="7"/>
  <c r="D38" i="7" l="1"/>
  <c r="E38" i="7"/>
  <c r="G38" i="7"/>
  <c r="H38" i="7"/>
  <c r="F39" i="7"/>
  <c r="B40" i="7"/>
  <c r="C39" i="7"/>
  <c r="G39" i="7" l="1"/>
  <c r="H39" i="7"/>
  <c r="D39" i="7"/>
  <c r="E39" i="7"/>
  <c r="C40" i="7"/>
  <c r="F40" i="7"/>
  <c r="B41" i="7"/>
  <c r="G40" i="7" l="1"/>
  <c r="H40" i="7"/>
  <c r="D40" i="7"/>
  <c r="E40" i="7"/>
  <c r="B42" i="7"/>
  <c r="C41" i="7"/>
  <c r="E41" i="7" s="1"/>
  <c r="F41" i="7"/>
  <c r="D41" i="7" l="1"/>
  <c r="G41" i="7"/>
  <c r="H41" i="7"/>
  <c r="B43" i="7"/>
  <c r="C42" i="7"/>
  <c r="F42" i="7"/>
  <c r="G42" i="7" l="1"/>
  <c r="H42" i="7"/>
  <c r="D42" i="7"/>
  <c r="E42" i="7"/>
  <c r="F43" i="7"/>
  <c r="H43" i="7" s="1"/>
  <c r="B44" i="7"/>
  <c r="C43" i="7"/>
  <c r="E43" i="7" s="1"/>
  <c r="G43" i="7"/>
  <c r="D43" i="7" l="1"/>
  <c r="B45" i="7"/>
  <c r="F44" i="7"/>
  <c r="C44" i="7"/>
  <c r="D44" i="7" l="1"/>
  <c r="E44" i="7"/>
  <c r="G44" i="7"/>
  <c r="H44" i="7"/>
  <c r="B46" i="7"/>
  <c r="C45" i="7"/>
  <c r="E45" i="7" s="1"/>
  <c r="F45" i="7"/>
  <c r="D45" i="7" l="1"/>
  <c r="G45" i="7"/>
  <c r="H45" i="7"/>
  <c r="F46" i="7"/>
  <c r="C46" i="7"/>
  <c r="B47" i="7"/>
  <c r="D46" i="7" l="1"/>
  <c r="E46" i="7"/>
  <c r="G46" i="7"/>
  <c r="H46" i="7"/>
  <c r="F47" i="7"/>
  <c r="H47" i="7" s="1"/>
  <c r="B48" i="7"/>
  <c r="C47" i="7"/>
  <c r="G47" i="7" l="1"/>
  <c r="D47" i="7"/>
  <c r="E47" i="7"/>
  <c r="C48" i="7"/>
  <c r="F48" i="7"/>
  <c r="B49" i="7"/>
  <c r="D48" i="7" l="1"/>
  <c r="E48" i="7"/>
  <c r="G48" i="7"/>
  <c r="H48" i="7"/>
  <c r="B50" i="7"/>
  <c r="C49" i="7"/>
  <c r="F49" i="7"/>
  <c r="G49" i="7" l="1"/>
  <c r="H49" i="7"/>
  <c r="D49" i="7"/>
  <c r="E49" i="7"/>
  <c r="B51" i="7"/>
  <c r="C50" i="7"/>
  <c r="F50" i="7"/>
  <c r="G50" i="7" l="1"/>
  <c r="H50" i="7"/>
  <c r="D50" i="7"/>
  <c r="E50" i="7"/>
  <c r="F51" i="7"/>
  <c r="H51" i="7" s="1"/>
  <c r="B52" i="7"/>
  <c r="C51" i="7"/>
  <c r="E51" i="7" s="1"/>
  <c r="G51" i="7"/>
  <c r="D51" i="7" l="1"/>
  <c r="B53" i="7"/>
  <c r="F52" i="7"/>
  <c r="C52" i="7"/>
  <c r="D52" i="7" l="1"/>
  <c r="E52" i="7"/>
  <c r="G52" i="7"/>
  <c r="H52" i="7"/>
  <c r="B54" i="7"/>
  <c r="C53" i="7"/>
  <c r="F53" i="7"/>
  <c r="G53" i="7" l="1"/>
  <c r="H53" i="7"/>
  <c r="D53" i="7"/>
  <c r="E53" i="7"/>
  <c r="F54" i="7"/>
  <c r="C54" i="7"/>
  <c r="E54" i="7" s="1"/>
  <c r="B55" i="7"/>
  <c r="G54" i="7" l="1"/>
  <c r="H54" i="7"/>
  <c r="D54" i="7"/>
  <c r="F55" i="7"/>
  <c r="H55" i="7" s="1"/>
  <c r="B56" i="7"/>
  <c r="C55" i="7"/>
  <c r="G55" i="7" l="1"/>
  <c r="D55" i="7"/>
  <c r="E55" i="7"/>
  <c r="F56" i="7"/>
  <c r="C56" i="7"/>
  <c r="B57" i="7"/>
  <c r="G56" i="7" l="1"/>
  <c r="H56" i="7"/>
  <c r="D56" i="7"/>
  <c r="E56" i="7"/>
  <c r="B58" i="7"/>
  <c r="C57" i="7"/>
  <c r="F57" i="7"/>
  <c r="D57" i="7" l="1"/>
  <c r="E57" i="7"/>
  <c r="G57" i="7"/>
  <c r="H57" i="7"/>
  <c r="C58" i="7"/>
  <c r="B59" i="7"/>
  <c r="F58" i="7"/>
  <c r="G58" i="7" l="1"/>
  <c r="H58" i="7"/>
  <c r="D58" i="7"/>
  <c r="E58" i="7"/>
  <c r="F59" i="7"/>
  <c r="H59" i="7" s="1"/>
  <c r="B60" i="7"/>
  <c r="C59" i="7"/>
  <c r="G59" i="7" l="1"/>
  <c r="D59" i="7"/>
  <c r="E59" i="7"/>
  <c r="B61" i="7"/>
  <c r="C60" i="7"/>
  <c r="F60" i="7"/>
  <c r="D60" i="7" l="1"/>
  <c r="E60" i="7"/>
  <c r="G60" i="7"/>
  <c r="H60" i="7"/>
  <c r="B62" i="7"/>
  <c r="C61" i="7"/>
  <c r="F61" i="7"/>
  <c r="G61" i="7" l="1"/>
  <c r="H61" i="7"/>
  <c r="D61" i="7"/>
  <c r="E61" i="7"/>
  <c r="F62" i="7"/>
  <c r="C62" i="7"/>
  <c r="B63" i="7"/>
  <c r="D62" i="7" l="1"/>
  <c r="E62" i="7"/>
  <c r="G62" i="7"/>
  <c r="H62" i="7"/>
  <c r="F63" i="7"/>
  <c r="H63" i="7" s="1"/>
  <c r="B64" i="7"/>
  <c r="C63" i="7"/>
  <c r="G63" i="7" l="1"/>
  <c r="D63" i="7"/>
  <c r="E63" i="7"/>
  <c r="B65" i="7"/>
  <c r="C64" i="7"/>
  <c r="F64" i="7"/>
  <c r="G64" i="7" l="1"/>
  <c r="H64" i="7"/>
  <c r="D64" i="7"/>
  <c r="E64" i="7"/>
  <c r="B66" i="7"/>
  <c r="C65" i="7"/>
  <c r="F65" i="7"/>
  <c r="G65" i="7" l="1"/>
  <c r="H65" i="7"/>
  <c r="D65" i="7"/>
  <c r="E65" i="7"/>
  <c r="F66" i="7"/>
  <c r="B67" i="7"/>
  <c r="C66" i="7"/>
  <c r="D66" i="7" l="1"/>
  <c r="E66" i="7"/>
  <c r="G66" i="7"/>
  <c r="H66" i="7"/>
  <c r="F67" i="7"/>
  <c r="H67" i="7" s="1"/>
  <c r="B68" i="7"/>
  <c r="C67" i="7"/>
  <c r="G67" i="7"/>
  <c r="D67" i="7" l="1"/>
  <c r="E67" i="7"/>
  <c r="B69" i="7"/>
  <c r="C68" i="7"/>
  <c r="F68" i="7"/>
  <c r="D68" i="7" l="1"/>
  <c r="E68" i="7"/>
  <c r="G68" i="7"/>
  <c r="H68" i="7"/>
  <c r="B70" i="7"/>
  <c r="C69" i="7"/>
  <c r="F69" i="7"/>
  <c r="G69" i="7" l="1"/>
  <c r="H69" i="7"/>
  <c r="D69" i="7"/>
  <c r="E69" i="7"/>
  <c r="F70" i="7"/>
  <c r="B71" i="7"/>
  <c r="C70" i="7"/>
  <c r="D70" i="7" l="1"/>
  <c r="E70" i="7"/>
  <c r="G70" i="7"/>
  <c r="H70" i="7"/>
  <c r="F71" i="7"/>
  <c r="H71" i="7" s="1"/>
  <c r="B72" i="7"/>
  <c r="C71" i="7"/>
  <c r="G71" i="7" l="1"/>
  <c r="D71" i="7"/>
  <c r="E71" i="7"/>
  <c r="B73" i="7"/>
  <c r="C72" i="7"/>
  <c r="F72" i="7"/>
  <c r="D72" i="7" l="1"/>
  <c r="E72" i="7"/>
  <c r="G72" i="7"/>
  <c r="H72" i="7"/>
  <c r="B74" i="7"/>
  <c r="C73" i="7"/>
  <c r="F73" i="7"/>
  <c r="G73" i="7" l="1"/>
  <c r="H73" i="7"/>
  <c r="D73" i="7"/>
  <c r="E73" i="7"/>
  <c r="F74" i="7"/>
  <c r="C74" i="7"/>
  <c r="E74" i="7" s="1"/>
  <c r="B75" i="7"/>
  <c r="G74" i="7" l="1"/>
  <c r="H74" i="7"/>
  <c r="D74" i="7"/>
  <c r="F75" i="7"/>
  <c r="H75" i="7" s="1"/>
  <c r="B76" i="7"/>
  <c r="C75" i="7"/>
  <c r="G75" i="7" l="1"/>
  <c r="D75" i="7"/>
  <c r="E75" i="7"/>
  <c r="B77" i="7"/>
  <c r="C76" i="7"/>
  <c r="F76" i="7"/>
  <c r="D76" i="7" l="1"/>
  <c r="E76" i="7"/>
  <c r="G76" i="7"/>
  <c r="H76" i="7"/>
  <c r="B78" i="7"/>
  <c r="C77" i="7"/>
  <c r="F77" i="7"/>
  <c r="G77" i="7" l="1"/>
  <c r="H77" i="7"/>
  <c r="D77" i="7"/>
  <c r="E77" i="7"/>
  <c r="F78" i="7"/>
  <c r="B79" i="7"/>
  <c r="C78" i="7"/>
  <c r="E78" i="7" s="1"/>
  <c r="D78" i="7" l="1"/>
  <c r="G78" i="7"/>
  <c r="H78" i="7"/>
  <c r="F79" i="7"/>
  <c r="H79" i="7" s="1"/>
  <c r="B80" i="7"/>
  <c r="C79" i="7"/>
  <c r="G79" i="7" l="1"/>
  <c r="D79" i="7"/>
  <c r="E79" i="7"/>
  <c r="B81" i="7"/>
  <c r="C80" i="7"/>
  <c r="F80" i="7"/>
  <c r="G80" i="7" l="1"/>
  <c r="H80" i="7"/>
  <c r="D80" i="7"/>
  <c r="E80" i="7"/>
  <c r="B82" i="7"/>
  <c r="C81" i="7"/>
  <c r="F81" i="7"/>
  <c r="G81" i="7" l="1"/>
  <c r="H81" i="7"/>
  <c r="D81" i="7"/>
  <c r="E81" i="7"/>
  <c r="F82" i="7"/>
  <c r="C82" i="7"/>
  <c r="B83" i="7"/>
  <c r="D82" i="7" l="1"/>
  <c r="E82" i="7"/>
  <c r="G82" i="7"/>
  <c r="H82" i="7"/>
  <c r="F83" i="7"/>
  <c r="H83" i="7" s="1"/>
  <c r="B84" i="7"/>
  <c r="C83" i="7"/>
  <c r="G83" i="7"/>
  <c r="D83" i="7" l="1"/>
  <c r="E83" i="7"/>
  <c r="B85" i="7"/>
  <c r="C84" i="7"/>
  <c r="F84" i="7"/>
  <c r="D84" i="7" l="1"/>
  <c r="E84" i="7"/>
  <c r="G84" i="7"/>
  <c r="H84" i="7"/>
  <c r="B86" i="7"/>
  <c r="C85" i="7"/>
  <c r="F85" i="7"/>
  <c r="G85" i="7" l="1"/>
  <c r="H85" i="7"/>
  <c r="D85" i="7"/>
  <c r="E85" i="7"/>
  <c r="F86" i="7"/>
  <c r="B87" i="7"/>
  <c r="C86" i="7"/>
  <c r="E86" i="7" s="1"/>
  <c r="D86" i="7" l="1"/>
  <c r="G86" i="7"/>
  <c r="H86" i="7"/>
  <c r="F87" i="7"/>
  <c r="H87" i="7" s="1"/>
  <c r="B88" i="7"/>
  <c r="C87" i="7"/>
  <c r="G87" i="7" l="1"/>
  <c r="D87" i="7"/>
  <c r="E87" i="7"/>
  <c r="B89" i="7"/>
  <c r="C88" i="7"/>
  <c r="F88" i="7"/>
  <c r="G88" i="7" l="1"/>
  <c r="H88" i="7"/>
  <c r="D88" i="7"/>
  <c r="E88" i="7"/>
  <c r="B90" i="7"/>
  <c r="C89" i="7"/>
  <c r="F89" i="7"/>
  <c r="G89" i="7" l="1"/>
  <c r="H89" i="7"/>
  <c r="D89" i="7"/>
  <c r="E89" i="7"/>
  <c r="F90" i="7"/>
  <c r="C90" i="7"/>
  <c r="B91" i="7"/>
  <c r="D90" i="7" l="1"/>
  <c r="E90" i="7"/>
  <c r="G90" i="7"/>
  <c r="H90" i="7"/>
  <c r="F91" i="7"/>
  <c r="H91" i="7" s="1"/>
  <c r="B92" i="7"/>
  <c r="C91" i="7"/>
  <c r="G91" i="7" l="1"/>
  <c r="D91" i="7"/>
  <c r="E91" i="7"/>
  <c r="B93" i="7"/>
  <c r="C92" i="7"/>
  <c r="F92" i="7"/>
  <c r="D92" i="7" l="1"/>
  <c r="E92" i="7"/>
  <c r="G92" i="7"/>
  <c r="H92" i="7"/>
  <c r="B94" i="7"/>
  <c r="C93" i="7"/>
  <c r="F93" i="7"/>
  <c r="G93" i="7" l="1"/>
  <c r="H93" i="7"/>
  <c r="D93" i="7"/>
  <c r="E93" i="7"/>
  <c r="F94" i="7"/>
  <c r="C94" i="7"/>
  <c r="B95" i="7"/>
  <c r="D94" i="7" l="1"/>
  <c r="E94" i="7"/>
  <c r="G94" i="7"/>
  <c r="H94" i="7"/>
  <c r="F95" i="7"/>
  <c r="H95" i="7" s="1"/>
  <c r="B96" i="7"/>
  <c r="C95" i="7"/>
  <c r="G95" i="7" l="1"/>
  <c r="D95" i="7"/>
  <c r="E95" i="7"/>
  <c r="B97" i="7"/>
  <c r="C96" i="7"/>
  <c r="F96" i="7"/>
  <c r="D96" i="7" l="1"/>
  <c r="E96" i="7"/>
  <c r="G96" i="7"/>
  <c r="H96" i="7"/>
  <c r="B98" i="7"/>
  <c r="C97" i="7"/>
  <c r="F97" i="7"/>
  <c r="G97" i="7" l="1"/>
  <c r="H97" i="7"/>
  <c r="D97" i="7"/>
  <c r="E97" i="7"/>
  <c r="F98" i="7"/>
  <c r="B99" i="7"/>
  <c r="C98" i="7"/>
  <c r="D98" i="7" l="1"/>
  <c r="E98" i="7"/>
  <c r="G98" i="7"/>
  <c r="H98" i="7"/>
  <c r="F99" i="7"/>
  <c r="H99" i="7" s="1"/>
  <c r="B100" i="7"/>
  <c r="C99" i="7"/>
  <c r="G99" i="7"/>
  <c r="D99" i="7" l="1"/>
  <c r="E99" i="7"/>
  <c r="B101" i="7"/>
  <c r="C100" i="7"/>
  <c r="F100" i="7"/>
  <c r="D100" i="7" l="1"/>
  <c r="E100" i="7"/>
  <c r="G100" i="7"/>
  <c r="H100" i="7"/>
  <c r="B102" i="7"/>
  <c r="C101" i="7"/>
  <c r="F101" i="7"/>
  <c r="G101" i="7" l="1"/>
  <c r="H101" i="7"/>
  <c r="D101" i="7"/>
  <c r="E101" i="7"/>
  <c r="B103" i="7"/>
  <c r="F102" i="7"/>
  <c r="C102" i="7"/>
  <c r="D102" i="7" l="1"/>
  <c r="E102" i="7"/>
  <c r="G102" i="7"/>
  <c r="H102" i="7"/>
  <c r="F103" i="7"/>
  <c r="H103" i="7" s="1"/>
  <c r="B104" i="7"/>
  <c r="C103" i="7"/>
  <c r="G103" i="7" l="1"/>
  <c r="D103" i="7"/>
  <c r="E103" i="7"/>
  <c r="B105" i="7"/>
  <c r="F104" i="7"/>
  <c r="C104" i="7"/>
  <c r="D104" i="7" l="1"/>
  <c r="E104" i="7"/>
  <c r="G104" i="7"/>
  <c r="H104" i="7"/>
  <c r="B106" i="7"/>
  <c r="C105" i="7"/>
  <c r="F105" i="7"/>
  <c r="H105" i="7" s="1"/>
  <c r="G105" i="7" l="1"/>
  <c r="D105" i="7"/>
  <c r="E105" i="7"/>
  <c r="F106" i="7"/>
  <c r="C106" i="7"/>
  <c r="B107" i="7"/>
  <c r="D106" i="7" l="1"/>
  <c r="E106" i="7"/>
  <c r="G106" i="7"/>
  <c r="H106" i="7"/>
  <c r="F107" i="7"/>
  <c r="H107" i="7" s="1"/>
  <c r="B108" i="7"/>
  <c r="C107" i="7"/>
  <c r="G107" i="7"/>
  <c r="D107" i="7" l="1"/>
  <c r="E107" i="7"/>
  <c r="C108" i="7"/>
  <c r="B109" i="7"/>
  <c r="F108" i="7"/>
  <c r="D108" i="7" l="1"/>
  <c r="E108" i="7"/>
  <c r="G108" i="7"/>
  <c r="H108" i="7"/>
  <c r="B110" i="7"/>
  <c r="C109" i="7"/>
  <c r="F109" i="7"/>
  <c r="H109" i="7" s="1"/>
  <c r="G109" i="7" l="1"/>
  <c r="D109" i="7"/>
  <c r="E109" i="7"/>
  <c r="B111" i="7"/>
  <c r="F110" i="7"/>
  <c r="C110" i="7"/>
  <c r="G110" i="7" l="1"/>
  <c r="H110" i="7"/>
  <c r="D110" i="7"/>
  <c r="E110" i="7"/>
  <c r="F111" i="7"/>
  <c r="H111" i="7" s="1"/>
  <c r="B112" i="7"/>
  <c r="C111" i="7"/>
  <c r="G111" i="7"/>
  <c r="D111" i="7" l="1"/>
  <c r="E111" i="7"/>
  <c r="B113" i="7"/>
  <c r="F112" i="7"/>
  <c r="C112" i="7"/>
  <c r="G112" i="7" l="1"/>
  <c r="H112" i="7"/>
  <c r="D112" i="7"/>
  <c r="E112" i="7"/>
  <c r="B114" i="7"/>
  <c r="C113" i="7"/>
  <c r="F113" i="7"/>
  <c r="H113" i="7" s="1"/>
  <c r="G113" i="7" l="1"/>
  <c r="D113" i="7"/>
  <c r="E113" i="7"/>
  <c r="F114" i="7"/>
  <c r="C114" i="7"/>
  <c r="B115" i="7"/>
  <c r="G114" i="7" l="1"/>
  <c r="H114" i="7"/>
  <c r="D114" i="7"/>
  <c r="E114" i="7"/>
  <c r="F115" i="7"/>
  <c r="H115" i="7" s="1"/>
  <c r="B116" i="7"/>
  <c r="C115" i="7"/>
  <c r="E115" i="7" s="1"/>
  <c r="D115" i="7" l="1"/>
  <c r="G115" i="7"/>
  <c r="C116" i="7"/>
  <c r="B117" i="7"/>
  <c r="F116" i="7"/>
  <c r="G116" i="7" l="1"/>
  <c r="H116" i="7"/>
  <c r="D116" i="7"/>
  <c r="E116" i="7"/>
  <c r="B118" i="7"/>
  <c r="C117" i="7"/>
  <c r="F117" i="7"/>
  <c r="H117" i="7" s="1"/>
  <c r="G117" i="7" l="1"/>
  <c r="D117" i="7"/>
  <c r="E117" i="7"/>
  <c r="B119" i="7"/>
  <c r="F118" i="7"/>
  <c r="C118" i="7"/>
  <c r="G118" i="7" l="1"/>
  <c r="H118" i="7"/>
  <c r="D118" i="7"/>
  <c r="E118" i="7"/>
  <c r="F119" i="7"/>
  <c r="H119" i="7" s="1"/>
  <c r="B120" i="7"/>
  <c r="C119" i="7"/>
  <c r="G119" i="7"/>
  <c r="D119" i="7" l="1"/>
  <c r="E119" i="7"/>
  <c r="B121" i="7"/>
  <c r="F120" i="7"/>
  <c r="C120" i="7"/>
  <c r="G120" i="7" l="1"/>
  <c r="H120" i="7"/>
  <c r="D120" i="7"/>
  <c r="E120" i="7"/>
  <c r="B122" i="7"/>
  <c r="C121" i="7"/>
  <c r="F121" i="7"/>
  <c r="G121" i="7" l="1"/>
  <c r="H121" i="7"/>
  <c r="D121" i="7"/>
  <c r="E121" i="7"/>
  <c r="F122" i="7"/>
  <c r="C122" i="7"/>
  <c r="B123" i="7"/>
  <c r="D122" i="7" l="1"/>
  <c r="E122" i="7"/>
  <c r="G122" i="7"/>
  <c r="H122" i="7"/>
  <c r="F123" i="7"/>
  <c r="H123" i="7" s="1"/>
  <c r="B124" i="7"/>
  <c r="C123" i="7"/>
  <c r="G123" i="7"/>
  <c r="D123" i="7" l="1"/>
  <c r="E123" i="7"/>
  <c r="C124" i="7"/>
  <c r="B125" i="7"/>
  <c r="F124" i="7"/>
  <c r="G124" i="7" l="1"/>
  <c r="H124" i="7"/>
  <c r="D124" i="7"/>
  <c r="E124" i="7"/>
  <c r="B126" i="7"/>
  <c r="C125" i="7"/>
  <c r="F125" i="7"/>
  <c r="H125" i="7" s="1"/>
  <c r="G125" i="7" l="1"/>
  <c r="D125" i="7"/>
  <c r="E125" i="7"/>
  <c r="B127" i="7"/>
  <c r="F126" i="7"/>
  <c r="C126" i="7"/>
  <c r="G126" i="7" l="1"/>
  <c r="H126" i="7"/>
  <c r="D126" i="7"/>
  <c r="E126" i="7"/>
  <c r="F127" i="7"/>
  <c r="H127" i="7" s="1"/>
  <c r="B128" i="7"/>
  <c r="C127" i="7"/>
  <c r="G127" i="7"/>
  <c r="D127" i="7" l="1"/>
  <c r="E127" i="7"/>
  <c r="B129" i="7"/>
  <c r="F128" i="7"/>
  <c r="C128" i="7"/>
  <c r="G128" i="7" l="1"/>
  <c r="H128" i="7"/>
  <c r="D128" i="7"/>
  <c r="E128" i="7"/>
  <c r="B130" i="7"/>
  <c r="C129" i="7"/>
  <c r="F129" i="7"/>
  <c r="H129" i="7" s="1"/>
  <c r="G129" i="7" l="1"/>
  <c r="D129" i="7"/>
  <c r="E129" i="7"/>
  <c r="F130" i="7"/>
  <c r="C130" i="7"/>
  <c r="B131" i="7"/>
  <c r="D130" i="7" l="1"/>
  <c r="E130" i="7"/>
  <c r="G130" i="7"/>
  <c r="H130" i="7"/>
  <c r="F131" i="7"/>
  <c r="H131" i="7" s="1"/>
  <c r="B132" i="7"/>
  <c r="C131" i="7"/>
  <c r="G131" i="7" l="1"/>
  <c r="D131" i="7"/>
  <c r="E131" i="7"/>
  <c r="C132" i="7"/>
  <c r="B133" i="7"/>
  <c r="F132" i="7"/>
  <c r="D132" i="7" l="1"/>
  <c r="E132" i="7"/>
  <c r="G132" i="7"/>
  <c r="H132" i="7"/>
  <c r="B134" i="7"/>
  <c r="C133" i="7"/>
  <c r="F133" i="7"/>
  <c r="H133" i="7" s="1"/>
  <c r="G133" i="7" l="1"/>
  <c r="D133" i="7"/>
  <c r="E133" i="7"/>
  <c r="B135" i="7"/>
  <c r="F134" i="7"/>
  <c r="C134" i="7"/>
  <c r="G134" i="7" l="1"/>
  <c r="H134" i="7"/>
  <c r="D134" i="7"/>
  <c r="E134" i="7"/>
  <c r="F135" i="7"/>
  <c r="H135" i="7" s="1"/>
  <c r="B136" i="7"/>
  <c r="C135" i="7"/>
  <c r="G135" i="7"/>
  <c r="D135" i="7" l="1"/>
  <c r="E135" i="7"/>
  <c r="B137" i="7"/>
  <c r="F136" i="7"/>
  <c r="C136" i="7"/>
  <c r="G136" i="7" l="1"/>
  <c r="H136" i="7"/>
  <c r="D136" i="7"/>
  <c r="E136" i="7"/>
  <c r="B138" i="7"/>
  <c r="C137" i="7"/>
  <c r="F137" i="7"/>
  <c r="G137" i="7" l="1"/>
  <c r="H137" i="7"/>
  <c r="D137" i="7"/>
  <c r="E137" i="7"/>
  <c r="F138" i="7"/>
  <c r="C138" i="7"/>
  <c r="B139" i="7"/>
  <c r="D138" i="7" l="1"/>
  <c r="E138" i="7"/>
  <c r="G138" i="7"/>
  <c r="H138" i="7"/>
  <c r="F139" i="7"/>
  <c r="H139" i="7" s="1"/>
  <c r="B140" i="7"/>
  <c r="C139" i="7"/>
  <c r="G139" i="7" l="1"/>
  <c r="D139" i="7"/>
  <c r="E139" i="7"/>
  <c r="C140" i="7"/>
  <c r="B141" i="7"/>
  <c r="F140" i="7"/>
  <c r="D140" i="7" l="1"/>
  <c r="E140" i="7"/>
  <c r="G140" i="7"/>
  <c r="H140" i="7"/>
  <c r="B142" i="7"/>
  <c r="C141" i="7"/>
  <c r="F141" i="7"/>
  <c r="H141" i="7" s="1"/>
  <c r="G141" i="7" l="1"/>
  <c r="D141" i="7"/>
  <c r="E141" i="7"/>
  <c r="B143" i="7"/>
  <c r="F142" i="7"/>
  <c r="C142" i="7"/>
  <c r="G142" i="7" l="1"/>
  <c r="H142" i="7"/>
  <c r="D142" i="7"/>
  <c r="E142" i="7"/>
  <c r="F143" i="7"/>
  <c r="H143" i="7" s="1"/>
  <c r="B144" i="7"/>
  <c r="C143" i="7"/>
  <c r="E143" i="7" s="1"/>
  <c r="G143" i="7" l="1"/>
  <c r="D143" i="7"/>
  <c r="B145" i="7"/>
  <c r="F144" i="7"/>
  <c r="C144" i="7"/>
  <c r="D144" i="7" l="1"/>
  <c r="E144" i="7"/>
  <c r="G144" i="7"/>
  <c r="H144" i="7"/>
  <c r="B146" i="7"/>
  <c r="C145" i="7"/>
  <c r="F145" i="7"/>
  <c r="H145" i="7" s="1"/>
  <c r="G145" i="7" l="1"/>
  <c r="D145" i="7"/>
  <c r="E145" i="7"/>
  <c r="F146" i="7"/>
  <c r="C146" i="7"/>
  <c r="B147" i="7"/>
  <c r="G146" i="7" l="1"/>
  <c r="H146" i="7"/>
  <c r="D146" i="7"/>
  <c r="E146" i="7"/>
  <c r="F147" i="7"/>
  <c r="H147" i="7" s="1"/>
  <c r="B148" i="7"/>
  <c r="C147" i="7"/>
  <c r="G147" i="7" l="1"/>
  <c r="D147" i="7"/>
  <c r="E147" i="7"/>
  <c r="C148" i="7"/>
  <c r="B149" i="7"/>
  <c r="F148" i="7"/>
  <c r="G148" i="7" l="1"/>
  <c r="H148" i="7"/>
  <c r="D148" i="7"/>
  <c r="E148" i="7"/>
  <c r="B150" i="7"/>
  <c r="C149" i="7"/>
  <c r="F149" i="7"/>
  <c r="H149" i="7" s="1"/>
  <c r="G149" i="7" l="1"/>
  <c r="D149" i="7"/>
  <c r="E149" i="7"/>
  <c r="B151" i="7"/>
  <c r="F150" i="7"/>
  <c r="C150" i="7"/>
  <c r="G150" i="7" l="1"/>
  <c r="H150" i="7"/>
  <c r="D150" i="7"/>
  <c r="E150" i="7"/>
  <c r="F151" i="7"/>
  <c r="H151" i="7" s="1"/>
  <c r="B152" i="7"/>
  <c r="C151" i="7"/>
  <c r="E151" i="7" s="1"/>
  <c r="G151" i="7"/>
  <c r="D151" i="7" l="1"/>
  <c r="B153" i="7"/>
  <c r="F152" i="7"/>
  <c r="C152" i="7"/>
  <c r="D152" i="7" l="1"/>
  <c r="E152" i="7"/>
  <c r="G152" i="7"/>
  <c r="H152" i="7"/>
  <c r="B154" i="7"/>
  <c r="C153" i="7"/>
  <c r="F153" i="7"/>
  <c r="H153" i="7" s="1"/>
  <c r="G153" i="7" l="1"/>
  <c r="D153" i="7"/>
  <c r="E153" i="7"/>
  <c r="F154" i="7"/>
  <c r="C154" i="7"/>
  <c r="B155" i="7"/>
  <c r="D154" i="7" l="1"/>
  <c r="E154" i="7"/>
  <c r="G154" i="7"/>
  <c r="H154" i="7"/>
  <c r="F155" i="7"/>
  <c r="H155" i="7" s="1"/>
  <c r="B156" i="7"/>
  <c r="C155" i="7"/>
  <c r="G155" i="7"/>
  <c r="D155" i="7" l="1"/>
  <c r="E155" i="7"/>
  <c r="C156" i="7"/>
  <c r="B157" i="7"/>
  <c r="F156" i="7"/>
  <c r="D156" i="7" l="1"/>
  <c r="E156" i="7"/>
  <c r="G156" i="7"/>
  <c r="H156" i="7"/>
  <c r="B158" i="7"/>
  <c r="C157" i="7"/>
  <c r="F157" i="7"/>
  <c r="G157" i="7" l="1"/>
  <c r="H157" i="7"/>
  <c r="D157" i="7"/>
  <c r="E157" i="7"/>
  <c r="B159" i="7"/>
  <c r="F158" i="7"/>
  <c r="C158" i="7"/>
  <c r="D158" i="7" l="1"/>
  <c r="E158" i="7"/>
  <c r="G158" i="7"/>
  <c r="H158" i="7"/>
  <c r="F159" i="7"/>
  <c r="H159" i="7" s="1"/>
  <c r="B160" i="7"/>
  <c r="C159" i="7"/>
  <c r="D159" i="7" l="1"/>
  <c r="E159" i="7"/>
  <c r="G159" i="7"/>
  <c r="B161" i="7"/>
  <c r="F160" i="7"/>
  <c r="C160" i="7"/>
  <c r="D160" i="7" l="1"/>
  <c r="E160" i="7"/>
  <c r="G160" i="7"/>
  <c r="H160" i="7"/>
  <c r="B162" i="7"/>
  <c r="C161" i="7"/>
  <c r="F161" i="7"/>
  <c r="H161" i="7" s="1"/>
  <c r="G161" i="7" l="1"/>
  <c r="D161" i="7"/>
  <c r="E161" i="7"/>
  <c r="F162" i="7"/>
  <c r="C162" i="7"/>
  <c r="B163" i="7"/>
  <c r="G162" i="7" l="1"/>
  <c r="H162" i="7"/>
  <c r="D162" i="7"/>
  <c r="E162" i="7"/>
  <c r="F163" i="7"/>
  <c r="H163" i="7" s="1"/>
  <c r="B164" i="7"/>
  <c r="C163" i="7"/>
  <c r="G163" i="7"/>
  <c r="D163" i="7" l="1"/>
  <c r="E163" i="7"/>
  <c r="C164" i="7"/>
  <c r="B165" i="7"/>
  <c r="F164" i="7"/>
  <c r="D164" i="7" l="1"/>
  <c r="E164" i="7"/>
  <c r="G164" i="7"/>
  <c r="H164" i="7"/>
  <c r="B166" i="7"/>
  <c r="C165" i="7"/>
  <c r="F165" i="7"/>
  <c r="H165" i="7" s="1"/>
  <c r="G165" i="7" l="1"/>
  <c r="D165" i="7"/>
  <c r="E165" i="7"/>
  <c r="B167" i="7"/>
  <c r="F166" i="7"/>
  <c r="C166" i="7"/>
  <c r="D166" i="7" l="1"/>
  <c r="E166" i="7"/>
  <c r="G166" i="7"/>
  <c r="H166" i="7"/>
  <c r="F167" i="7"/>
  <c r="H167" i="7" s="1"/>
  <c r="B168" i="7"/>
  <c r="C167" i="7"/>
  <c r="E167" i="7" s="1"/>
  <c r="G167" i="7"/>
  <c r="D167" i="7" l="1"/>
  <c r="B169" i="7"/>
  <c r="F168" i="7"/>
  <c r="C168" i="7"/>
  <c r="D168" i="7" l="1"/>
  <c r="E168" i="7"/>
  <c r="G168" i="7"/>
  <c r="H168" i="7"/>
  <c r="B170" i="7"/>
  <c r="C169" i="7"/>
  <c r="F169" i="7"/>
  <c r="H169" i="7" s="1"/>
  <c r="G169" i="7" l="1"/>
  <c r="D169" i="7"/>
  <c r="E169" i="7"/>
  <c r="F170" i="7"/>
  <c r="H170" i="7" s="1"/>
  <c r="B171" i="7"/>
  <c r="C170" i="7"/>
  <c r="E170" i="7" s="1"/>
  <c r="G170" i="7" l="1"/>
  <c r="D170" i="7"/>
  <c r="C171" i="7"/>
  <c r="B172" i="7"/>
  <c r="F171" i="7"/>
  <c r="G171" i="7" l="1"/>
  <c r="H171" i="7"/>
  <c r="D171" i="7"/>
  <c r="E171" i="7"/>
  <c r="B173" i="7"/>
  <c r="C172" i="7"/>
  <c r="F172" i="7"/>
  <c r="H172" i="7" s="1"/>
  <c r="G172" i="7" l="1"/>
  <c r="D172" i="7"/>
  <c r="E172" i="7"/>
  <c r="F173" i="7"/>
  <c r="B174" i="7"/>
  <c r="C173" i="7"/>
  <c r="G173" i="7" l="1"/>
  <c r="H173" i="7"/>
  <c r="D173" i="7"/>
  <c r="E173" i="7"/>
  <c r="F174" i="7"/>
  <c r="H174" i="7" s="1"/>
  <c r="B175" i="7"/>
  <c r="C174" i="7"/>
  <c r="G174" i="7"/>
  <c r="D174" i="7" l="1"/>
  <c r="E174" i="7"/>
  <c r="B176" i="7"/>
  <c r="C175" i="7"/>
  <c r="F175" i="7"/>
  <c r="D175" i="7" l="1"/>
  <c r="E175" i="7"/>
  <c r="G175" i="7"/>
  <c r="H175" i="7"/>
  <c r="B177" i="7"/>
  <c r="C176" i="7"/>
  <c r="F176" i="7"/>
  <c r="H176" i="7" s="1"/>
  <c r="G176" i="7" l="1"/>
  <c r="D176" i="7"/>
  <c r="E176" i="7"/>
  <c r="F177" i="7"/>
  <c r="C177" i="7"/>
  <c r="B178" i="7"/>
  <c r="D177" i="7" l="1"/>
  <c r="E177" i="7"/>
  <c r="G177" i="7"/>
  <c r="H177" i="7"/>
  <c r="F178" i="7"/>
  <c r="H178" i="7" s="1"/>
  <c r="B179" i="7"/>
  <c r="C178" i="7"/>
  <c r="G178" i="7" l="1"/>
  <c r="D178" i="7"/>
  <c r="E178" i="7"/>
  <c r="C179" i="7"/>
  <c r="B180" i="7"/>
  <c r="F179" i="7"/>
  <c r="D179" i="7" l="1"/>
  <c r="E179" i="7"/>
  <c r="G179" i="7"/>
  <c r="H179" i="7"/>
  <c r="B181" i="7"/>
  <c r="C180" i="7"/>
  <c r="F180" i="7"/>
  <c r="H180" i="7" s="1"/>
  <c r="G180" i="7" l="1"/>
  <c r="D180" i="7"/>
  <c r="E180" i="7"/>
  <c r="F181" i="7"/>
  <c r="B182" i="7"/>
  <c r="C181" i="7"/>
  <c r="G181" i="7" l="1"/>
  <c r="H181" i="7"/>
  <c r="D181" i="7"/>
  <c r="E181" i="7"/>
  <c r="F182" i="7"/>
  <c r="H182" i="7" s="1"/>
  <c r="B183" i="7"/>
  <c r="C182" i="7"/>
  <c r="G182" i="7" l="1"/>
  <c r="D182" i="7"/>
  <c r="E182" i="7"/>
  <c r="B184" i="7"/>
  <c r="C183" i="7"/>
  <c r="F183" i="7"/>
  <c r="D183" i="7" l="1"/>
  <c r="E183" i="7"/>
  <c r="G183" i="7"/>
  <c r="H183" i="7"/>
  <c r="B185" i="7"/>
  <c r="C184" i="7"/>
  <c r="F184" i="7"/>
  <c r="H184" i="7" s="1"/>
  <c r="G184" i="7" l="1"/>
  <c r="D184" i="7"/>
  <c r="E184" i="7"/>
  <c r="F185" i="7"/>
  <c r="B186" i="7"/>
  <c r="C185" i="7"/>
  <c r="D185" i="7" l="1"/>
  <c r="E185" i="7"/>
  <c r="G185" i="7"/>
  <c r="H185" i="7"/>
  <c r="F186" i="7"/>
  <c r="H186" i="7" s="1"/>
  <c r="B187" i="7"/>
  <c r="C186" i="7"/>
  <c r="G186" i="7" l="1"/>
  <c r="D186" i="7"/>
  <c r="E186" i="7"/>
  <c r="C187" i="7"/>
  <c r="B188" i="7"/>
  <c r="F187" i="7"/>
  <c r="G187" i="7" l="1"/>
  <c r="H187" i="7"/>
  <c r="D187" i="7"/>
  <c r="E187" i="7"/>
  <c r="B189" i="7"/>
  <c r="C188" i="7"/>
  <c r="F188" i="7"/>
  <c r="H188" i="7" s="1"/>
  <c r="G188" i="7" l="1"/>
  <c r="D188" i="7"/>
  <c r="E188" i="7"/>
  <c r="F189" i="7"/>
  <c r="B190" i="7"/>
  <c r="C189" i="7"/>
  <c r="D189" i="7" l="1"/>
  <c r="E189" i="7"/>
  <c r="G189" i="7"/>
  <c r="H189" i="7"/>
  <c r="F190" i="7"/>
  <c r="H190" i="7" s="1"/>
  <c r="B191" i="7"/>
  <c r="C190" i="7"/>
  <c r="G190" i="7" l="1"/>
  <c r="D190" i="7"/>
  <c r="E190" i="7"/>
  <c r="B192" i="7"/>
  <c r="C191" i="7"/>
  <c r="F191" i="7"/>
  <c r="D191" i="7" l="1"/>
  <c r="E191" i="7"/>
  <c r="G191" i="7"/>
  <c r="H191" i="7"/>
  <c r="B193" i="7"/>
  <c r="C192" i="7"/>
  <c r="F192" i="7"/>
  <c r="H192" i="7" s="1"/>
  <c r="G192" i="7" l="1"/>
  <c r="D192" i="7"/>
  <c r="E192" i="7"/>
  <c r="F193" i="7"/>
  <c r="C193" i="7"/>
  <c r="B194" i="7"/>
  <c r="D193" i="7" l="1"/>
  <c r="E193" i="7"/>
  <c r="G193" i="7"/>
  <c r="H193" i="7"/>
  <c r="F194" i="7"/>
  <c r="H194" i="7" s="1"/>
  <c r="B195" i="7"/>
  <c r="C194" i="7"/>
  <c r="G194" i="7"/>
  <c r="D194" i="7" l="1"/>
  <c r="E194" i="7"/>
  <c r="C195" i="7"/>
  <c r="B196" i="7"/>
  <c r="F195" i="7"/>
  <c r="G195" i="7" l="1"/>
  <c r="H195" i="7"/>
  <c r="D195" i="7"/>
  <c r="E195" i="7"/>
  <c r="B197" i="7"/>
  <c r="C196" i="7"/>
  <c r="F196" i="7"/>
  <c r="H196" i="7" s="1"/>
  <c r="G196" i="7" l="1"/>
  <c r="D196" i="7"/>
  <c r="E196" i="7"/>
  <c r="F197" i="7"/>
  <c r="B198" i="7"/>
  <c r="C197" i="7"/>
  <c r="D197" i="7" l="1"/>
  <c r="E197" i="7"/>
  <c r="G197" i="7"/>
  <c r="H197" i="7"/>
  <c r="F198" i="7"/>
  <c r="H198" i="7" s="1"/>
  <c r="B199" i="7"/>
  <c r="C198" i="7"/>
  <c r="G198" i="7"/>
  <c r="D198" i="7" l="1"/>
  <c r="E198" i="7"/>
  <c r="B200" i="7"/>
  <c r="C199" i="7"/>
  <c r="F199" i="7"/>
  <c r="D199" i="7" l="1"/>
  <c r="E199" i="7"/>
  <c r="G199" i="7"/>
  <c r="H199" i="7"/>
  <c r="B201" i="7"/>
  <c r="C200" i="7"/>
  <c r="F200" i="7"/>
  <c r="G200" i="7" l="1"/>
  <c r="H200" i="7"/>
  <c r="D200" i="7"/>
  <c r="E200" i="7"/>
  <c r="F201" i="7"/>
  <c r="B202" i="7"/>
  <c r="C201" i="7"/>
  <c r="D201" i="7" l="1"/>
  <c r="E201" i="7"/>
  <c r="G201" i="7"/>
  <c r="H201" i="7"/>
  <c r="F202" i="7"/>
  <c r="H202" i="7" s="1"/>
  <c r="B203" i="7"/>
  <c r="C202" i="7"/>
  <c r="D202" i="7" l="1"/>
  <c r="E202" i="7"/>
  <c r="G202" i="7"/>
  <c r="C203" i="7"/>
  <c r="B204" i="7"/>
  <c r="F203" i="7"/>
  <c r="D203" i="7" l="1"/>
  <c r="E203" i="7"/>
  <c r="G203" i="7"/>
  <c r="H203" i="7"/>
  <c r="B205" i="7"/>
  <c r="C204" i="7"/>
  <c r="F204" i="7"/>
  <c r="D204" i="7" l="1"/>
  <c r="E204" i="7"/>
  <c r="G204" i="7"/>
  <c r="H204" i="7"/>
  <c r="F205" i="7"/>
  <c r="B206" i="7"/>
  <c r="C205" i="7"/>
  <c r="D205" i="7" l="1"/>
  <c r="E205" i="7"/>
  <c r="G205" i="7"/>
  <c r="H205" i="7"/>
  <c r="F206" i="7"/>
  <c r="H206" i="7" s="1"/>
  <c r="B207" i="7"/>
  <c r="C206" i="7"/>
  <c r="E206" i="7" s="1"/>
  <c r="G206" i="7"/>
  <c r="D206" i="7" l="1"/>
  <c r="B208" i="7"/>
  <c r="C207" i="7"/>
  <c r="F207" i="7"/>
  <c r="G207" i="7" l="1"/>
  <c r="H207" i="7"/>
  <c r="D207" i="7"/>
  <c r="E207" i="7"/>
  <c r="B209" i="7"/>
  <c r="C208" i="7"/>
  <c r="F208" i="7"/>
  <c r="G208" i="7" l="1"/>
  <c r="H208" i="7"/>
  <c r="D208" i="7"/>
  <c r="E208" i="7"/>
  <c r="F209" i="7"/>
  <c r="C209" i="7"/>
  <c r="B210" i="7"/>
  <c r="D209" i="7" l="1"/>
  <c r="E209" i="7"/>
  <c r="G209" i="7"/>
  <c r="H209" i="7"/>
  <c r="F210" i="7"/>
  <c r="H210" i="7" s="1"/>
  <c r="B211" i="7"/>
  <c r="C210" i="7"/>
  <c r="G210" i="7" l="1"/>
  <c r="D210" i="7"/>
  <c r="E210" i="7"/>
  <c r="C211" i="7"/>
  <c r="B212" i="7"/>
  <c r="F211" i="7"/>
  <c r="D211" i="7" l="1"/>
  <c r="E211" i="7"/>
  <c r="G211" i="7"/>
  <c r="H211" i="7"/>
  <c r="B213" i="7"/>
  <c r="C212" i="7"/>
  <c r="F212" i="7"/>
  <c r="G212" i="7" l="1"/>
  <c r="H212" i="7"/>
  <c r="D212" i="7"/>
  <c r="E212" i="7"/>
  <c r="F213" i="7"/>
  <c r="B214" i="7"/>
  <c r="C213" i="7"/>
  <c r="D213" i="7" l="1"/>
  <c r="E213" i="7"/>
  <c r="G213" i="7"/>
  <c r="H213" i="7"/>
  <c r="F214" i="7"/>
  <c r="H214" i="7" s="1"/>
  <c r="B215" i="7"/>
  <c r="C214" i="7"/>
  <c r="G214" i="7" l="1"/>
  <c r="D214" i="7"/>
  <c r="E214" i="7"/>
  <c r="B216" i="7"/>
  <c r="C215" i="7"/>
  <c r="F215" i="7"/>
  <c r="D215" i="7" l="1"/>
  <c r="E215" i="7"/>
  <c r="G215" i="7"/>
  <c r="H215" i="7"/>
  <c r="B217" i="7"/>
  <c r="C216" i="7"/>
  <c r="E216" i="7" s="1"/>
  <c r="F216" i="7"/>
  <c r="D216" i="7" l="1"/>
  <c r="G216" i="7"/>
  <c r="H216" i="7"/>
  <c r="F217" i="7"/>
  <c r="B218" i="7"/>
  <c r="C217" i="7"/>
  <c r="G217" i="7" l="1"/>
  <c r="H217" i="7"/>
  <c r="D217" i="7"/>
  <c r="E217" i="7"/>
  <c r="F218" i="7"/>
  <c r="H218" i="7" s="1"/>
  <c r="B219" i="7"/>
  <c r="C218" i="7"/>
  <c r="G218" i="7" l="1"/>
  <c r="D218" i="7"/>
  <c r="E218" i="7"/>
  <c r="C219" i="7"/>
  <c r="B220" i="7"/>
  <c r="F219" i="7"/>
  <c r="D219" i="7" l="1"/>
  <c r="E219" i="7"/>
  <c r="G219" i="7"/>
  <c r="H219" i="7"/>
  <c r="B221" i="7"/>
  <c r="C220" i="7"/>
  <c r="F220" i="7"/>
  <c r="H220" i="7" s="1"/>
  <c r="D220" i="7" l="1"/>
  <c r="E220" i="7"/>
  <c r="G220" i="7"/>
  <c r="F221" i="7"/>
  <c r="B222" i="7"/>
  <c r="C221" i="7"/>
  <c r="G221" i="7" l="1"/>
  <c r="H221" i="7"/>
  <c r="D221" i="7"/>
  <c r="E221" i="7"/>
  <c r="F222" i="7"/>
  <c r="H222" i="7" s="1"/>
  <c r="B223" i="7"/>
  <c r="C222" i="7"/>
  <c r="G222" i="7" l="1"/>
  <c r="D222" i="7"/>
  <c r="E222" i="7"/>
  <c r="B224" i="7"/>
  <c r="C223" i="7"/>
  <c r="F223" i="7"/>
  <c r="D223" i="7" l="1"/>
  <c r="E223" i="7"/>
  <c r="G223" i="7"/>
  <c r="H223" i="7"/>
  <c r="B225" i="7"/>
  <c r="C224" i="7"/>
  <c r="F224" i="7"/>
  <c r="H224" i="7" s="1"/>
  <c r="G224" i="7" l="1"/>
  <c r="D224" i="7"/>
  <c r="E224" i="7"/>
  <c r="F225" i="7"/>
  <c r="C225" i="7"/>
  <c r="B226" i="7"/>
  <c r="D225" i="7" l="1"/>
  <c r="E225" i="7"/>
  <c r="G225" i="7"/>
  <c r="H225" i="7"/>
  <c r="F226" i="7"/>
  <c r="H226" i="7" s="1"/>
  <c r="B227" i="7"/>
  <c r="C226" i="7"/>
  <c r="G226" i="7" l="1"/>
  <c r="D226" i="7"/>
  <c r="E226" i="7"/>
  <c r="C227" i="7"/>
  <c r="B228" i="7"/>
  <c r="F227" i="7"/>
  <c r="D227" i="7" l="1"/>
  <c r="E227" i="7"/>
  <c r="G227" i="7"/>
  <c r="H227" i="7"/>
  <c r="B229" i="7"/>
  <c r="C228" i="7"/>
  <c r="F228" i="7"/>
  <c r="H228" i="7" s="1"/>
  <c r="G228" i="7" l="1"/>
  <c r="D228" i="7"/>
  <c r="E228" i="7"/>
  <c r="F229" i="7"/>
  <c r="B230" i="7"/>
  <c r="C229" i="7"/>
  <c r="G229" i="7" l="1"/>
  <c r="H229" i="7"/>
  <c r="D229" i="7"/>
  <c r="E229" i="7"/>
  <c r="F230" i="7"/>
  <c r="H230" i="7" s="1"/>
  <c r="B231" i="7"/>
  <c r="C230" i="7"/>
  <c r="E230" i="7" s="1"/>
  <c r="G230" i="7" l="1"/>
  <c r="D230" i="7"/>
  <c r="B232" i="7"/>
  <c r="C231" i="7"/>
  <c r="F231" i="7"/>
  <c r="D231" i="7" l="1"/>
  <c r="E231" i="7"/>
  <c r="G231" i="7"/>
  <c r="H231" i="7"/>
  <c r="B233" i="7"/>
  <c r="C232" i="7"/>
  <c r="F232" i="7"/>
  <c r="D232" i="7" l="1"/>
  <c r="E232" i="7"/>
  <c r="G232" i="7"/>
  <c r="H232" i="7"/>
  <c r="F233" i="7"/>
  <c r="B234" i="7"/>
  <c r="C233" i="7"/>
  <c r="D233" i="7" l="1"/>
  <c r="E233" i="7"/>
  <c r="G233" i="7"/>
  <c r="H233" i="7"/>
  <c r="F234" i="7"/>
  <c r="H234" i="7" s="1"/>
  <c r="B235" i="7"/>
  <c r="C234" i="7"/>
  <c r="G234" i="7"/>
  <c r="D234" i="7" l="1"/>
  <c r="E234" i="7"/>
  <c r="C235" i="7"/>
  <c r="B236" i="7"/>
  <c r="F235" i="7"/>
  <c r="D235" i="7" l="1"/>
  <c r="E235" i="7"/>
  <c r="G235" i="7"/>
  <c r="H235" i="7"/>
  <c r="B237" i="7"/>
  <c r="C236" i="7"/>
  <c r="F236" i="7"/>
  <c r="H236" i="7" s="1"/>
  <c r="G236" i="7" l="1"/>
  <c r="D236" i="7"/>
  <c r="E236" i="7"/>
  <c r="F237" i="7"/>
  <c r="B238" i="7"/>
  <c r="C237" i="7"/>
  <c r="D237" i="7" l="1"/>
  <c r="E237" i="7"/>
  <c r="G237" i="7"/>
  <c r="H237" i="7"/>
  <c r="F238" i="7"/>
  <c r="H238" i="7" s="1"/>
  <c r="B239" i="7"/>
  <c r="C238" i="7"/>
  <c r="G238" i="7"/>
  <c r="D238" i="7" l="1"/>
  <c r="E238" i="7"/>
  <c r="B240" i="7"/>
  <c r="C239" i="7"/>
  <c r="F239" i="7"/>
  <c r="D239" i="7" l="1"/>
  <c r="E239" i="7"/>
  <c r="G239" i="7"/>
  <c r="H239" i="7"/>
  <c r="B241" i="7"/>
  <c r="C240" i="7"/>
  <c r="F240" i="7"/>
  <c r="D240" i="7" l="1"/>
  <c r="E240" i="7"/>
  <c r="G240" i="7"/>
  <c r="H240" i="7"/>
  <c r="F241" i="7"/>
  <c r="C241" i="7"/>
  <c r="B242" i="7"/>
  <c r="D241" i="7" l="1"/>
  <c r="E241" i="7"/>
  <c r="G241" i="7"/>
  <c r="H241" i="7"/>
  <c r="F242" i="7"/>
  <c r="H242" i="7" s="1"/>
  <c r="B243" i="7"/>
  <c r="C242" i="7"/>
  <c r="G242" i="7"/>
  <c r="D242" i="7" l="1"/>
  <c r="E242" i="7"/>
  <c r="C243" i="7"/>
  <c r="B244" i="7"/>
  <c r="F243" i="7"/>
  <c r="D243" i="7" l="1"/>
  <c r="E243" i="7"/>
  <c r="G243" i="7"/>
  <c r="H243" i="7"/>
  <c r="B245" i="7"/>
  <c r="C244" i="7"/>
  <c r="F244" i="7"/>
  <c r="H244" i="7" s="1"/>
  <c r="G244" i="7" l="1"/>
  <c r="D244" i="7"/>
  <c r="E244" i="7"/>
  <c r="F245" i="7"/>
  <c r="B246" i="7"/>
  <c r="C245" i="7"/>
  <c r="G245" i="7" l="1"/>
  <c r="H245" i="7"/>
  <c r="D245" i="7"/>
  <c r="E245" i="7"/>
  <c r="F246" i="7"/>
  <c r="H246" i="7" s="1"/>
  <c r="B247" i="7"/>
  <c r="C246" i="7"/>
  <c r="G246" i="7"/>
  <c r="D246" i="7" l="1"/>
  <c r="E246" i="7"/>
  <c r="B248" i="7"/>
  <c r="C247" i="7"/>
  <c r="F247" i="7"/>
  <c r="D247" i="7" l="1"/>
  <c r="E247" i="7"/>
  <c r="G247" i="7"/>
  <c r="H247" i="7"/>
  <c r="B249" i="7"/>
  <c r="C248" i="7"/>
  <c r="F248" i="7"/>
  <c r="H248" i="7" s="1"/>
  <c r="G248" i="7" l="1"/>
  <c r="D248" i="7"/>
  <c r="E248" i="7"/>
  <c r="F249" i="7"/>
  <c r="B250" i="7"/>
  <c r="C249" i="7"/>
  <c r="G249" i="7" l="1"/>
  <c r="H249" i="7"/>
  <c r="D249" i="7"/>
  <c r="E249" i="7"/>
  <c r="F250" i="7"/>
  <c r="H250" i="7" s="1"/>
  <c r="B251" i="7"/>
  <c r="C250" i="7"/>
  <c r="G250" i="7" l="1"/>
  <c r="D250" i="7"/>
  <c r="E250" i="7"/>
  <c r="C251" i="7"/>
  <c r="B252" i="7"/>
  <c r="F251" i="7"/>
  <c r="D251" i="7" l="1"/>
  <c r="E251" i="7"/>
  <c r="G251" i="7"/>
  <c r="H251" i="7"/>
  <c r="B253" i="7"/>
  <c r="C252" i="7"/>
  <c r="F252" i="7"/>
  <c r="H252" i="7" s="1"/>
  <c r="G252" i="7" l="1"/>
  <c r="D252" i="7"/>
  <c r="E252" i="7"/>
  <c r="F253" i="7"/>
  <c r="B254" i="7"/>
  <c r="C253" i="7"/>
  <c r="D253" i="7" l="1"/>
  <c r="E253" i="7"/>
  <c r="G253" i="7"/>
  <c r="H253" i="7"/>
  <c r="F254" i="7"/>
  <c r="H254" i="7" s="1"/>
  <c r="B255" i="7"/>
  <c r="C254" i="7"/>
  <c r="E254" i="7" s="1"/>
  <c r="G254" i="7"/>
  <c r="D254" i="7" l="1"/>
  <c r="B256" i="7"/>
  <c r="C255" i="7"/>
  <c r="F255" i="7"/>
  <c r="G255" i="7" l="1"/>
  <c r="H255" i="7"/>
  <c r="D255" i="7"/>
  <c r="E255" i="7"/>
  <c r="B257" i="7"/>
  <c r="C256" i="7"/>
  <c r="F256" i="7"/>
  <c r="H256" i="7" s="1"/>
  <c r="G256" i="7" l="1"/>
  <c r="D256" i="7"/>
  <c r="E256" i="7"/>
  <c r="F257" i="7"/>
  <c r="C257" i="7"/>
  <c r="B258" i="7"/>
  <c r="D257" i="7" l="1"/>
  <c r="E257" i="7"/>
  <c r="G257" i="7"/>
  <c r="H257" i="7"/>
  <c r="F258" i="7"/>
  <c r="H258" i="7" s="1"/>
  <c r="B259" i="7"/>
  <c r="C258" i="7"/>
  <c r="G258" i="7" l="1"/>
  <c r="D258" i="7"/>
  <c r="E258" i="7"/>
  <c r="C259" i="7"/>
  <c r="B260" i="7"/>
  <c r="F259" i="7"/>
  <c r="D259" i="7" l="1"/>
  <c r="E259" i="7"/>
  <c r="G259" i="7"/>
  <c r="H259" i="7"/>
  <c r="B261" i="7"/>
  <c r="C260" i="7"/>
  <c r="F260" i="7"/>
  <c r="H260" i="7" s="1"/>
  <c r="G260" i="7" l="1"/>
  <c r="D260" i="7"/>
  <c r="E260" i="7"/>
  <c r="F261" i="7"/>
  <c r="B262" i="7"/>
  <c r="C261" i="7"/>
  <c r="G261" i="7" l="1"/>
  <c r="H261" i="7"/>
  <c r="D261" i="7"/>
  <c r="E261" i="7"/>
  <c r="F262" i="7"/>
  <c r="H262" i="7" s="1"/>
  <c r="B263" i="7"/>
  <c r="C262" i="7"/>
  <c r="G262" i="7"/>
  <c r="D262" i="7" l="1"/>
  <c r="E262" i="7"/>
  <c r="B264" i="7"/>
  <c r="C263" i="7"/>
  <c r="F263" i="7"/>
  <c r="D263" i="7" l="1"/>
  <c r="E263" i="7"/>
  <c r="G263" i="7"/>
  <c r="H263" i="7"/>
  <c r="B265" i="7"/>
  <c r="C264" i="7"/>
  <c r="F264" i="7"/>
  <c r="D264" i="7" l="1"/>
  <c r="E264" i="7"/>
  <c r="G264" i="7"/>
  <c r="H264" i="7"/>
  <c r="F265" i="7"/>
  <c r="B266" i="7"/>
  <c r="C265" i="7"/>
  <c r="D265" i="7" l="1"/>
  <c r="E265" i="7"/>
  <c r="G265" i="7"/>
  <c r="H265" i="7"/>
  <c r="F266" i="7"/>
  <c r="H266" i="7" s="1"/>
  <c r="B267" i="7"/>
  <c r="C266" i="7"/>
  <c r="E266" i="7" s="1"/>
  <c r="G266" i="7" l="1"/>
  <c r="D266" i="7"/>
  <c r="C267" i="7"/>
  <c r="B268" i="7"/>
  <c r="F267" i="7"/>
  <c r="G267" i="7" l="1"/>
  <c r="H267" i="7"/>
  <c r="D267" i="7"/>
  <c r="E267" i="7"/>
  <c r="B269" i="7"/>
  <c r="C268" i="7"/>
  <c r="F268" i="7"/>
  <c r="H268" i="7" s="1"/>
  <c r="G268" i="7" l="1"/>
  <c r="D268" i="7"/>
  <c r="E268" i="7"/>
  <c r="F269" i="7"/>
  <c r="B270" i="7"/>
  <c r="C269" i="7"/>
  <c r="D269" i="7" l="1"/>
  <c r="E269" i="7"/>
  <c r="G269" i="7"/>
  <c r="H269" i="7"/>
  <c r="F270" i="7"/>
  <c r="H270" i="7" s="1"/>
  <c r="B271" i="7"/>
  <c r="C270" i="7"/>
  <c r="G270" i="7" l="1"/>
  <c r="D270" i="7"/>
  <c r="E270" i="7"/>
  <c r="B272" i="7"/>
  <c r="C271" i="7"/>
  <c r="F271" i="7"/>
  <c r="D271" i="7" l="1"/>
  <c r="E271" i="7"/>
  <c r="G271" i="7"/>
  <c r="H271" i="7"/>
  <c r="F272" i="7"/>
  <c r="H272" i="7" s="1"/>
  <c r="B273" i="7"/>
  <c r="C272" i="7"/>
  <c r="G272" i="7" l="1"/>
  <c r="D272" i="7"/>
  <c r="E272" i="7"/>
  <c r="B274" i="7"/>
  <c r="C273" i="7"/>
  <c r="F273" i="7"/>
  <c r="D273" i="7" l="1"/>
  <c r="E273" i="7"/>
  <c r="G273" i="7"/>
  <c r="H273" i="7"/>
  <c r="B275" i="7"/>
  <c r="C274" i="7"/>
  <c r="F274" i="7"/>
  <c r="H274" i="7" s="1"/>
  <c r="G274" i="7" l="1"/>
  <c r="D274" i="7"/>
  <c r="E274" i="7"/>
  <c r="F275" i="7"/>
  <c r="C275" i="7"/>
  <c r="B276" i="7"/>
  <c r="D275" i="7" l="1"/>
  <c r="E275" i="7"/>
  <c r="G275" i="7"/>
  <c r="H275" i="7"/>
  <c r="F276" i="7"/>
  <c r="H276" i="7" s="1"/>
  <c r="B277" i="7"/>
  <c r="C276" i="7"/>
  <c r="G276" i="7"/>
  <c r="D276" i="7" l="1"/>
  <c r="E276" i="7"/>
  <c r="C277" i="7"/>
  <c r="B278" i="7"/>
  <c r="F277" i="7"/>
  <c r="D277" i="7" l="1"/>
  <c r="E277" i="7"/>
  <c r="G277" i="7"/>
  <c r="H277" i="7"/>
  <c r="B279" i="7"/>
  <c r="C278" i="7"/>
  <c r="F278" i="7"/>
  <c r="H278" i="7" s="1"/>
  <c r="G278" i="7" l="1"/>
  <c r="D278" i="7"/>
  <c r="E278" i="7"/>
  <c r="F279" i="7"/>
  <c r="B280" i="7"/>
  <c r="C279" i="7"/>
  <c r="G279" i="7" l="1"/>
  <c r="H279" i="7"/>
  <c r="D279" i="7"/>
  <c r="E279" i="7"/>
  <c r="F280" i="7"/>
  <c r="H280" i="7" s="1"/>
  <c r="B281" i="7"/>
  <c r="C280" i="7"/>
  <c r="G280" i="7"/>
  <c r="D280" i="7" l="1"/>
  <c r="E280" i="7"/>
  <c r="B282" i="7"/>
  <c r="C281" i="7"/>
  <c r="F281" i="7"/>
  <c r="D281" i="7" l="1"/>
  <c r="E281" i="7"/>
  <c r="G281" i="7"/>
  <c r="H281" i="7"/>
  <c r="B283" i="7"/>
  <c r="C282" i="7"/>
  <c r="F282" i="7"/>
  <c r="H282" i="7" s="1"/>
  <c r="G282" i="7" l="1"/>
  <c r="D282" i="7"/>
  <c r="E282" i="7"/>
  <c r="F283" i="7"/>
  <c r="C283" i="7"/>
  <c r="B284" i="7"/>
  <c r="D283" i="7" l="1"/>
  <c r="E283" i="7"/>
  <c r="G283" i="7"/>
  <c r="H283" i="7"/>
  <c r="F284" i="7"/>
  <c r="H284" i="7" s="1"/>
  <c r="B285" i="7"/>
  <c r="C284" i="7"/>
  <c r="G284" i="7" l="1"/>
  <c r="D284" i="7"/>
  <c r="E284" i="7"/>
  <c r="C285" i="7"/>
  <c r="B286" i="7"/>
  <c r="F285" i="7"/>
  <c r="G285" i="7" l="1"/>
  <c r="H285" i="7"/>
  <c r="D285" i="7"/>
  <c r="E285" i="7"/>
  <c r="B287" i="7"/>
  <c r="C286" i="7"/>
  <c r="F286" i="7"/>
  <c r="H286" i="7" s="1"/>
  <c r="G286" i="7" l="1"/>
  <c r="D286" i="7"/>
  <c r="E286" i="7"/>
  <c r="F287" i="7"/>
  <c r="B288" i="7"/>
  <c r="C287" i="7"/>
  <c r="D287" i="7" l="1"/>
  <c r="E287" i="7"/>
  <c r="G287" i="7"/>
  <c r="H287" i="7"/>
  <c r="F288" i="7"/>
  <c r="H288" i="7" s="1"/>
  <c r="B289" i="7"/>
  <c r="C288" i="7"/>
  <c r="E288" i="7" s="1"/>
  <c r="G288" i="7"/>
  <c r="D288" i="7" l="1"/>
  <c r="B290" i="7"/>
  <c r="C289" i="7"/>
  <c r="F289" i="7"/>
  <c r="G289" i="7" l="1"/>
  <c r="H289" i="7"/>
  <c r="D289" i="7"/>
  <c r="E289" i="7"/>
  <c r="B291" i="7"/>
  <c r="C290" i="7"/>
  <c r="F290" i="7"/>
  <c r="G290" i="7" l="1"/>
  <c r="H290" i="7"/>
  <c r="D290" i="7"/>
  <c r="E290" i="7"/>
  <c r="F291" i="7"/>
  <c r="C291" i="7"/>
  <c r="B292" i="7"/>
  <c r="D291" i="7" l="1"/>
  <c r="E291" i="7"/>
  <c r="G291" i="7"/>
  <c r="H291" i="7"/>
  <c r="F292" i="7"/>
  <c r="H292" i="7" s="1"/>
  <c r="B293" i="7"/>
  <c r="C292" i="7"/>
  <c r="G292" i="7" l="1"/>
  <c r="D292" i="7"/>
  <c r="E292" i="7"/>
  <c r="C293" i="7"/>
  <c r="B294" i="7"/>
  <c r="F293" i="7"/>
  <c r="D293" i="7" l="1"/>
  <c r="E293" i="7"/>
  <c r="G293" i="7"/>
  <c r="H293" i="7"/>
  <c r="B295" i="7"/>
  <c r="C294" i="7"/>
  <c r="F294" i="7"/>
  <c r="G294" i="7" l="1"/>
  <c r="H294" i="7"/>
  <c r="D294" i="7"/>
  <c r="E294" i="7"/>
  <c r="F295" i="7"/>
  <c r="B296" i="7"/>
  <c r="C295" i="7"/>
  <c r="D295" i="7" l="1"/>
  <c r="E295" i="7"/>
  <c r="G295" i="7"/>
  <c r="H295" i="7"/>
  <c r="F296" i="7"/>
  <c r="H296" i="7" s="1"/>
  <c r="B297" i="7"/>
  <c r="C296" i="7"/>
  <c r="G296" i="7"/>
  <c r="D296" i="7" l="1"/>
  <c r="E296" i="7"/>
  <c r="B298" i="7"/>
  <c r="C297" i="7"/>
  <c r="F297" i="7"/>
  <c r="D297" i="7" l="1"/>
  <c r="E297" i="7"/>
  <c r="G297" i="7"/>
  <c r="H297" i="7"/>
  <c r="B299" i="7"/>
  <c r="C298" i="7"/>
  <c r="F298" i="7"/>
  <c r="H298" i="7" s="1"/>
  <c r="G298" i="7" l="1"/>
  <c r="D298" i="7"/>
  <c r="E298" i="7"/>
  <c r="F299" i="7"/>
  <c r="C299" i="7"/>
  <c r="B300" i="7"/>
  <c r="D299" i="7" l="1"/>
  <c r="E299" i="7"/>
  <c r="G299" i="7"/>
  <c r="H299" i="7"/>
  <c r="F300" i="7"/>
  <c r="H300" i="7" s="1"/>
  <c r="B301" i="7"/>
  <c r="C300" i="7"/>
  <c r="G300" i="7" l="1"/>
  <c r="D300" i="7"/>
  <c r="E300" i="7"/>
  <c r="C301" i="7"/>
  <c r="B302" i="7"/>
  <c r="F301" i="7"/>
  <c r="D301" i="7" l="1"/>
  <c r="E301" i="7"/>
  <c r="G301" i="7"/>
  <c r="H301" i="7"/>
  <c r="B303" i="7"/>
  <c r="C302" i="7"/>
  <c r="F302" i="7"/>
  <c r="D302" i="7" l="1"/>
  <c r="E302" i="7"/>
  <c r="G302" i="7"/>
  <c r="H302" i="7"/>
  <c r="F303" i="7"/>
  <c r="B304" i="7"/>
  <c r="C303" i="7"/>
  <c r="D303" i="7" l="1"/>
  <c r="E303" i="7"/>
  <c r="G303" i="7"/>
  <c r="H303" i="7"/>
  <c r="F304" i="7"/>
  <c r="H304" i="7" s="1"/>
  <c r="B305" i="7"/>
  <c r="C304" i="7"/>
  <c r="E304" i="7" s="1"/>
  <c r="G304" i="7" l="1"/>
  <c r="D304" i="7"/>
  <c r="B306" i="7"/>
  <c r="C305" i="7"/>
  <c r="F305" i="7"/>
  <c r="G305" i="7" l="1"/>
  <c r="H305" i="7"/>
  <c r="D305" i="7"/>
  <c r="E305" i="7"/>
  <c r="F306" i="7"/>
  <c r="C306" i="7"/>
  <c r="B307" i="7"/>
  <c r="D306" i="7" l="1"/>
  <c r="E306" i="7"/>
  <c r="G306" i="7"/>
  <c r="H306" i="7"/>
  <c r="F307" i="7"/>
  <c r="H307" i="7" s="1"/>
  <c r="B308" i="7"/>
  <c r="C307" i="7"/>
  <c r="G307" i="7" l="1"/>
  <c r="D307" i="7"/>
  <c r="E307" i="7"/>
  <c r="B309" i="7"/>
  <c r="C308" i="7"/>
  <c r="F308" i="7"/>
  <c r="D308" i="7" l="1"/>
  <c r="E308" i="7"/>
  <c r="G308" i="7"/>
  <c r="H308" i="7"/>
  <c r="B310" i="7"/>
  <c r="C309" i="7"/>
  <c r="E309" i="7" s="1"/>
  <c r="F309" i="7"/>
  <c r="D309" i="7" l="1"/>
  <c r="G309" i="7"/>
  <c r="H309" i="7"/>
  <c r="F310" i="7"/>
  <c r="B311" i="7"/>
  <c r="C310" i="7"/>
  <c r="G310" i="7" l="1"/>
  <c r="H310" i="7"/>
  <c r="D310" i="7"/>
  <c r="E310" i="7"/>
  <c r="F311" i="7"/>
  <c r="H311" i="7" s="1"/>
  <c r="C311" i="7"/>
  <c r="B312" i="7"/>
  <c r="G311" i="7" l="1"/>
  <c r="D311" i="7"/>
  <c r="E311" i="7"/>
  <c r="B313" i="7"/>
  <c r="C312" i="7"/>
  <c r="F312" i="7"/>
  <c r="G312" i="7" l="1"/>
  <c r="H312" i="7"/>
  <c r="D312" i="7"/>
  <c r="E312" i="7"/>
  <c r="B314" i="7"/>
  <c r="C313" i="7"/>
  <c r="F313" i="7"/>
  <c r="G313" i="7" l="1"/>
  <c r="H313" i="7"/>
  <c r="D313" i="7"/>
  <c r="E313" i="7"/>
  <c r="F314" i="7"/>
  <c r="C314" i="7"/>
  <c r="B315" i="7"/>
  <c r="D314" i="7" l="1"/>
  <c r="E314" i="7"/>
  <c r="G314" i="7"/>
  <c r="H314" i="7"/>
  <c r="F315" i="7"/>
  <c r="H315" i="7" s="1"/>
  <c r="B316" i="7"/>
  <c r="C315" i="7"/>
  <c r="G315" i="7" l="1"/>
  <c r="D315" i="7"/>
  <c r="E315" i="7"/>
  <c r="B317" i="7"/>
  <c r="C316" i="7"/>
  <c r="F316" i="7"/>
  <c r="D316" i="7" l="1"/>
  <c r="E316" i="7"/>
  <c r="G316" i="7"/>
  <c r="H316" i="7"/>
  <c r="B318" i="7"/>
  <c r="C317" i="7"/>
  <c r="F317" i="7"/>
  <c r="D317" i="7" l="1"/>
  <c r="E317" i="7"/>
  <c r="G317" i="7"/>
  <c r="H317" i="7"/>
  <c r="F318" i="7"/>
  <c r="B319" i="7"/>
  <c r="C318" i="7"/>
  <c r="D318" i="7" l="1"/>
  <c r="E318" i="7"/>
  <c r="G318" i="7"/>
  <c r="H318" i="7"/>
  <c r="F319" i="7"/>
  <c r="H319" i="7" s="1"/>
  <c r="C319" i="7"/>
  <c r="B320" i="7"/>
  <c r="G319" i="7"/>
  <c r="D319" i="7" l="1"/>
  <c r="E319" i="7"/>
  <c r="B321" i="7"/>
  <c r="C320" i="7"/>
  <c r="F320" i="7"/>
  <c r="D320" i="7" l="1"/>
  <c r="E320" i="7"/>
  <c r="G320" i="7"/>
  <c r="H320" i="7"/>
  <c r="B322" i="7"/>
  <c r="C321" i="7"/>
  <c r="F321" i="7"/>
  <c r="G321" i="7" l="1"/>
  <c r="H321" i="7"/>
  <c r="D321" i="7"/>
  <c r="E321" i="7"/>
  <c r="F322" i="7"/>
  <c r="C322" i="7"/>
  <c r="B323" i="7"/>
  <c r="D322" i="7" l="1"/>
  <c r="E322" i="7"/>
  <c r="G322" i="7"/>
  <c r="H322" i="7"/>
  <c r="F323" i="7"/>
  <c r="H323" i="7" s="1"/>
  <c r="B324" i="7"/>
  <c r="C323" i="7"/>
  <c r="G323" i="7"/>
  <c r="D323" i="7" l="1"/>
  <c r="E323" i="7"/>
  <c r="B325" i="7"/>
  <c r="C324" i="7"/>
  <c r="F324" i="7"/>
  <c r="D324" i="7" l="1"/>
  <c r="E324" i="7"/>
  <c r="G324" i="7"/>
  <c r="H324" i="7"/>
  <c r="B326" i="7"/>
  <c r="C325" i="7"/>
  <c r="F325" i="7"/>
  <c r="G325" i="7" l="1"/>
  <c r="H325" i="7"/>
  <c r="D325" i="7"/>
  <c r="E325" i="7"/>
  <c r="F326" i="7"/>
  <c r="B327" i="7"/>
  <c r="C326" i="7"/>
  <c r="D326" i="7" l="1"/>
  <c r="E326" i="7"/>
  <c r="G326" i="7"/>
  <c r="H326" i="7"/>
  <c r="F327" i="7"/>
  <c r="H327" i="7" s="1"/>
  <c r="C327" i="7"/>
  <c r="B328" i="7"/>
  <c r="G327" i="7" l="1"/>
  <c r="D327" i="7"/>
  <c r="E327" i="7"/>
  <c r="B329" i="7"/>
  <c r="C328" i="7"/>
  <c r="F328" i="7"/>
  <c r="G328" i="7" l="1"/>
  <c r="H328" i="7"/>
  <c r="D328" i="7"/>
  <c r="E328" i="7"/>
  <c r="B330" i="7"/>
  <c r="C329" i="7"/>
  <c r="F329" i="7"/>
  <c r="G329" i="7" l="1"/>
  <c r="H329" i="7"/>
  <c r="D329" i="7"/>
  <c r="E329" i="7"/>
  <c r="F330" i="7"/>
  <c r="C330" i="7"/>
  <c r="B331" i="7"/>
  <c r="D330" i="7" l="1"/>
  <c r="E330" i="7"/>
  <c r="G330" i="7"/>
  <c r="H330" i="7"/>
  <c r="F331" i="7"/>
  <c r="H331" i="7" s="1"/>
  <c r="B332" i="7"/>
  <c r="C331" i="7"/>
  <c r="G331" i="7" l="1"/>
  <c r="D331" i="7"/>
  <c r="E331" i="7"/>
  <c r="B333" i="7"/>
  <c r="C332" i="7"/>
  <c r="F332" i="7"/>
  <c r="D332" i="7" l="1"/>
  <c r="E332" i="7"/>
  <c r="G332" i="7"/>
  <c r="H332" i="7"/>
  <c r="B334" i="7"/>
  <c r="C333" i="7"/>
  <c r="F333" i="7"/>
  <c r="G333" i="7" l="1"/>
  <c r="H333" i="7"/>
  <c r="D333" i="7"/>
  <c r="E333" i="7"/>
  <c r="F334" i="7"/>
  <c r="B335" i="7"/>
  <c r="C334" i="7"/>
  <c r="D334" i="7" l="1"/>
  <c r="E334" i="7"/>
  <c r="G334" i="7"/>
  <c r="H334" i="7"/>
  <c r="F335" i="7"/>
  <c r="H335" i="7" s="1"/>
  <c r="C335" i="7"/>
  <c r="B336" i="7"/>
  <c r="G335" i="7"/>
  <c r="D335" i="7" l="1"/>
  <c r="E335" i="7"/>
  <c r="B337" i="7"/>
  <c r="C336" i="7"/>
  <c r="F336" i="7"/>
  <c r="D336" i="7" l="1"/>
  <c r="E336" i="7"/>
  <c r="G336" i="7"/>
  <c r="H336" i="7"/>
  <c r="B338" i="7"/>
  <c r="C337" i="7"/>
  <c r="F337" i="7"/>
  <c r="G337" i="7" l="1"/>
  <c r="H337" i="7"/>
  <c r="D337" i="7"/>
  <c r="E337" i="7"/>
  <c r="F338" i="7"/>
  <c r="C338" i="7"/>
  <c r="B339" i="7"/>
  <c r="D338" i="7" l="1"/>
  <c r="E338" i="7"/>
  <c r="G338" i="7"/>
  <c r="H338" i="7"/>
  <c r="F339" i="7"/>
  <c r="H339" i="7" s="1"/>
  <c r="B340" i="7"/>
  <c r="C339" i="7"/>
  <c r="G339" i="7" l="1"/>
  <c r="D339" i="7"/>
  <c r="E339" i="7"/>
  <c r="B341" i="7"/>
  <c r="F340" i="7"/>
  <c r="C340" i="7"/>
  <c r="D340" i="7" l="1"/>
  <c r="E340" i="7"/>
  <c r="G340" i="7"/>
  <c r="H340" i="7"/>
  <c r="B342" i="7"/>
  <c r="C341" i="7"/>
  <c r="F341" i="7"/>
  <c r="G341" i="7" l="1"/>
  <c r="H341" i="7"/>
  <c r="D341" i="7"/>
  <c r="E341" i="7"/>
  <c r="F342" i="7"/>
  <c r="C342" i="7"/>
  <c r="B343" i="7"/>
  <c r="D342" i="7" l="1"/>
  <c r="E342" i="7"/>
  <c r="G342" i="7"/>
  <c r="H342" i="7"/>
  <c r="F343" i="7"/>
  <c r="H343" i="7" s="1"/>
  <c r="C343" i="7"/>
  <c r="B344" i="7"/>
  <c r="G343" i="7" l="1"/>
  <c r="D343" i="7"/>
  <c r="E343" i="7"/>
  <c r="B345" i="7"/>
  <c r="C344" i="7"/>
  <c r="F344" i="7"/>
  <c r="D344" i="7" l="1"/>
  <c r="E344" i="7"/>
  <c r="G344" i="7"/>
  <c r="H344" i="7"/>
  <c r="B346" i="7"/>
  <c r="C345" i="7"/>
  <c r="E345" i="7" s="1"/>
  <c r="F345" i="7"/>
  <c r="H345" i="7" s="1"/>
  <c r="G345" i="7" l="1"/>
  <c r="D345" i="7"/>
  <c r="F346" i="7"/>
  <c r="B347" i="7"/>
  <c r="C346" i="7"/>
  <c r="G346" i="7" l="1"/>
  <c r="H346" i="7"/>
  <c r="D346" i="7"/>
  <c r="E346" i="7"/>
  <c r="F347" i="7"/>
  <c r="H347" i="7" s="1"/>
  <c r="B348" i="7"/>
  <c r="C347" i="7"/>
  <c r="E347" i="7" s="1"/>
  <c r="D347" i="7" l="1"/>
  <c r="G347" i="7"/>
  <c r="B349" i="7"/>
  <c r="C348" i="7"/>
  <c r="F348" i="7"/>
  <c r="H348" i="7" s="1"/>
  <c r="G348" i="7" l="1"/>
  <c r="D348" i="7"/>
  <c r="E348" i="7"/>
  <c r="B350" i="7"/>
  <c r="C349" i="7"/>
  <c r="F349" i="7"/>
  <c r="D349" i="7" l="1"/>
  <c r="E349" i="7"/>
  <c r="G349" i="7"/>
  <c r="H349" i="7"/>
  <c r="F350" i="7"/>
  <c r="C350" i="7"/>
  <c r="B351" i="7"/>
  <c r="D350" i="7" l="1"/>
  <c r="E350" i="7"/>
  <c r="G350" i="7"/>
  <c r="H350" i="7"/>
  <c r="F351" i="7"/>
  <c r="H351" i="7" s="1"/>
  <c r="C351" i="7"/>
  <c r="B352" i="7"/>
  <c r="G351" i="7" l="1"/>
  <c r="D351" i="7"/>
  <c r="E351" i="7"/>
  <c r="B353" i="7"/>
  <c r="C352" i="7"/>
  <c r="F352" i="7"/>
  <c r="D352" i="7" l="1"/>
  <c r="E352" i="7"/>
  <c r="G352" i="7"/>
  <c r="H352" i="7"/>
  <c r="B354" i="7"/>
  <c r="C353" i="7"/>
  <c r="E353" i="7" s="1"/>
  <c r="F353" i="7"/>
  <c r="H353" i="7" s="1"/>
  <c r="G353" i="7" l="1"/>
  <c r="D353" i="7"/>
  <c r="F354" i="7"/>
  <c r="B355" i="7"/>
  <c r="C354" i="7"/>
  <c r="D354" i="7" l="1"/>
  <c r="E354" i="7"/>
  <c r="G354" i="7"/>
  <c r="H354" i="7"/>
  <c r="F355" i="7"/>
  <c r="H355" i="7" s="1"/>
  <c r="B356" i="7"/>
  <c r="C355" i="7"/>
  <c r="G355" i="7" l="1"/>
  <c r="D355" i="7"/>
  <c r="E355" i="7"/>
  <c r="B357" i="7"/>
  <c r="C356" i="7"/>
  <c r="F356" i="7"/>
  <c r="G356" i="7" l="1"/>
  <c r="H356" i="7"/>
  <c r="D356" i="7"/>
  <c r="E356" i="7"/>
  <c r="B358" i="7"/>
  <c r="C357" i="7"/>
  <c r="F357" i="7"/>
  <c r="G357" i="7" l="1"/>
  <c r="H357" i="7"/>
  <c r="D357" i="7"/>
  <c r="E357" i="7"/>
  <c r="F358" i="7"/>
  <c r="C358" i="7"/>
  <c r="B359" i="7"/>
  <c r="D358" i="7" l="1"/>
  <c r="E358" i="7"/>
  <c r="G358" i="7"/>
  <c r="H358" i="7"/>
  <c r="F359" i="7"/>
  <c r="H359" i="7" s="1"/>
  <c r="C359" i="7"/>
  <c r="B360" i="7"/>
  <c r="G359" i="7" l="1"/>
  <c r="D359" i="7"/>
  <c r="E359" i="7"/>
  <c r="B361" i="7"/>
  <c r="C360" i="7"/>
  <c r="F360" i="7"/>
  <c r="D360" i="7" l="1"/>
  <c r="E360" i="7"/>
  <c r="G360" i="7"/>
  <c r="H360" i="7"/>
  <c r="B362" i="7"/>
  <c r="C361" i="7"/>
  <c r="E361" i="7" s="1"/>
  <c r="F361" i="7"/>
  <c r="H361" i="7" s="1"/>
  <c r="G361" i="7" l="1"/>
  <c r="D361" i="7"/>
  <c r="F362" i="7"/>
  <c r="B363" i="7"/>
  <c r="C362" i="7"/>
  <c r="G362" i="7" l="1"/>
  <c r="H362" i="7"/>
  <c r="D362" i="7"/>
  <c r="E362" i="7"/>
  <c r="F363" i="7"/>
  <c r="H363" i="7" s="1"/>
  <c r="B364" i="7"/>
  <c r="C363" i="7"/>
  <c r="E363" i="7" s="1"/>
  <c r="D363" i="7" l="1"/>
  <c r="G363" i="7"/>
  <c r="B365" i="7"/>
  <c r="C364" i="7"/>
  <c r="F364" i="7"/>
  <c r="G364" i="7" l="1"/>
  <c r="H364" i="7"/>
  <c r="D364" i="7"/>
  <c r="E364" i="7"/>
  <c r="B366" i="7"/>
  <c r="C365" i="7"/>
  <c r="F365" i="7"/>
  <c r="G365" i="7" l="1"/>
  <c r="H365" i="7"/>
  <c r="D365" i="7"/>
  <c r="E365" i="7"/>
  <c r="F366" i="7"/>
  <c r="C366" i="7"/>
  <c r="B367" i="7"/>
  <c r="D366" i="7" l="1"/>
  <c r="E366" i="7"/>
  <c r="G366" i="7"/>
  <c r="H366" i="7"/>
  <c r="F367" i="7"/>
  <c r="H367" i="7" s="1"/>
  <c r="C367" i="7"/>
  <c r="B368" i="7"/>
  <c r="G367" i="7" l="1"/>
  <c r="D367" i="7"/>
  <c r="E367" i="7"/>
  <c r="B369" i="7"/>
  <c r="C368" i="7"/>
  <c r="F368" i="7"/>
  <c r="D368" i="7" l="1"/>
  <c r="E368" i="7"/>
  <c r="G368" i="7"/>
  <c r="H368" i="7"/>
  <c r="B370" i="7"/>
  <c r="C369" i="7"/>
  <c r="E369" i="7" s="1"/>
  <c r="F369" i="7"/>
  <c r="H369" i="7" s="1"/>
  <c r="D369" i="7" l="1"/>
  <c r="G369" i="7"/>
  <c r="F370" i="7"/>
  <c r="B371" i="7"/>
  <c r="C370" i="7"/>
  <c r="D370" i="7" l="1"/>
  <c r="E370" i="7"/>
  <c r="G370" i="7"/>
  <c r="H370" i="7"/>
  <c r="F371" i="7"/>
  <c r="H371" i="7" s="1"/>
  <c r="B372" i="7"/>
  <c r="C371" i="7"/>
  <c r="G371" i="7" l="1"/>
  <c r="D371" i="7"/>
  <c r="E371" i="7"/>
  <c r="B373" i="7"/>
  <c r="C372" i="7"/>
  <c r="F372" i="7"/>
  <c r="H372" i="7" s="1"/>
  <c r="G372" i="7" l="1"/>
  <c r="D372" i="7"/>
  <c r="E372" i="7"/>
  <c r="B374" i="7"/>
  <c r="C373" i="7"/>
  <c r="E373" i="7" s="1"/>
  <c r="F373" i="7"/>
  <c r="D373" i="7" l="1"/>
  <c r="G373" i="7"/>
  <c r="H373" i="7"/>
  <c r="F374" i="7"/>
  <c r="C374" i="7"/>
  <c r="B375" i="7"/>
  <c r="D374" i="7" l="1"/>
  <c r="E374" i="7"/>
  <c r="G374" i="7"/>
  <c r="H374" i="7"/>
  <c r="F375" i="7"/>
  <c r="H375" i="7" s="1"/>
  <c r="C375" i="7"/>
  <c r="B376" i="7"/>
  <c r="G375" i="7" l="1"/>
  <c r="D375" i="7"/>
  <c r="E375" i="7"/>
  <c r="B377" i="7"/>
  <c r="C376" i="7"/>
  <c r="F376" i="7"/>
  <c r="D376" i="7" l="1"/>
  <c r="E376" i="7"/>
  <c r="G376" i="7"/>
  <c r="H376" i="7"/>
  <c r="B378" i="7"/>
  <c r="C377" i="7"/>
  <c r="E377" i="7" s="1"/>
  <c r="F377" i="7"/>
  <c r="H377" i="7" s="1"/>
  <c r="G377" i="7" l="1"/>
  <c r="D377" i="7"/>
  <c r="F378" i="7"/>
  <c r="B379" i="7"/>
  <c r="C378" i="7"/>
  <c r="D378" i="7" l="1"/>
  <c r="E378" i="7"/>
  <c r="G378" i="7"/>
  <c r="H378" i="7"/>
  <c r="F379" i="7"/>
  <c r="H379" i="7" s="1"/>
  <c r="B380" i="7"/>
  <c r="C379" i="7"/>
  <c r="E379" i="7" s="1"/>
  <c r="G379" i="7" l="1"/>
  <c r="D379" i="7"/>
  <c r="B381" i="7"/>
  <c r="C380" i="7"/>
  <c r="F380" i="7"/>
  <c r="G380" i="7" l="1"/>
  <c r="H380" i="7"/>
  <c r="D380" i="7"/>
  <c r="E380" i="7"/>
  <c r="B382" i="7"/>
  <c r="C381" i="7"/>
  <c r="F381" i="7"/>
  <c r="G381" i="7" l="1"/>
  <c r="H381" i="7"/>
  <c r="D381" i="7"/>
  <c r="E381" i="7"/>
  <c r="F382" i="7"/>
  <c r="C382" i="7"/>
  <c r="B383" i="7"/>
  <c r="D382" i="7" l="1"/>
  <c r="E382" i="7"/>
  <c r="G382" i="7"/>
  <c r="H382" i="7"/>
  <c r="F383" i="7"/>
  <c r="H383" i="7" s="1"/>
  <c r="C383" i="7"/>
  <c r="B384" i="7"/>
  <c r="G383" i="7" l="1"/>
  <c r="D383" i="7"/>
  <c r="E383" i="7"/>
  <c r="B385" i="7"/>
  <c r="C384" i="7"/>
  <c r="F384" i="7"/>
  <c r="D384" i="7" l="1"/>
  <c r="E384" i="7"/>
  <c r="G384" i="7"/>
  <c r="H384" i="7"/>
  <c r="B386" i="7"/>
  <c r="C385" i="7"/>
  <c r="E385" i="7" s="1"/>
  <c r="F385" i="7"/>
  <c r="H385" i="7" s="1"/>
  <c r="D385" i="7" l="1"/>
  <c r="G385" i="7"/>
  <c r="F386" i="7"/>
  <c r="B387" i="7"/>
  <c r="C386" i="7"/>
  <c r="D386" i="7" l="1"/>
  <c r="E386" i="7"/>
  <c r="G386" i="7"/>
  <c r="H386" i="7"/>
  <c r="F387" i="7"/>
  <c r="H387" i="7" s="1"/>
  <c r="B388" i="7"/>
  <c r="C387" i="7"/>
  <c r="E387" i="7" s="1"/>
  <c r="G387" i="7" l="1"/>
  <c r="D387" i="7"/>
  <c r="B389" i="7"/>
  <c r="C388" i="7"/>
  <c r="F388" i="7"/>
  <c r="G388" i="7" l="1"/>
  <c r="H388" i="7"/>
  <c r="D388" i="7"/>
  <c r="E388" i="7"/>
  <c r="B390" i="7"/>
  <c r="C389" i="7"/>
  <c r="E389" i="7" s="1"/>
  <c r="F389" i="7"/>
  <c r="D389" i="7" l="1"/>
  <c r="G389" i="7"/>
  <c r="H389" i="7"/>
  <c r="F390" i="7"/>
  <c r="C390" i="7"/>
  <c r="B391" i="7"/>
  <c r="D390" i="7" l="1"/>
  <c r="E390" i="7"/>
  <c r="G390" i="7"/>
  <c r="H390" i="7"/>
  <c r="F391" i="7"/>
  <c r="H391" i="7" s="1"/>
  <c r="C391" i="7"/>
  <c r="B392" i="7"/>
  <c r="G391" i="7" l="1"/>
  <c r="D391" i="7"/>
  <c r="E391" i="7"/>
  <c r="B393" i="7"/>
  <c r="C392" i="7"/>
  <c r="F392" i="7"/>
  <c r="D392" i="7" l="1"/>
  <c r="E392" i="7"/>
  <c r="G392" i="7"/>
  <c r="H392" i="7"/>
  <c r="B394" i="7"/>
  <c r="C393" i="7"/>
  <c r="E393" i="7" s="1"/>
  <c r="F393" i="7"/>
  <c r="H393" i="7" s="1"/>
  <c r="G393" i="7" l="1"/>
  <c r="D393" i="7"/>
  <c r="F394" i="7"/>
  <c r="B395" i="7"/>
  <c r="C394" i="7"/>
  <c r="D394" i="7" l="1"/>
  <c r="E394" i="7"/>
  <c r="G394" i="7"/>
  <c r="H394" i="7"/>
  <c r="F395" i="7"/>
  <c r="H395" i="7" s="1"/>
  <c r="B396" i="7"/>
  <c r="C395" i="7"/>
  <c r="E395" i="7" s="1"/>
  <c r="G395" i="7" l="1"/>
  <c r="D395" i="7"/>
  <c r="B397" i="7"/>
  <c r="C396" i="7"/>
  <c r="F396" i="7"/>
  <c r="D396" i="7" l="1"/>
  <c r="E396" i="7"/>
  <c r="G396" i="7"/>
  <c r="H396" i="7"/>
  <c r="B398" i="7"/>
  <c r="C397" i="7"/>
  <c r="F397" i="7"/>
  <c r="G397" i="7" l="1"/>
  <c r="H397" i="7"/>
  <c r="D397" i="7"/>
  <c r="E397" i="7"/>
  <c r="F398" i="7"/>
  <c r="C398" i="7"/>
  <c r="B399" i="7"/>
  <c r="D398" i="7" l="1"/>
  <c r="E398" i="7"/>
  <c r="G398" i="7"/>
  <c r="H398" i="7"/>
  <c r="F399" i="7"/>
  <c r="H399" i="7" s="1"/>
  <c r="C399" i="7"/>
  <c r="B400" i="7"/>
  <c r="G399" i="7" l="1"/>
  <c r="D399" i="7"/>
  <c r="E399" i="7"/>
  <c r="B401" i="7"/>
  <c r="C400" i="7"/>
  <c r="F400" i="7"/>
  <c r="D400" i="7" l="1"/>
  <c r="E400" i="7"/>
  <c r="G400" i="7"/>
  <c r="H400" i="7"/>
  <c r="B402" i="7"/>
  <c r="C401" i="7"/>
  <c r="E401" i="7" s="1"/>
  <c r="F401" i="7"/>
  <c r="H401" i="7" s="1"/>
  <c r="D401" i="7" l="1"/>
  <c r="G401" i="7"/>
  <c r="F402" i="7"/>
  <c r="B403" i="7"/>
  <c r="C402" i="7"/>
  <c r="D402" i="7" l="1"/>
  <c r="E402" i="7"/>
  <c r="G402" i="7"/>
  <c r="H402" i="7"/>
  <c r="F403" i="7"/>
  <c r="H403" i="7" s="1"/>
  <c r="B404" i="7"/>
  <c r="C403" i="7"/>
  <c r="D403" i="7" l="1"/>
  <c r="E403" i="7"/>
  <c r="G403" i="7"/>
  <c r="B405" i="7"/>
  <c r="C404" i="7"/>
  <c r="F404" i="7"/>
  <c r="D404" i="7" l="1"/>
  <c r="E404" i="7"/>
  <c r="G404" i="7"/>
  <c r="H404" i="7"/>
  <c r="B406" i="7"/>
  <c r="C405" i="7"/>
  <c r="E405" i="7" s="1"/>
  <c r="F405" i="7"/>
  <c r="D405" i="7" l="1"/>
  <c r="G405" i="7"/>
  <c r="H405" i="7"/>
  <c r="F406" i="7"/>
  <c r="C406" i="7"/>
  <c r="B407" i="7"/>
  <c r="D406" i="7" l="1"/>
  <c r="E406" i="7"/>
  <c r="G406" i="7"/>
  <c r="H406" i="7"/>
  <c r="F407" i="7"/>
  <c r="H407" i="7" s="1"/>
  <c r="C407" i="7"/>
  <c r="G407" i="7" l="1"/>
  <c r="D407" i="7"/>
  <c r="E407" i="7"/>
</calcChain>
</file>

<file path=xl/sharedStrings.xml><?xml version="1.0" encoding="utf-8"?>
<sst xmlns="http://schemas.openxmlformats.org/spreadsheetml/2006/main" count="223" uniqueCount="176">
  <si>
    <t xml:space="preserve">AIRBLAST PARAMETERS BY DISTANCE, BY NEQ &amp; BY TNT EQUIVALENCE </t>
  </si>
  <si>
    <t xml:space="preserve">                          Spreadsheet by RD Willcox of CESO(N) June 1993 using polynomials in...</t>
  </si>
  <si>
    <t>TNT equivalent wt (W) [kg] =</t>
  </si>
  <si>
    <r>
      <t xml:space="preserve">              "</t>
    </r>
    <r>
      <rPr>
        <sz val="8"/>
        <color indexed="56"/>
        <rFont val="Arial"/>
        <family val="2"/>
      </rPr>
      <t>Airblast Parameters from TNT Spherical Air Burst &amp; Hemispherical Surface Burst" by</t>
    </r>
  </si>
  <si>
    <t xml:space="preserve">                          Charles N Kingerey &amp; Gerald Bulmash, Tech Report ARBRL-TR-02555 dated April 1984.</t>
  </si>
  <si>
    <t>INPUTS</t>
  </si>
  <si>
    <t xml:space="preserve">Nett Explosive Quantity (Q) [kg] </t>
  </si>
  <si>
    <t>Scaled Distance [m] =</t>
  </si>
  <si>
    <t>Log of scaled distance (T) [m] =</t>
  </si>
  <si>
    <t>OUTPUTS</t>
  </si>
  <si>
    <t>Air</t>
  </si>
  <si>
    <t>Surface</t>
  </si>
  <si>
    <t>- - - - - - - - - -- - A I R B U R S T   S U B - C A L C U L A T I O N S - - - - - - - - - - - - -</t>
  </si>
  <si>
    <t xml:space="preserve"> - - - - - - - -S U R F A C E   B U R S T   S U B - C A L C U L A T I O N S - - - - - - - - - - -</t>
  </si>
  <si>
    <t xml:space="preserve">Peak Incident Pressure (Ps)        [kPa]   </t>
  </si>
  <si>
    <t>Ps</t>
  </si>
  <si>
    <t>Is F(I)</t>
  </si>
  <si>
    <t>Is F(II)</t>
  </si>
  <si>
    <t>Pr</t>
  </si>
  <si>
    <t>Ir</t>
  </si>
  <si>
    <t>U</t>
  </si>
  <si>
    <t>Ta</t>
  </si>
  <si>
    <t>T+ F(I)</t>
  </si>
  <si>
    <t>T+ F(II)</t>
  </si>
  <si>
    <t>T+ F(III)</t>
  </si>
  <si>
    <t xml:space="preserve">Incident Impulse (Is)    [kPa.msec]   </t>
  </si>
  <si>
    <t xml:space="preserve">Peak Reflected Pressure (Pr)       [kPa]   </t>
  </si>
  <si>
    <t>U =</t>
  </si>
  <si>
    <t xml:space="preserve">Reflected Impulse (Ir)   [kPa.msec]   </t>
  </si>
  <si>
    <t xml:space="preserve">Shock Front Velocity (U)   [m/msec]   </t>
  </si>
  <si>
    <t>f(U) =</t>
  </si>
  <si>
    <t xml:space="preserve">Arrival Time (Ta)            [msec]   </t>
  </si>
  <si>
    <t>f(U²) =</t>
  </si>
  <si>
    <t xml:space="preserve">Positive Phase Duration (T+) [msec]   </t>
  </si>
  <si>
    <t>f (U³) =</t>
  </si>
  <si>
    <t>f(U^4) =</t>
  </si>
  <si>
    <t>f(U^5) =</t>
  </si>
  <si>
    <t>f(U^6) =</t>
  </si>
  <si>
    <t>NOTES FOR USERS ARE BELOW - make a back up copy before you start playing.</t>
  </si>
  <si>
    <t>f(U^7) =</t>
  </si>
  <si>
    <t>f(U^8) =</t>
  </si>
  <si>
    <t>This spreadsheet program is a free calculation only, ie no cells</t>
  </si>
  <si>
    <t>f(U^9) =</t>
  </si>
  <si>
    <t>are locked and there are no macros.</t>
  </si>
  <si>
    <t>f(U^10) =</t>
  </si>
  <si>
    <t>f(U^11) =</t>
  </si>
  <si>
    <t>Only the cells for data input and output have been formatted.</t>
  </si>
  <si>
    <t>f(U^12) =</t>
  </si>
  <si>
    <t>f(U^13) =</t>
  </si>
  <si>
    <t>Only enter inputs, nothing else until you are familiar with the spreadsheet.</t>
  </si>
  <si>
    <t>If inputs fall outside the applicability range of the</t>
  </si>
  <si>
    <t>Y =</t>
  </si>
  <si>
    <t xml:space="preserve">Kingery Curves the output will read "Invalid".    In cell K0 </t>
  </si>
  <si>
    <t>Applicability: Lower Range Filter ...</t>
  </si>
  <si>
    <t xml:space="preserve">is the word "Invalid" used by the program: it shouldn't </t>
  </si>
  <si>
    <t>Upper Range Filter ...</t>
  </si>
  <si>
    <t>be deleted. The lower limit is when Surface Ps = 2.4kPa.</t>
  </si>
  <si>
    <t>Check Sum ...</t>
  </si>
  <si>
    <t>Filtered Result ...</t>
  </si>
  <si>
    <t>In column H are some notes and some incidental outputs.</t>
  </si>
  <si>
    <t>Anti-log Y, if applicable, =</t>
  </si>
  <si>
    <t>Sum of Functions ,if applicable, =</t>
  </si>
  <si>
    <t>The sub-calculations (the spreadsheet's engine) start</t>
  </si>
  <si>
    <t>Result, scaled up (x W^1/3) if necessary, =</t>
  </si>
  <si>
    <t>at cell O2 and continue to the right of Column O.</t>
  </si>
  <si>
    <t xml:space="preserve">TNT Equivalence Figure </t>
    <phoneticPr fontId="1" type="noConversion"/>
  </si>
  <si>
    <t xml:space="preserve">Actual Stand-off Distance (D) [m] </t>
    <phoneticPr fontId="1" type="noConversion"/>
  </si>
  <si>
    <t>Explosive Type</t>
    <phoneticPr fontId="1" type="noConversion"/>
  </si>
  <si>
    <t>HMX</t>
    <phoneticPr fontId="1" type="noConversion"/>
  </si>
  <si>
    <t>Nitroglycerin (liquid)</t>
    <phoneticPr fontId="1" type="noConversion"/>
  </si>
  <si>
    <t>Compound B (60% RDX 40% TNT)</t>
    <phoneticPr fontId="1" type="noConversion"/>
  </si>
  <si>
    <t>RDX (Cyclonite)</t>
    <phoneticPr fontId="1" type="noConversion"/>
  </si>
  <si>
    <t>Semtex</t>
    <phoneticPr fontId="1" type="noConversion"/>
  </si>
  <si>
    <t>60% Nitroglycerin dynamite</t>
    <phoneticPr fontId="1" type="noConversion"/>
  </si>
  <si>
    <t>TNT</t>
  </si>
  <si>
    <t>TNT</t>
    <phoneticPr fontId="1" type="noConversion"/>
  </si>
  <si>
    <t>Ps(1-x/T)exp(-b*x/T)</t>
    <phoneticPr fontId="1" type="noConversion"/>
  </si>
  <si>
    <t>The Influence of the under pressure phase on the dynamic response of structures subjected to blast loads</t>
  </si>
  <si>
    <t>wave form parameter, b</t>
    <phoneticPr fontId="1" type="noConversion"/>
  </si>
  <si>
    <t>Friedlander Equation</t>
    <phoneticPr fontId="1" type="noConversion"/>
  </si>
  <si>
    <t>Time</t>
    <phoneticPr fontId="1" type="noConversion"/>
  </si>
  <si>
    <t>Incident</t>
    <phoneticPr fontId="1" type="noConversion"/>
  </si>
  <si>
    <t>Reflected</t>
    <phoneticPr fontId="1" type="noConversion"/>
  </si>
  <si>
    <t>Surface Blast</t>
    <phoneticPr fontId="1" type="noConversion"/>
  </si>
  <si>
    <t>Air Blast</t>
    <phoneticPr fontId="1" type="noConversion"/>
  </si>
  <si>
    <t>m</t>
    <phoneticPr fontId="1" type="noConversion"/>
  </si>
  <si>
    <t>kg</t>
    <phoneticPr fontId="1" type="noConversion"/>
  </si>
  <si>
    <t>air</t>
    <phoneticPr fontId="1" type="noConversion"/>
  </si>
  <si>
    <t>surface</t>
    <phoneticPr fontId="1" type="noConversion"/>
  </si>
  <si>
    <t>incident</t>
    <phoneticPr fontId="1" type="noConversion"/>
  </si>
  <si>
    <t>incident impulse</t>
    <phoneticPr fontId="1" type="noConversion"/>
  </si>
  <si>
    <t>reflect</t>
    <phoneticPr fontId="1" type="noConversion"/>
  </si>
  <si>
    <t>reflect impulse</t>
    <phoneticPr fontId="1" type="noConversion"/>
  </si>
  <si>
    <t>arrival time</t>
    <phoneticPr fontId="1" type="noConversion"/>
  </si>
  <si>
    <t>Positive Phase duration</t>
    <phoneticPr fontId="1" type="noConversion"/>
  </si>
  <si>
    <t>velocity</t>
    <phoneticPr fontId="1" type="noConversion"/>
  </si>
  <si>
    <t>Z</t>
    <phoneticPr fontId="1" type="noConversion"/>
  </si>
  <si>
    <t>psi</t>
    <phoneticPr fontId="1" type="noConversion"/>
  </si>
  <si>
    <r>
      <t>psi-ms/lb</t>
    </r>
    <r>
      <rPr>
        <vertAlign val="superscript"/>
        <sz val="10"/>
        <color theme="1"/>
        <rFont val="맑은 고딕"/>
        <family val="3"/>
        <charset val="129"/>
        <scheme val="minor"/>
      </rPr>
      <t>1/3</t>
    </r>
    <phoneticPr fontId="1" type="noConversion"/>
  </si>
  <si>
    <t>ft/msec</t>
    <phoneticPr fontId="1" type="noConversion"/>
  </si>
  <si>
    <r>
      <t>ms/lb</t>
    </r>
    <r>
      <rPr>
        <vertAlign val="superscript"/>
        <sz val="10"/>
        <color theme="1"/>
        <rFont val="맑은 고딕"/>
        <family val="3"/>
        <charset val="129"/>
        <scheme val="minor"/>
      </rPr>
      <t>1/3</t>
    </r>
    <phoneticPr fontId="1" type="noConversion"/>
  </si>
  <si>
    <t>kPa</t>
    <phoneticPr fontId="1" type="noConversion"/>
  </si>
  <si>
    <t>kPa-ms</t>
    <phoneticPr fontId="1" type="noConversion"/>
  </si>
  <si>
    <t>m/msec</t>
    <phoneticPr fontId="1" type="noConversion"/>
  </si>
  <si>
    <t>msec</t>
    <phoneticPr fontId="1" type="noConversion"/>
  </si>
  <si>
    <t>UFC 340-02</t>
    <phoneticPr fontId="1" type="noConversion"/>
  </si>
  <si>
    <t>Calc</t>
    <phoneticPr fontId="1" type="noConversion"/>
  </si>
  <si>
    <t>Pressure</t>
    <phoneticPr fontId="1" type="noConversion"/>
  </si>
  <si>
    <t>Pso=</t>
    <phoneticPr fontId="1" type="noConversion"/>
  </si>
  <si>
    <t>B=</t>
    <phoneticPr fontId="1" type="noConversion"/>
  </si>
  <si>
    <t>td=</t>
    <phoneticPr fontId="1" type="noConversion"/>
  </si>
  <si>
    <t>sec</t>
    <phoneticPr fontId="1" type="noConversion"/>
  </si>
  <si>
    <t>L=</t>
    <phoneticPr fontId="1" type="noConversion"/>
  </si>
  <si>
    <t>H=</t>
    <phoneticPr fontId="1" type="noConversion"/>
  </si>
  <si>
    <t>Pso</t>
    <phoneticPr fontId="1" type="noConversion"/>
  </si>
  <si>
    <t>Length of Pressure Wave(Lw)</t>
    <phoneticPr fontId="1" type="noConversion"/>
  </si>
  <si>
    <t>Lw=</t>
    <phoneticPr fontId="1" type="noConversion"/>
  </si>
  <si>
    <t>U</t>
    <phoneticPr fontId="1" type="noConversion"/>
  </si>
  <si>
    <t>x</t>
    <phoneticPr fontId="1" type="noConversion"/>
  </si>
  <si>
    <t>(td)</t>
    <phoneticPr fontId="1" type="noConversion"/>
  </si>
  <si>
    <t>Dynamic Blast Wind Pressure (qo)</t>
    <phoneticPr fontId="1" type="noConversion"/>
  </si>
  <si>
    <t>qo=</t>
    <phoneticPr fontId="1" type="noConversion"/>
  </si>
  <si>
    <t>Pso^2</t>
    <phoneticPr fontId="1" type="noConversion"/>
  </si>
  <si>
    <t>^2=</t>
    <phoneticPr fontId="1" type="noConversion"/>
  </si>
  <si>
    <t>Front Wall Loading</t>
    <phoneticPr fontId="1" type="noConversion"/>
  </si>
  <si>
    <t>Clear Distance (S)</t>
    <phoneticPr fontId="1" type="noConversion"/>
  </si>
  <si>
    <t>S=</t>
    <phoneticPr fontId="1" type="noConversion"/>
  </si>
  <si>
    <t>[H or B/2]min</t>
    <phoneticPr fontId="1" type="noConversion"/>
  </si>
  <si>
    <t xml:space="preserve"> Reflected Over Pressure Clearing Time (tc)</t>
    <phoneticPr fontId="1" type="noConversion"/>
  </si>
  <si>
    <t>tc=</t>
    <phoneticPr fontId="1" type="noConversion"/>
  </si>
  <si>
    <t>Drag Coefficient</t>
    <phoneticPr fontId="1" type="noConversion"/>
  </si>
  <si>
    <t>Cd=</t>
    <phoneticPr fontId="1" type="noConversion"/>
  </si>
  <si>
    <t>(Front Wall)</t>
    <phoneticPr fontId="1" type="noConversion"/>
  </si>
  <si>
    <t>Stagnation Pressure (Ps)</t>
    <phoneticPr fontId="1" type="noConversion"/>
  </si>
  <si>
    <t>Ps=</t>
    <phoneticPr fontId="1" type="noConversion"/>
  </si>
  <si>
    <t>Pso+Cd(qo)</t>
    <phoneticPr fontId="1" type="noConversion"/>
  </si>
  <si>
    <t>Front Wall inpluse (Iw)</t>
    <phoneticPr fontId="1" type="noConversion"/>
  </si>
  <si>
    <t>Iw=</t>
    <phoneticPr fontId="1" type="noConversion"/>
  </si>
  <si>
    <t>0.5(Pr-Ps)tc+0.5Ps x td</t>
    <phoneticPr fontId="1" type="noConversion"/>
  </si>
  <si>
    <t>kPa.sec</t>
    <phoneticPr fontId="1" type="noConversion"/>
  </si>
  <si>
    <t>te=</t>
    <phoneticPr fontId="1" type="noConversion"/>
  </si>
  <si>
    <t>Pr</t>
    <phoneticPr fontId="1" type="noConversion"/>
  </si>
  <si>
    <t>Ps</t>
    <phoneticPr fontId="1" type="noConversion"/>
  </si>
  <si>
    <t>Equivalent Loading</t>
    <phoneticPr fontId="1" type="noConversion"/>
  </si>
  <si>
    <t>Blast Load(Equivalent StaicLoad)</t>
    <phoneticPr fontId="1" type="noConversion"/>
  </si>
  <si>
    <t>Fo = Pr =</t>
    <phoneticPr fontId="1" type="noConversion"/>
  </si>
  <si>
    <t>td = te =</t>
    <phoneticPr fontId="1" type="noConversion"/>
  </si>
  <si>
    <r>
      <rPr>
        <sz val="10"/>
        <color theme="1"/>
        <rFont val="굴림"/>
        <family val="3"/>
        <charset val="129"/>
      </rPr>
      <t>µ</t>
    </r>
    <r>
      <rPr>
        <sz val="8.5"/>
        <color theme="1"/>
        <rFont val="맑은 고딕"/>
        <family val="3"/>
        <charset val="129"/>
      </rPr>
      <t>d=</t>
    </r>
    <phoneticPr fontId="1" type="noConversion"/>
  </si>
  <si>
    <t>tn=</t>
    <phoneticPr fontId="1" type="noConversion"/>
  </si>
  <si>
    <t>(Fundamantal Period of Vibration, 0.049(hn)^3/4)</t>
    <phoneticPr fontId="1" type="noConversion"/>
  </si>
  <si>
    <r>
      <rPr>
        <sz val="10"/>
        <color theme="1"/>
        <rFont val="굴림"/>
        <family val="3"/>
        <charset val="129"/>
      </rPr>
      <t>ζ</t>
    </r>
    <r>
      <rPr>
        <sz val="8.5"/>
        <color theme="1"/>
        <rFont val="맑은 고딕"/>
        <family val="2"/>
        <charset val="129"/>
        <scheme val="minor"/>
      </rPr>
      <t>=</t>
    </r>
    <phoneticPr fontId="1" type="noConversion"/>
  </si>
  <si>
    <t>td/tn=</t>
    <phoneticPr fontId="1" type="noConversion"/>
  </si>
  <si>
    <t>Rm=</t>
    <phoneticPr fontId="1" type="noConversion"/>
  </si>
  <si>
    <t>Fo</t>
    <phoneticPr fontId="1" type="noConversion"/>
  </si>
  <si>
    <r>
      <rPr>
        <sz val="10"/>
        <color theme="1"/>
        <rFont val="굴림"/>
        <family val="3"/>
        <charset val="129"/>
      </rPr>
      <t>√</t>
    </r>
    <r>
      <rPr>
        <sz val="10"/>
        <color theme="1"/>
        <rFont val="맑은 고딕"/>
        <family val="3"/>
        <charset val="129"/>
      </rPr>
      <t>(2</t>
    </r>
    <r>
      <rPr>
        <sz val="10"/>
        <color theme="1"/>
        <rFont val="굴림"/>
        <family val="3"/>
        <charset val="129"/>
      </rPr>
      <t>µ</t>
    </r>
    <r>
      <rPr>
        <sz val="10"/>
        <color theme="1"/>
        <rFont val="맑은 고딕"/>
        <family val="3"/>
        <charset val="129"/>
      </rPr>
      <t>-1)</t>
    </r>
    <phoneticPr fontId="1" type="noConversion"/>
  </si>
  <si>
    <t>+</t>
    <phoneticPr fontId="1" type="noConversion"/>
  </si>
  <si>
    <r>
      <t>(2</t>
    </r>
    <r>
      <rPr>
        <sz val="10"/>
        <color theme="1"/>
        <rFont val="굴림"/>
        <family val="3"/>
        <charset val="129"/>
      </rPr>
      <t>µ</t>
    </r>
    <r>
      <rPr>
        <sz val="10"/>
        <color theme="1"/>
        <rFont val="맑은 고딕"/>
        <family val="3"/>
        <charset val="129"/>
      </rPr>
      <t>-1)</t>
    </r>
    <r>
      <rPr>
        <sz val="10"/>
        <color theme="1"/>
        <rFont val="굴림"/>
        <family val="3"/>
        <charset val="129"/>
      </rPr>
      <t>ζ</t>
    </r>
    <phoneticPr fontId="1" type="noConversion"/>
  </si>
  <si>
    <t>∏ζ</t>
    <phoneticPr fontId="1" type="noConversion"/>
  </si>
  <si>
    <r>
      <t>2</t>
    </r>
    <r>
      <rPr>
        <sz val="10"/>
        <color theme="1"/>
        <rFont val="굴림"/>
        <family val="3"/>
        <charset val="129"/>
      </rPr>
      <t>µ</t>
    </r>
    <r>
      <rPr>
        <sz val="10"/>
        <color theme="1"/>
        <rFont val="맑은 고딕"/>
        <family val="3"/>
        <charset val="129"/>
      </rPr>
      <t>(</t>
    </r>
    <r>
      <rPr>
        <sz val="10"/>
        <color theme="1"/>
        <rFont val="굴림"/>
        <family val="3"/>
        <charset val="129"/>
      </rPr>
      <t>ζ</t>
    </r>
    <r>
      <rPr>
        <sz val="10"/>
        <color theme="1"/>
        <rFont val="맑은 고딕"/>
        <family val="3"/>
        <charset val="129"/>
      </rPr>
      <t>+0.7)</t>
    </r>
    <phoneticPr fontId="1" type="noConversion"/>
  </si>
  <si>
    <t>=</t>
    <phoneticPr fontId="1" type="noConversion"/>
  </si>
  <si>
    <r>
      <rPr>
        <sz val="10"/>
        <color theme="1"/>
        <rFont val="굴림"/>
        <family val="3"/>
        <charset val="129"/>
      </rPr>
      <t>√</t>
    </r>
    <r>
      <rPr>
        <sz val="10"/>
        <color theme="1"/>
        <rFont val="맑은 고딕"/>
        <family val="3"/>
        <charset val="129"/>
      </rPr>
      <t>(2 x</t>
    </r>
    <phoneticPr fontId="1" type="noConversion"/>
  </si>
  <si>
    <r>
      <rPr>
        <sz val="10"/>
        <color theme="1"/>
        <rFont val="맑은 고딕"/>
        <family val="3"/>
        <charset val="129"/>
      </rPr>
      <t>1)</t>
    </r>
    <r>
      <rPr>
        <sz val="10"/>
        <color theme="1"/>
        <rFont val="굴림"/>
        <family val="3"/>
        <charset val="129"/>
      </rPr>
      <t>ζ</t>
    </r>
    <phoneticPr fontId="1" type="noConversion"/>
  </si>
  <si>
    <t>∏x</t>
    <phoneticPr fontId="1" type="noConversion"/>
  </si>
  <si>
    <t>(Ductility Ratio)</t>
    <phoneticPr fontId="1" type="noConversion"/>
  </si>
  <si>
    <t>Air</t>
    <phoneticPr fontId="1" type="noConversion"/>
  </si>
  <si>
    <t>Surface</t>
    <phoneticPr fontId="1" type="noConversion"/>
  </si>
  <si>
    <t>Blast</t>
    <phoneticPr fontId="1" type="noConversion"/>
  </si>
  <si>
    <t>U=</t>
    <phoneticPr fontId="1" type="noConversion"/>
  </si>
  <si>
    <t>m/ms</t>
    <phoneticPr fontId="1" type="noConversion"/>
  </si>
  <si>
    <t>ms</t>
    <phoneticPr fontId="1" type="noConversion"/>
  </si>
  <si>
    <t>4S/U</t>
    <phoneticPr fontId="1" type="noConversion"/>
  </si>
  <si>
    <t>Pr=</t>
    <phoneticPr fontId="1" type="noConversion"/>
  </si>
  <si>
    <t>kPa</t>
    <phoneticPr fontId="1" type="noConversion"/>
  </si>
  <si>
    <t>Blast Parameter</t>
    <phoneticPr fontId="1" type="noConversion"/>
  </si>
  <si>
    <t>Dimention</t>
    <phoneticPr fontId="1" type="noConversion"/>
  </si>
  <si>
    <t>Blast Type=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</si>
</sst>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176" formatCode="General_)"/>
    <numFmt numFmtId="177" formatCode="#,##0.0"/>
    <numFmt numFmtId="178" formatCode="0.0_)"/>
    <numFmt numFmtId="179" formatCode="0.000_)"/>
    <numFmt numFmtId="180" formatCode="0.00_)"/>
    <numFmt numFmtId="181" formatCode="0.0"/>
    <numFmt numFmtId="182" formatCode="0.00_ "/>
    <numFmt numFmtId="183" formatCode="0.00_ &quot;=&quot;"/>
    <numFmt numFmtId="184" formatCode="0.00&quot;=&quot;"/>
    <numFmt numFmtId="185" formatCode="0.00_ &quot;)&quot;"/>
    <numFmt numFmtId="186" formatCode="&quot;x&quot;\ \ 0.00"/>
    <numFmt numFmtId="187" formatCode="&quot;/&quot;0.00&quot;=&quot;"/>
    <numFmt numFmtId="188" formatCode="0.0000_ "/>
    <numFmt numFmtId="189" formatCode="0.0_ "/>
    <numFmt numFmtId="190" formatCode="0.00&quot;+&quot;"/>
    <numFmt numFmtId="191" formatCode="&quot;x&quot;0.00&quot;=&quot;"/>
    <numFmt numFmtId="192" formatCode="&quot;0.5(&quot;\ \ 0.00\ \ &quot;-&quot;"/>
    <numFmt numFmtId="193" formatCode="0.00\ \ &quot;)&quot;"/>
    <numFmt numFmtId="194" formatCode="&quot;+0.5x&quot;0.00&quot;x&quot;"/>
    <numFmt numFmtId="195" formatCode="&quot;=&quot;0.000"/>
    <numFmt numFmtId="196" formatCode="&quot;2x&quot;0.000&quot;/&quot;"/>
    <numFmt numFmtId="197" formatCode="0.00&quot;-1)&quot;"/>
    <numFmt numFmtId="198" formatCode="&quot;(2x&quot;0.00&quot;-&quot;"/>
    <numFmt numFmtId="199" formatCode="&quot;2x&quot;0.00&quot;x&quot;"/>
    <numFmt numFmtId="200" formatCode="&quot;(&quot;0.00&quot;+0.7)&quot;"/>
    <numFmt numFmtId="201" formatCode="&quot;=&quot;0.00"/>
    <numFmt numFmtId="202" formatCode="0.000"/>
  </numFmts>
  <fonts count="3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Arial"/>
      <family val="2"/>
    </font>
    <font>
      <sz val="10"/>
      <name val="Courier"/>
      <family val="3"/>
    </font>
    <font>
      <b/>
      <i/>
      <sz val="11"/>
      <color indexed="12"/>
      <name val="Arial"/>
      <family val="2"/>
    </font>
    <font>
      <sz val="10"/>
      <color indexed="12"/>
      <name val="Courier"/>
      <family val="3"/>
    </font>
    <font>
      <sz val="8"/>
      <color indexed="39"/>
      <name val="Arial"/>
      <family val="2"/>
    </font>
    <font>
      <sz val="8"/>
      <color indexed="56"/>
      <name val="Courier"/>
      <family val="3"/>
    </font>
    <font>
      <sz val="8"/>
      <color indexed="56"/>
      <name val="Arial"/>
      <family val="2"/>
    </font>
    <font>
      <sz val="8"/>
      <color indexed="39"/>
      <name val="Courier"/>
      <family val="3"/>
    </font>
    <font>
      <sz val="8"/>
      <color indexed="12"/>
      <name val="Arial"/>
      <family val="2"/>
    </font>
    <font>
      <b/>
      <i/>
      <sz val="12"/>
      <color indexed="12"/>
      <name val="Arial"/>
      <family val="2"/>
    </font>
    <font>
      <sz val="12"/>
      <color indexed="12"/>
      <name val="Arial"/>
      <family val="2"/>
    </font>
    <font>
      <b/>
      <sz val="12"/>
      <color indexed="17"/>
      <name val="Arial"/>
      <family val="2"/>
    </font>
    <font>
      <i/>
      <sz val="12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vertAlign val="superscript"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2"/>
      <charset val="129"/>
      <scheme val="minor"/>
    </font>
    <font>
      <sz val="10"/>
      <color rgb="FF00B05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3"/>
      <charset val="129"/>
    </font>
    <font>
      <sz val="8.5"/>
      <color theme="1"/>
      <name val="맑은 고딕"/>
      <family val="3"/>
      <charset val="129"/>
    </font>
    <font>
      <sz val="8.5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176" fontId="3" fillId="0" borderId="0"/>
    <xf numFmtId="9" fontId="18" fillId="0" borderId="0" applyFont="0" applyFill="0" applyBorder="0" applyAlignment="0" applyProtection="0">
      <alignment vertical="center"/>
    </xf>
    <xf numFmtId="0" fontId="20" fillId="0" borderId="0">
      <alignment vertical="center"/>
    </xf>
  </cellStyleXfs>
  <cellXfs count="108">
    <xf numFmtId="0" fontId="0" fillId="0" borderId="0" xfId="0">
      <alignment vertical="center"/>
    </xf>
    <xf numFmtId="176" fontId="4" fillId="0" borderId="0" xfId="1" applyFont="1" applyAlignment="1" applyProtection="1">
      <alignment horizontal="left"/>
      <protection locked="0"/>
    </xf>
    <xf numFmtId="176" fontId="3" fillId="0" borderId="0" xfId="1"/>
    <xf numFmtId="176" fontId="5" fillId="0" borderId="0" xfId="1" applyFont="1" applyAlignment="1" applyProtection="1">
      <alignment horizontal="center"/>
      <protection locked="0"/>
    </xf>
    <xf numFmtId="176" fontId="6" fillId="0" borderId="0" xfId="1" applyFont="1" applyAlignment="1" applyProtection="1">
      <alignment horizontal="left"/>
      <protection locked="0"/>
    </xf>
    <xf numFmtId="176" fontId="5" fillId="0" borderId="0" xfId="1" applyFont="1" applyAlignment="1" applyProtection="1">
      <alignment horizontal="right"/>
      <protection locked="0"/>
    </xf>
    <xf numFmtId="176" fontId="5" fillId="0" borderId="0" xfId="1" applyFont="1" applyProtection="1">
      <protection locked="0"/>
    </xf>
    <xf numFmtId="176" fontId="7" fillId="0" borderId="0" xfId="1" applyFont="1"/>
    <xf numFmtId="176" fontId="9" fillId="0" borderId="0" xfId="1" applyFont="1"/>
    <xf numFmtId="176" fontId="7" fillId="0" borderId="0" xfId="1" applyFont="1" applyAlignment="1" applyProtection="1">
      <alignment horizontal="right"/>
      <protection locked="0"/>
    </xf>
    <xf numFmtId="176" fontId="7" fillId="0" borderId="0" xfId="1" applyFont="1" applyProtection="1">
      <protection locked="0"/>
    </xf>
    <xf numFmtId="176" fontId="10" fillId="0" borderId="0" xfId="1" applyFont="1" applyAlignment="1" applyProtection="1">
      <alignment horizontal="left"/>
      <protection locked="0"/>
    </xf>
    <xf numFmtId="176" fontId="3" fillId="0" borderId="0" xfId="1" applyAlignment="1">
      <alignment horizontal="left"/>
    </xf>
    <xf numFmtId="176" fontId="11" fillId="0" borderId="0" xfId="1" applyFont="1" applyAlignment="1" applyProtection="1">
      <alignment horizontal="right"/>
      <protection locked="0"/>
    </xf>
    <xf numFmtId="176" fontId="2" fillId="0" borderId="0" xfId="1" applyFont="1"/>
    <xf numFmtId="176" fontId="12" fillId="0" borderId="0" xfId="1" applyFont="1" applyAlignment="1" applyProtection="1">
      <alignment horizontal="right"/>
      <protection locked="0"/>
    </xf>
    <xf numFmtId="176" fontId="14" fillId="0" borderId="0" xfId="1" applyFont="1" applyAlignment="1" applyProtection="1">
      <alignment horizontal="center"/>
      <protection locked="0"/>
    </xf>
    <xf numFmtId="176" fontId="5" fillId="0" borderId="0" xfId="1" applyFont="1" applyAlignment="1" applyProtection="1">
      <alignment horizontal="left"/>
      <protection locked="0"/>
    </xf>
    <xf numFmtId="178" fontId="15" fillId="0" borderId="0" xfId="1" applyNumberFormat="1" applyFont="1" applyAlignment="1" applyProtection="1">
      <alignment horizontal="center"/>
      <protection locked="0"/>
    </xf>
    <xf numFmtId="176" fontId="15" fillId="0" borderId="0" xfId="1" applyFont="1"/>
    <xf numFmtId="178" fontId="15" fillId="0" borderId="0" xfId="1" applyNumberFormat="1" applyFont="1" applyProtection="1">
      <protection locked="0"/>
    </xf>
    <xf numFmtId="178" fontId="5" fillId="0" borderId="0" xfId="1" applyNumberFormat="1" applyFont="1" applyProtection="1">
      <protection locked="0"/>
    </xf>
    <xf numFmtId="179" fontId="15" fillId="0" borderId="0" xfId="1" applyNumberFormat="1" applyFont="1" applyAlignment="1" applyProtection="1">
      <alignment horizontal="center"/>
      <protection locked="0"/>
    </xf>
    <xf numFmtId="180" fontId="15" fillId="0" borderId="0" xfId="1" applyNumberFormat="1" applyFont="1" applyAlignment="1" applyProtection="1">
      <alignment horizontal="center"/>
      <protection locked="0"/>
    </xf>
    <xf numFmtId="176" fontId="16" fillId="0" borderId="0" xfId="1" applyFont="1" applyAlignment="1" applyProtection="1">
      <alignment horizontal="left"/>
      <protection locked="0"/>
    </xf>
    <xf numFmtId="176" fontId="16" fillId="0" borderId="0" xfId="1" applyFont="1"/>
    <xf numFmtId="176" fontId="17" fillId="0" borderId="0" xfId="1" applyFont="1"/>
    <xf numFmtId="176" fontId="5" fillId="0" borderId="0" xfId="1" applyNumberFormat="1" applyFont="1" applyProtection="1">
      <protection locked="0"/>
    </xf>
    <xf numFmtId="177" fontId="13" fillId="0" borderId="0" xfId="1" applyNumberFormat="1" applyFont="1" applyAlignment="1" applyProtection="1">
      <alignment horizontal="left" indent="1"/>
      <protection locked="0"/>
    </xf>
    <xf numFmtId="4" fontId="13" fillId="0" borderId="0" xfId="1" applyNumberFormat="1" applyFont="1" applyAlignment="1" applyProtection="1">
      <alignment horizontal="left" indent="1"/>
      <protection locked="0"/>
    </xf>
    <xf numFmtId="176" fontId="13" fillId="0" borderId="0" xfId="1" applyNumberFormat="1" applyFont="1" applyAlignment="1" applyProtection="1">
      <alignment horizontal="left" indent="1"/>
      <protection locked="0"/>
    </xf>
    <xf numFmtId="2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8" fontId="19" fillId="0" borderId="0" xfId="1" applyNumberFormat="1" applyFont="1" applyAlignment="1" applyProtection="1">
      <alignment horizontal="center"/>
      <protection locked="0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0" fontId="0" fillId="0" borderId="0" xfId="2" applyNumberFormat="1" applyFont="1">
      <alignment vertical="center"/>
    </xf>
    <xf numFmtId="0" fontId="20" fillId="0" borderId="0" xfId="3">
      <alignment vertical="center"/>
    </xf>
    <xf numFmtId="0" fontId="20" fillId="0" borderId="0" xfId="3" applyAlignment="1">
      <alignment horizontal="right" vertical="center"/>
    </xf>
    <xf numFmtId="0" fontId="23" fillId="2" borderId="0" xfId="3" applyFont="1" applyFill="1">
      <alignment vertical="center"/>
    </xf>
    <xf numFmtId="182" fontId="23" fillId="2" borderId="0" xfId="3" applyNumberFormat="1" applyFont="1" applyFill="1">
      <alignment vertical="center"/>
    </xf>
    <xf numFmtId="182" fontId="25" fillId="0" borderId="0" xfId="3" applyNumberFormat="1" applyFont="1">
      <alignment vertical="center"/>
    </xf>
    <xf numFmtId="0" fontId="20" fillId="0" borderId="0" xfId="3" applyAlignment="1">
      <alignment horizontal="center" vertical="center"/>
    </xf>
    <xf numFmtId="0" fontId="27" fillId="3" borderId="0" xfId="3" applyFont="1" applyFill="1">
      <alignment vertical="center"/>
    </xf>
    <xf numFmtId="0" fontId="25" fillId="0" borderId="0" xfId="3" applyFont="1">
      <alignment vertical="center"/>
    </xf>
    <xf numFmtId="0" fontId="20" fillId="0" borderId="2" xfId="3" applyBorder="1">
      <alignment vertical="center"/>
    </xf>
    <xf numFmtId="0" fontId="20" fillId="0" borderId="0" xfId="3" applyBorder="1">
      <alignment vertical="center"/>
    </xf>
    <xf numFmtId="0" fontId="20" fillId="0" borderId="3" xfId="3" applyBorder="1">
      <alignment vertical="center"/>
    </xf>
    <xf numFmtId="0" fontId="20" fillId="0" borderId="4" xfId="3" applyBorder="1">
      <alignment vertical="center"/>
    </xf>
    <xf numFmtId="182" fontId="25" fillId="0" borderId="0" xfId="3" applyNumberFormat="1" applyFont="1" applyAlignment="1">
      <alignment horizontal="left" vertical="center"/>
    </xf>
    <xf numFmtId="182" fontId="26" fillId="0" borderId="0" xfId="3" applyNumberFormat="1" applyFont="1">
      <alignment vertical="center"/>
    </xf>
    <xf numFmtId="183" fontId="26" fillId="0" borderId="0" xfId="3" applyNumberFormat="1" applyFont="1">
      <alignment vertical="center"/>
    </xf>
    <xf numFmtId="184" fontId="20" fillId="0" borderId="0" xfId="3" applyNumberFormat="1" applyAlignment="1">
      <alignment horizontal="left" vertical="center"/>
    </xf>
    <xf numFmtId="0" fontId="27" fillId="4" borderId="0" xfId="3" applyFont="1" applyFill="1">
      <alignment vertical="center"/>
    </xf>
    <xf numFmtId="0" fontId="20" fillId="4" borderId="0" xfId="3" applyFill="1">
      <alignment vertical="center"/>
    </xf>
    <xf numFmtId="185" fontId="26" fillId="0" borderId="0" xfId="3" applyNumberFormat="1" applyFont="1">
      <alignment vertical="center"/>
    </xf>
    <xf numFmtId="186" fontId="26" fillId="0" borderId="0" xfId="3" applyNumberFormat="1" applyFont="1">
      <alignment vertical="center"/>
    </xf>
    <xf numFmtId="187" fontId="26" fillId="0" borderId="0" xfId="3" applyNumberFormat="1" applyFont="1">
      <alignment vertical="center"/>
    </xf>
    <xf numFmtId="188" fontId="25" fillId="0" borderId="0" xfId="3" applyNumberFormat="1" applyFont="1">
      <alignment vertical="center"/>
    </xf>
    <xf numFmtId="189" fontId="23" fillId="2" borderId="0" xfId="3" applyNumberFormat="1" applyFont="1" applyFill="1">
      <alignment vertical="center"/>
    </xf>
    <xf numFmtId="0" fontId="20" fillId="0" borderId="0" xfId="3" applyAlignment="1">
      <alignment horizontal="left" vertical="center"/>
    </xf>
    <xf numFmtId="190" fontId="26" fillId="0" borderId="0" xfId="3" applyNumberFormat="1" applyFont="1">
      <alignment vertical="center"/>
    </xf>
    <xf numFmtId="189" fontId="26" fillId="0" borderId="0" xfId="3" applyNumberFormat="1" applyFont="1">
      <alignment vertical="center"/>
    </xf>
    <xf numFmtId="191" fontId="26" fillId="0" borderId="0" xfId="3" applyNumberFormat="1" applyFont="1">
      <alignment vertical="center"/>
    </xf>
    <xf numFmtId="193" fontId="26" fillId="0" borderId="0" xfId="3" applyNumberFormat="1" applyFont="1">
      <alignment vertical="center"/>
    </xf>
    <xf numFmtId="188" fontId="26" fillId="0" borderId="0" xfId="3" applyNumberFormat="1" applyFont="1">
      <alignment vertical="center"/>
    </xf>
    <xf numFmtId="182" fontId="26" fillId="0" borderId="0" xfId="3" applyNumberFormat="1" applyFont="1" applyAlignment="1">
      <alignment horizontal="center" vertical="center"/>
    </xf>
    <xf numFmtId="195" fontId="25" fillId="0" borderId="0" xfId="3" applyNumberFormat="1" applyFont="1" applyAlignment="1">
      <alignment horizontal="left" vertical="center"/>
    </xf>
    <xf numFmtId="196" fontId="20" fillId="0" borderId="0" xfId="3" applyNumberFormat="1" applyAlignment="1">
      <alignment vertical="center"/>
    </xf>
    <xf numFmtId="2" fontId="20" fillId="0" borderId="0" xfId="3" applyNumberFormat="1" applyAlignment="1">
      <alignment vertical="center"/>
    </xf>
    <xf numFmtId="2" fontId="25" fillId="0" borderId="0" xfId="3" applyNumberFormat="1" applyFont="1" applyAlignment="1">
      <alignment horizontal="right" vertical="center"/>
    </xf>
    <xf numFmtId="0" fontId="27" fillId="0" borderId="0" xfId="3" applyFont="1" applyFill="1">
      <alignment vertical="center"/>
    </xf>
    <xf numFmtId="0" fontId="27" fillId="0" borderId="0" xfId="3" applyFont="1" applyBorder="1">
      <alignment vertical="center"/>
    </xf>
    <xf numFmtId="0" fontId="20" fillId="3" borderId="0" xfId="3" applyFill="1">
      <alignment vertical="center"/>
    </xf>
    <xf numFmtId="0" fontId="28" fillId="0" borderId="0" xfId="3" applyFont="1" applyAlignment="1">
      <alignment horizontal="right" vertical="center"/>
    </xf>
    <xf numFmtId="0" fontId="20" fillId="0" borderId="0" xfId="3" applyFont="1" applyAlignment="1">
      <alignment horizontal="right" vertical="center"/>
    </xf>
    <xf numFmtId="2" fontId="25" fillId="0" borderId="0" xfId="3" applyNumberFormat="1" applyFont="1">
      <alignment vertical="center"/>
    </xf>
    <xf numFmtId="0" fontId="20" fillId="0" borderId="4" xfId="3" applyBorder="1" applyAlignment="1">
      <alignment horizontal="center" vertical="center"/>
    </xf>
    <xf numFmtId="0" fontId="28" fillId="0" borderId="4" xfId="3" applyFont="1" applyBorder="1">
      <alignment vertical="center"/>
    </xf>
    <xf numFmtId="0" fontId="20" fillId="0" borderId="5" xfId="3" applyBorder="1">
      <alignment vertical="center"/>
    </xf>
    <xf numFmtId="0" fontId="29" fillId="0" borderId="0" xfId="3" applyFont="1" applyAlignment="1">
      <alignment horizontal="center" vertical="center"/>
    </xf>
    <xf numFmtId="182" fontId="20" fillId="0" borderId="4" xfId="3" applyNumberFormat="1" applyBorder="1">
      <alignment vertical="center"/>
    </xf>
    <xf numFmtId="182" fontId="25" fillId="0" borderId="4" xfId="3" applyNumberFormat="1" applyFont="1" applyBorder="1">
      <alignment vertical="center"/>
    </xf>
    <xf numFmtId="0" fontId="28" fillId="0" borderId="4" xfId="3" applyFont="1" applyBorder="1" applyAlignment="1">
      <alignment horizontal="right" vertical="center"/>
    </xf>
    <xf numFmtId="197" fontId="25" fillId="0" borderId="4" xfId="3" applyNumberFormat="1" applyFont="1" applyBorder="1">
      <alignment vertical="center"/>
    </xf>
    <xf numFmtId="198" fontId="25" fillId="0" borderId="5" xfId="3" applyNumberFormat="1" applyFont="1" applyBorder="1">
      <alignment vertical="center"/>
    </xf>
    <xf numFmtId="0" fontId="28" fillId="0" borderId="5" xfId="3" applyFont="1" applyBorder="1">
      <alignment vertical="center"/>
    </xf>
    <xf numFmtId="0" fontId="29" fillId="0" borderId="0" xfId="3" applyFont="1" applyAlignment="1">
      <alignment horizontal="right" vertical="center"/>
    </xf>
    <xf numFmtId="2" fontId="25" fillId="0" borderId="0" xfId="3" applyNumberFormat="1" applyFont="1" applyAlignment="1">
      <alignment horizontal="left" vertical="center"/>
    </xf>
    <xf numFmtId="199" fontId="25" fillId="0" borderId="1" xfId="3" applyNumberFormat="1" applyFont="1" applyBorder="1" applyAlignment="1">
      <alignment horizontal="center" vertical="center"/>
    </xf>
    <xf numFmtId="200" fontId="25" fillId="0" borderId="0" xfId="3" applyNumberFormat="1" applyFont="1" applyAlignment="1">
      <alignment horizontal="left" vertical="center"/>
    </xf>
    <xf numFmtId="182" fontId="23" fillId="2" borderId="0" xfId="3" applyNumberFormat="1" applyFont="1" applyFill="1" applyAlignment="1">
      <alignment horizontal="right" vertical="center"/>
    </xf>
    <xf numFmtId="201" fontId="25" fillId="0" borderId="0" xfId="3" applyNumberFormat="1" applyFont="1">
      <alignment vertical="center"/>
    </xf>
    <xf numFmtId="202" fontId="25" fillId="0" borderId="0" xfId="3" applyNumberFormat="1" applyFont="1">
      <alignment vertical="center"/>
    </xf>
    <xf numFmtId="0" fontId="20" fillId="0" borderId="0" xfId="3" applyAlignment="1">
      <alignment vertical="center"/>
    </xf>
    <xf numFmtId="0" fontId="20" fillId="0" borderId="0" xfId="3" applyAlignment="1">
      <alignment horizontal="center" vertical="center"/>
    </xf>
    <xf numFmtId="0" fontId="20" fillId="0" borderId="1" xfId="3" applyBorder="1" applyAlignment="1">
      <alignment horizontal="center" vertical="center"/>
    </xf>
    <xf numFmtId="182" fontId="25" fillId="5" borderId="0" xfId="3" applyNumberFormat="1" applyFont="1" applyFill="1" applyAlignment="1">
      <alignment horizontal="center" vertical="center"/>
    </xf>
    <xf numFmtId="0" fontId="20" fillId="0" borderId="0" xfId="3" applyAlignment="1">
      <alignment horizontal="left" vertical="center"/>
    </xf>
    <xf numFmtId="192" fontId="26" fillId="0" borderId="0" xfId="3" applyNumberFormat="1" applyFont="1" applyAlignment="1">
      <alignment horizontal="center" vertical="center"/>
    </xf>
    <xf numFmtId="194" fontId="26" fillId="0" borderId="0" xfId="3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Normal 2" xfId="3"/>
    <cellStyle name="백분율" xfId="2" builtinId="5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aseline="0"/>
              <a:t>Air Blast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Graph!$D$6</c:f>
              <c:strCache>
                <c:ptCount val="1"/>
                <c:pt idx="0">
                  <c:v>Incident</c:v>
                </c:pt>
              </c:strCache>
            </c:strRef>
          </c:tx>
          <c:marker>
            <c:symbol val="none"/>
          </c:marker>
          <c:cat>
            <c:numRef>
              <c:f>Graph!$B$7:$B$407</c:f>
              <c:numCache>
                <c:formatCode>General</c:formatCode>
                <c:ptCount val="40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</c:numCache>
            </c:numRef>
          </c:cat>
          <c:val>
            <c:numRef>
              <c:f>Graph!$D$7:$D$407</c:f>
              <c:numCache>
                <c:formatCode>0.0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13.7351648697881</c:v>
                </c:pt>
                <c:pt idx="219">
                  <c:v>13.580403531092228</c:v>
                </c:pt>
                <c:pt idx="220">
                  <c:v>12.733042377965267</c:v>
                </c:pt>
                <c:pt idx="221">
                  <c:v>11.932815565514222</c:v>
                </c:pt>
                <c:pt idx="222">
                  <c:v>11.177262236106786</c:v>
                </c:pt>
                <c:pt idx="223">
                  <c:v>10.464044945411837</c:v>
                </c:pt>
                <c:pt idx="224">
                  <c:v>9.7909436430563659</c:v>
                </c:pt>
                <c:pt idx="225">
                  <c:v>9.1558499409380438</c:v>
                </c:pt>
                <c:pt idx="226">
                  <c:v>8.5567616556595834</c:v>
                </c:pt>
                <c:pt idx="227">
                  <c:v>7.9917776121801385</c:v>
                </c:pt>
                <c:pt idx="228">
                  <c:v>7.4590926963789439</c:v>
                </c:pt>
                <c:pt idx="229">
                  <c:v>6.9569931447987718</c:v>
                </c:pt>
                <c:pt idx="230">
                  <c:v>6.4838520603828025</c:v>
                </c:pt>
                <c:pt idx="231">
                  <c:v>6.0381251435394301</c:v>
                </c:pt>
                <c:pt idx="232">
                  <c:v>5.6183466283663535</c:v>
                </c:pt>
                <c:pt idx="233">
                  <c:v>5.2231254143392789</c:v>
                </c:pt>
                <c:pt idx="234">
                  <c:v>4.8511413842226805</c:v>
                </c:pt>
                <c:pt idx="235">
                  <c:v>4.501141899391282</c:v>
                </c:pt>
                <c:pt idx="236">
                  <c:v>4.1719384641622872</c:v>
                </c:pt>
                <c:pt idx="237">
                  <c:v>3.8624035511307016</c:v>
                </c:pt>
                <c:pt idx="238">
                  <c:v>3.5714675798743274</c:v>
                </c:pt>
                <c:pt idx="239">
                  <c:v>3.2981160417519071</c:v>
                </c:pt>
                <c:pt idx="240">
                  <c:v>3.0413867638583336</c:v>
                </c:pt>
                <c:pt idx="241">
                  <c:v>2.8003673055254827</c:v>
                </c:pt>
                <c:pt idx="242">
                  <c:v>2.5741924810668846</c:v>
                </c:pt>
                <c:pt idx="243">
                  <c:v>2.3620420027597424</c:v>
                </c:pt>
                <c:pt idx="244">
                  <c:v>2.1631382383394389</c:v>
                </c:pt>
                <c:pt idx="245">
                  <c:v>1.9767440775502489</c:v>
                </c:pt>
                <c:pt idx="246">
                  <c:v>1.8021609025520651</c:v>
                </c:pt>
                <c:pt idx="247">
                  <c:v>1.6387266572272361</c:v>
                </c:pt>
                <c:pt idx="248">
                  <c:v>1.4858140106644726</c:v>
                </c:pt>
                <c:pt idx="249">
                  <c:v>1.3428286103188916</c:v>
                </c:pt>
                <c:pt idx="250">
                  <c:v>1.2092074205590515</c:v>
                </c:pt>
                <c:pt idx="251">
                  <c:v>1.0844171425137368</c:v>
                </c:pt>
                <c:pt idx="252">
                  <c:v>0.96795271132381699</c:v>
                </c:pt>
                <c:pt idx="253">
                  <c:v>0.8593358670880904</c:v>
                </c:pt>
                <c:pt idx="254">
                  <c:v>0.75811379596704276</c:v>
                </c:pt>
                <c:pt idx="255">
                  <c:v>0.66385783807536891</c:v>
                </c:pt>
                <c:pt idx="256">
                  <c:v>0.57616225895320838</c:v>
                </c:pt>
                <c:pt idx="257">
                  <c:v>0.49464308155773845</c:v>
                </c:pt>
                <c:pt idx="258">
                  <c:v>0.41893697586140349</c:v>
                </c:pt>
                <c:pt idx="259">
                  <c:v>0.34870020328093304</c:v>
                </c:pt>
                <c:pt idx="260">
                  <c:v>0.28360761329273082</c:v>
                </c:pt>
                <c:pt idx="261">
                  <c:v>0.22335168971552596</c:v>
                </c:pt>
                <c:pt idx="262">
                  <c:v>0.16764164426062175</c:v>
                </c:pt>
                <c:pt idx="263">
                  <c:v>0.1162025550639231</c:v>
                </c:pt>
                <c:pt idx="264">
                  <c:v>6.8774548022474374E-2</c:v>
                </c:pt>
                <c:pt idx="265">
                  <c:v>2.5112018861671911E-2</c:v>
                </c:pt>
                <c:pt idx="266">
                  <c:v>-1.5017106042066684E-2</c:v>
                </c:pt>
                <c:pt idx="267">
                  <c:v>-5.1832071964410566E-2</c:v>
                </c:pt>
                <c:pt idx="268">
                  <c:v>-8.5539963053669135E-2</c:v>
                </c:pt>
                <c:pt idx="269">
                  <c:v>-0.11633633617506171</c:v>
                </c:pt>
                <c:pt idx="270">
                  <c:v>-0.14440582300363139</c:v>
                </c:pt>
                <c:pt idx="271">
                  <c:v>-0.16992270191316666</c:v>
                </c:pt>
                <c:pt idx="272">
                  <c:v>-0.19305144113460232</c:v>
                </c:pt>
                <c:pt idx="273">
                  <c:v>-0.21394721458694441</c:v>
                </c:pt>
                <c:pt idx="274">
                  <c:v>-0.23275639171664672</c:v>
                </c:pt>
                <c:pt idx="275">
                  <c:v>-0.24961700261742359</c:v>
                </c:pt>
                <c:pt idx="276">
                  <c:v>-0.26465917964153468</c:v>
                </c:pt>
                <c:pt idx="277">
                  <c:v>-0.27800557665551706</c:v>
                </c:pt>
                <c:pt idx="278">
                  <c:v>-0.28977176703800933</c:v>
                </c:pt>
                <c:pt idx="279">
                  <c:v>-0.30006662146459884</c:v>
                </c:pt>
                <c:pt idx="280">
                  <c:v>-0.30899266647439227</c:v>
                </c:pt>
                <c:pt idx="281">
                  <c:v>-0.31664642476516391</c:v>
                </c:pt>
                <c:pt idx="282">
                  <c:v>-0.32311873811833935</c:v>
                </c:pt>
                <c:pt idx="283">
                  <c:v>-0.32849507381164489</c:v>
                </c:pt>
                <c:pt idx="284">
                  <c:v>-0.33285581533587516</c:v>
                </c:pt>
                <c:pt idx="285">
                  <c:v>-0.33627653819281794</c:v>
                </c:pt>
                <c:pt idx="286">
                  <c:v>-0.33882827151382688</c:v>
                </c:pt>
                <c:pt idx="287">
                  <c:v>-0.34057774620277248</c:v>
                </c:pt>
                <c:pt idx="288">
                  <c:v>-0.34158763027303057</c:v>
                </c:pt>
                <c:pt idx="289">
                  <c:v>-0.34191675201572486</c:v>
                </c:pt>
                <c:pt idx="290">
                  <c:v>-0.34162031160553219</c:v>
                </c:pt>
                <c:pt idx="291">
                  <c:v>-0.34075008172092791</c:v>
                </c:pt>
                <c:pt idx="292">
                  <c:v>-0.33935459772771304</c:v>
                </c:pt>
                <c:pt idx="293">
                  <c:v>-0.33747933794797375</c:v>
                </c:pt>
                <c:pt idx="294">
                  <c:v>-0.33516689451119497</c:v>
                </c:pt>
                <c:pt idx="295">
                  <c:v>-0.33245713526004428</c:v>
                </c:pt>
                <c:pt idx="296">
                  <c:v>-0.32938735716028533</c:v>
                </c:pt>
                <c:pt idx="297">
                  <c:v>-0.32599243164233294</c:v>
                </c:pt>
                <c:pt idx="298">
                  <c:v>-0.32230494228105488</c:v>
                </c:pt>
                <c:pt idx="299">
                  <c:v>-0.31835531520052979</c:v>
                </c:pt>
                <c:pt idx="300">
                  <c:v>-0.31417194257152004</c:v>
                </c:pt>
                <c:pt idx="301">
                  <c:v>-0.3097812995513809</c:v>
                </c:pt>
                <c:pt idx="302">
                  <c:v>-0.30520805499895393</c:v>
                </c:pt>
                <c:pt idx="303">
                  <c:v>-0.30047517628064563</c:v>
                </c:pt>
                <c:pt idx="304">
                  <c:v>-0.29560402846832684</c:v>
                </c:pt>
                <c:pt idx="305">
                  <c:v>-0.29061446821487869</c:v>
                </c:pt>
                <c:pt idx="306">
                  <c:v>-0.28552493257910733</c:v>
                </c:pt>
                <c:pt idx="307">
                  <c:v>-0.28035252305833197</c:v>
                </c:pt>
                <c:pt idx="308">
                  <c:v>-0.27511308507417354</c:v>
                </c:pt>
                <c:pt idx="309">
                  <c:v>-0.26982128314491904</c:v>
                </c:pt>
                <c:pt idx="310">
                  <c:v>-0.26449067196626336</c:v>
                </c:pt>
                <c:pt idx="311">
                  <c:v>-0.25913376361122414</c:v>
                </c:pt>
                <c:pt idx="312">
                  <c:v>-0.25376209104954611</c:v>
                </c:pt>
                <c:pt idx="313">
                  <c:v>-0.24838626817694309</c:v>
                </c:pt>
                <c:pt idx="314">
                  <c:v>-0.2430160465350423</c:v>
                </c:pt>
                <c:pt idx="315">
                  <c:v>-0.23766036889386732</c:v>
                </c:pt>
                <c:pt idx="316">
                  <c:v>-0.23232741986011129</c:v>
                </c:pt>
                <c:pt idx="317">
                  <c:v>-0.2270246736662869</c:v>
                </c:pt>
                <c:pt idx="318">
                  <c:v>-0.22175893928806087</c:v>
                </c:pt>
                <c:pt idx="319">
                  <c:v>-0.21653640302969643</c:v>
                </c:pt>
                <c:pt idx="320">
                  <c:v>-0.21136266871049186</c:v>
                </c:pt>
                <c:pt idx="321">
                  <c:v>-0.20624279557841596</c:v>
                </c:pt>
                <c:pt idx="322">
                  <c:v>-0.20118133407078018</c:v>
                </c:pt>
                <c:pt idx="323">
                  <c:v>-0.19618235953573904</c:v>
                </c:pt>
                <c:pt idx="324">
                  <c:v>-0.19124950402265528</c:v>
                </c:pt>
                <c:pt idx="325">
                  <c:v>-0.1863859862438963</c:v>
                </c:pt>
                <c:pt idx="326">
                  <c:v>-0.18159463980542703</c:v>
                </c:pt>
                <c:pt idx="327">
                  <c:v>-0.17687793979861582</c:v>
                </c:pt>
                <c:pt idx="328">
                  <c:v>-0.17223802784097009</c:v>
                </c:pt>
                <c:pt idx="329">
                  <c:v>-0.16767673564904312</c:v>
                </c:pt>
                <c:pt idx="330">
                  <c:v>-0.16319560722250701</c:v>
                </c:pt>
                <c:pt idx="331">
                  <c:v>-0.15879591971434351</c:v>
                </c:pt>
                <c:pt idx="332">
                  <c:v>-0.15447870305826403</c:v>
                </c:pt>
                <c:pt idx="333">
                  <c:v>-0.15024475842082094</c:v>
                </c:pt>
                <c:pt idx="334">
                  <c:v>-0.14609467554220026</c:v>
                </c:pt>
                <c:pt idx="335">
                  <c:v>-0.14202884902639099</c:v>
                </c:pt>
                <c:pt idx="336">
                  <c:v>-0.13804749363829102</c:v>
                </c:pt>
                <c:pt idx="337">
                  <c:v>-0.13415065866233317</c:v>
                </c:pt>
                <c:pt idx="338">
                  <c:v>-0.13033824137438432</c:v>
                </c:pt>
                <c:pt idx="339">
                  <c:v>-0.12660999967598585</c:v>
                </c:pt>
                <c:pt idx="340">
                  <c:v>-0.12296556393744525</c:v>
                </c:pt>
                <c:pt idx="341">
                  <c:v>-0.11940444809386751</c:v>
                </c:pt>
                <c:pt idx="342">
                  <c:v>-0.11592606003590791</c:v>
                </c:pt>
                <c:pt idx="343">
                  <c:v>-0.1125297113348402</c:v>
                </c:pt>
                <c:pt idx="344">
                  <c:v>-0.10921462633945554</c:v>
                </c:pt>
                <c:pt idx="345">
                  <c:v>-0.10597995068033328</c:v>
                </c:pt>
                <c:pt idx="346">
                  <c:v>-0.10282475921515075</c:v>
                </c:pt>
                <c:pt idx="347">
                  <c:v>-9.9748063446918653E-2</c:v>
                </c:pt>
                <c:pt idx="348">
                  <c:v>-9.6748818445339585E-2</c:v>
                </c:pt>
                <c:pt idx="349">
                  <c:v>-9.3825929299882538E-2</c:v>
                </c:pt>
                <c:pt idx="350">
                  <c:v>-9.0978257131643314E-2</c:v>
                </c:pt>
                <c:pt idx="351">
                  <c:v>-8.8204624689616012E-2</c:v>
                </c:pt>
                <c:pt idx="352">
                  <c:v>-8.5503821555627454E-2</c:v>
                </c:pt>
                <c:pt idx="353">
                  <c:v>-8.2874608980886083E-2</c:v>
                </c:pt>
                <c:pt idx="354">
                  <c:v>-8.0315724375860195E-2</c:v>
                </c:pt>
                <c:pt idx="355">
                  <c:v>-7.7825885474028772E-2</c:v>
                </c:pt>
                <c:pt idx="356">
                  <c:v>-7.5403794188935377E-2</c:v>
                </c:pt>
                <c:pt idx="357">
                  <c:v>-7.3048140182921426E-2</c:v>
                </c:pt>
                <c:pt idx="358">
                  <c:v>-7.0757604164913321E-2</c:v>
                </c:pt>
                <c:pt idx="359">
                  <c:v>-6.8530860933689333E-2</c:v>
                </c:pt>
                <c:pt idx="360">
                  <c:v>-6.6366582182152078E-2</c:v>
                </c:pt>
                <c:pt idx="361">
                  <c:v>-6.4263439077277634E-2</c:v>
                </c:pt>
                <c:pt idx="362">
                  <c:v>-6.2220104629605241E-2</c:v>
                </c:pt>
                <c:pt idx="363">
                  <c:v>-6.0235255865361166E-2</c:v>
                </c:pt>
                <c:pt idx="364">
                  <c:v>-5.830757581358572E-2</c:v>
                </c:pt>
                <c:pt idx="365">
                  <c:v>-5.6435755319941321E-2</c:v>
                </c:pt>
                <c:pt idx="366">
                  <c:v>-5.4618494698226487E-2</c:v>
                </c:pt>
                <c:pt idx="367">
                  <c:v>-5.2854505230001771E-2</c:v>
                </c:pt>
                <c:pt idx="368">
                  <c:v>-5.1142510522146648E-2</c:v>
                </c:pt>
                <c:pt idx="369">
                  <c:v>-4.9481247731610715E-2</c:v>
                </c:pt>
                <c:pt idx="370">
                  <c:v>-4.7869468666095989E-2</c:v>
                </c:pt>
                <c:pt idx="371">
                  <c:v>-4.6305940768908878E-2</c:v>
                </c:pt>
                <c:pt idx="372">
                  <c:v>-4.4789447995747286E-2</c:v>
                </c:pt>
                <c:pt idx="373">
                  <c:v>-4.3318791590742742E-2</c:v>
                </c:pt>
                <c:pt idx="374">
                  <c:v>-4.1892790768652183E-2</c:v>
                </c:pt>
                <c:pt idx="375">
                  <c:v>-4.0510283309695208E-2</c:v>
                </c:pt>
                <c:pt idx="376">
                  <c:v>-3.9170126073152178E-2</c:v>
                </c:pt>
                <c:pt idx="377">
                  <c:v>-3.7871195435480259E-2</c:v>
                </c:pt>
                <c:pt idx="378">
                  <c:v>-3.6612387658364699E-2</c:v>
                </c:pt>
                <c:pt idx="379">
                  <c:v>-3.5392619191801714E-2</c:v>
                </c:pt>
                <c:pt idx="380">
                  <c:v>-3.4210826917005159E-2</c:v>
                </c:pt>
                <c:pt idx="381">
                  <c:v>-3.3065968333642323E-2</c:v>
                </c:pt>
                <c:pt idx="382">
                  <c:v>-3.1957021695632089E-2</c:v>
                </c:pt>
                <c:pt idx="383">
                  <c:v>-3.0882986099482312E-2</c:v>
                </c:pt>
                <c:pt idx="384">
                  <c:v>-2.984288152890005E-2</c:v>
                </c:pt>
                <c:pt idx="385">
                  <c:v>-2.883574885917967E-2</c:v>
                </c:pt>
                <c:pt idx="386">
                  <c:v>-2.786064982465606E-2</c:v>
                </c:pt>
                <c:pt idx="387">
                  <c:v>-2.6916666952306555E-2</c:v>
                </c:pt>
                <c:pt idx="388">
                  <c:v>-2.6002903464391103E-2</c:v>
                </c:pt>
                <c:pt idx="389">
                  <c:v>-2.5118483152837927E-2</c:v>
                </c:pt>
                <c:pt idx="390">
                  <c:v>-2.4262550227909591E-2</c:v>
                </c:pt>
                <c:pt idx="391">
                  <c:v>-2.3434269143521601E-2</c:v>
                </c:pt>
                <c:pt idx="392">
                  <c:v>-2.2632824401432362E-2</c:v>
                </c:pt>
                <c:pt idx="393">
                  <c:v>-2.185742033637833E-2</c:v>
                </c:pt>
                <c:pt idx="394">
                  <c:v>-2.1107280884091778E-2</c:v>
                </c:pt>
                <c:pt idx="395">
                  <c:v>-2.0381649334009693E-2</c:v>
                </c:pt>
                <c:pt idx="396">
                  <c:v>-1.967978806836123E-2</c:v>
                </c:pt>
                <c:pt idx="397">
                  <c:v>-1.9000978289206282E-2</c:v>
                </c:pt>
                <c:pt idx="398">
                  <c:v>-1.8344519734890378E-2</c:v>
                </c:pt>
                <c:pt idx="399">
                  <c:v>-1.7709730387279465E-2</c:v>
                </c:pt>
                <c:pt idx="400">
                  <c:v>-1.7095946171042493E-2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2F-4D18-80DC-2233F4321D60}"/>
            </c:ext>
          </c:extLst>
        </c:ser>
        <c:ser>
          <c:idx val="3"/>
          <c:order val="1"/>
          <c:tx>
            <c:strRef>
              <c:f>Graph!$E$6</c:f>
              <c:strCache>
                <c:ptCount val="1"/>
                <c:pt idx="0">
                  <c:v>Reflected</c:v>
                </c:pt>
              </c:strCache>
            </c:strRef>
          </c:tx>
          <c:marker>
            <c:symbol val="none"/>
          </c:marker>
          <c:cat>
            <c:numRef>
              <c:f>Graph!$B$7:$B$407</c:f>
              <c:numCache>
                <c:formatCode>General</c:formatCode>
                <c:ptCount val="40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</c:numCache>
            </c:numRef>
          </c:cat>
          <c:val>
            <c:numRef>
              <c:f>Graph!$E$7:$E$407</c:f>
              <c:numCache>
                <c:formatCode>0.0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29.067140331622408</c:v>
                </c:pt>
                <c:pt idx="219">
                  <c:v>28.739625548041072</c:v>
                </c:pt>
                <c:pt idx="220">
                  <c:v>26.946391481831661</c:v>
                </c:pt>
                <c:pt idx="221">
                  <c:v>25.252905799267712</c:v>
                </c:pt>
                <c:pt idx="222">
                  <c:v>23.65396069288478</c:v>
                </c:pt>
                <c:pt idx="223">
                  <c:v>22.144609529494669</c:v>
                </c:pt>
                <c:pt idx="224">
                  <c:v>20.720154111707895</c:v>
                </c:pt>
                <c:pt idx="225">
                  <c:v>19.376132548209352</c:v>
                </c:pt>
                <c:pt idx="226">
                  <c:v>18.108307704146252</c:v>
                </c:pt>
                <c:pt idx="227">
                  <c:v>16.912656204318434</c:v>
                </c:pt>
                <c:pt idx="228">
                  <c:v>15.785357963130984</c:v>
                </c:pt>
                <c:pt idx="229">
                  <c:v>14.722786216480323</c:v>
                </c:pt>
                <c:pt idx="230">
                  <c:v>13.721498031900479</c:v>
                </c:pt>
                <c:pt idx="231">
                  <c:v>12.778225274398618</c:v>
                </c:pt>
                <c:pt idx="232">
                  <c:v>11.889866006460384</c:v>
                </c:pt>
                <c:pt idx="233">
                  <c:v>11.053476301708601</c:v>
                </c:pt>
                <c:pt idx="234">
                  <c:v>10.266262452655731</c:v>
                </c:pt>
                <c:pt idx="235">
                  <c:v>9.5255735539030546</c:v>
                </c:pt>
                <c:pt idx="236">
                  <c:v>8.8288944430100091</c:v>
                </c:pt>
                <c:pt idx="237">
                  <c:v>8.1738389820875064</c:v>
                </c:pt>
                <c:pt idx="238">
                  <c:v>7.558143663960875</c:v>
                </c:pt>
                <c:pt idx="239">
                  <c:v>6.9796615275035068</c:v>
                </c:pt>
                <c:pt idx="240">
                  <c:v>6.436356367462591</c:v>
                </c:pt>
                <c:pt idx="241">
                  <c:v>5.9262972247855012</c:v>
                </c:pt>
                <c:pt idx="242">
                  <c:v>5.4476531441105847</c:v>
                </c:pt>
                <c:pt idx="243">
                  <c:v>4.9986881857110967</c:v>
                </c:pt>
                <c:pt idx="244">
                  <c:v>4.5777566797770062</c:v>
                </c:pt>
                <c:pt idx="245">
                  <c:v>4.1832987114877653</c:v>
                </c:pt>
                <c:pt idx="246">
                  <c:v>3.8138358258711111</c:v>
                </c:pt>
                <c:pt idx="247">
                  <c:v>3.4679669419599355</c:v>
                </c:pt>
                <c:pt idx="248">
                  <c:v>3.1443644662520334</c:v>
                </c:pt>
                <c:pt idx="249">
                  <c:v>2.8417705959476329</c:v>
                </c:pt>
                <c:pt idx="250">
                  <c:v>2.5589938028877377</c:v>
                </c:pt>
                <c:pt idx="251">
                  <c:v>2.2949054895436469</c:v>
                </c:pt>
                <c:pt idx="252">
                  <c:v>2.0484368088155209</c:v>
                </c:pt>
                <c:pt idx="253">
                  <c:v>1.8185756397863537</c:v>
                </c:pt>
                <c:pt idx="254">
                  <c:v>1.6043637119481446</c:v>
                </c:pt>
                <c:pt idx="255">
                  <c:v>1.4048938707702538</c:v>
                </c:pt>
                <c:pt idx="256">
                  <c:v>1.2193074778166713</c:v>
                </c:pt>
                <c:pt idx="257">
                  <c:v>1.0467919389399178</c:v>
                </c:pt>
                <c:pt idx="258">
                  <c:v>0.88657835438540245</c:v>
                </c:pt>
                <c:pt idx="259">
                  <c:v>0.73793928493182404</c:v>
                </c:pt>
                <c:pt idx="260">
                  <c:v>0.60018662847135418</c:v>
                </c:pt>
                <c:pt idx="261">
                  <c:v>0.47266960169851513</c:v>
                </c:pt>
                <c:pt idx="262">
                  <c:v>0.35477282182944714</c:v>
                </c:pt>
                <c:pt idx="263">
                  <c:v>0.24591448351418602</c:v>
                </c:pt>
                <c:pt idx="264">
                  <c:v>0.14554462633428933</c:v>
                </c:pt>
                <c:pt idx="265">
                  <c:v>5.3143488497042507E-2</c:v>
                </c:pt>
                <c:pt idx="266">
                  <c:v>-3.1780057453823722E-2</c:v>
                </c:pt>
                <c:pt idx="267">
                  <c:v>-0.10968999089207997</c:v>
                </c:pt>
                <c:pt idx="268">
                  <c:v>-0.18102455511923943</c:v>
                </c:pt>
                <c:pt idx="269">
                  <c:v>-0.24619759874200103</c:v>
                </c:pt>
                <c:pt idx="270">
                  <c:v>-0.30559984985566013</c:v>
                </c:pt>
                <c:pt idx="271">
                  <c:v>-0.35960012630810578</c:v>
                </c:pt>
                <c:pt idx="272">
                  <c:v>-0.40854648516264946</c:v>
                </c:pt>
                <c:pt idx="273">
                  <c:v>-0.45276731432888778</c:v>
                </c:pt>
                <c:pt idx="274">
                  <c:v>-0.4925723691887669</c:v>
                </c:pt>
                <c:pt idx="275">
                  <c:v>-0.52825375690969378</c:v>
                </c:pt>
                <c:pt idx="276">
                  <c:v>-0.56008687100755816</c:v>
                </c:pt>
                <c:pt idx="277">
                  <c:v>-0.58833127859965695</c:v>
                </c:pt>
                <c:pt idx="278">
                  <c:v>-0.61323156267042012</c:v>
                </c:pt>
                <c:pt idx="279">
                  <c:v>-0.63501812156127935</c:v>
                </c:pt>
                <c:pt idx="280">
                  <c:v>-0.65390792778972462</c:v>
                </c:pt>
                <c:pt idx="281">
                  <c:v>-0.67010524820132955</c:v>
                </c:pt>
                <c:pt idx="282">
                  <c:v>-0.68380232736204638</c:v>
                </c:pt>
                <c:pt idx="283">
                  <c:v>-0.69518003600615319</c:v>
                </c:pt>
                <c:pt idx="284">
                  <c:v>-0.70440848626768182</c:v>
                </c:pt>
                <c:pt idx="285">
                  <c:v>-0.71164761533973631</c:v>
                </c:pt>
                <c:pt idx="286">
                  <c:v>-0.71704773912665876</c:v>
                </c:pt>
                <c:pt idx="287">
                  <c:v>-0.72075007737831365</c:v>
                </c:pt>
                <c:pt idx="288">
                  <c:v>-0.72288725172366342</c:v>
                </c:pt>
                <c:pt idx="289">
                  <c:v>-0.72358375795214891</c:v>
                </c:pt>
                <c:pt idx="290">
                  <c:v>-0.72295641382597942</c:v>
                </c:pt>
                <c:pt idx="291">
                  <c:v>-0.72111478364415282</c:v>
                </c:pt>
                <c:pt idx="292">
                  <c:v>-0.71816158071969927</c:v>
                </c:pt>
                <c:pt idx="293">
                  <c:v>-0.71419304887514712</c:v>
                </c:pt>
                <c:pt idx="294">
                  <c:v>-0.70929932400740736</c:v>
                </c:pt>
                <c:pt idx="295">
                  <c:v>-0.70356477672204043</c:v>
                </c:pt>
                <c:pt idx="296">
                  <c:v>-0.6970683369880768</c:v>
                </c:pt>
                <c:pt idx="297">
                  <c:v>-0.68988380171811536</c:v>
                </c:pt>
                <c:pt idx="298">
                  <c:v>-0.68208012613418412</c:v>
                </c:pt>
                <c:pt idx="299">
                  <c:v>-0.67372169973773632</c:v>
                </c:pt>
                <c:pt idx="300">
                  <c:v>-0.66486860766205536</c:v>
                </c:pt>
                <c:pt idx="301">
                  <c:v>-0.65557687814716858</c:v>
                </c:pt>
                <c:pt idx="302">
                  <c:v>-0.64589871684102973</c:v>
                </c:pt>
                <c:pt idx="303">
                  <c:v>-0.63588272859612571</c:v>
                </c:pt>
                <c:pt idx="304">
                  <c:v>-0.62557412739773832</c:v>
                </c:pt>
                <c:pt idx="305">
                  <c:v>-0.61501493502873539</c:v>
                </c:pt>
                <c:pt idx="306">
                  <c:v>-0.60424416904592859</c:v>
                </c:pt>
                <c:pt idx="307">
                  <c:v>-0.59329802061463432</c:v>
                </c:pt>
                <c:pt idx="308">
                  <c:v>-0.58221002272104116</c:v>
                </c:pt>
                <c:pt idx="309">
                  <c:v>-0.5710112092562587</c:v>
                </c:pt>
                <c:pt idx="310">
                  <c:v>-0.55973026544144366</c:v>
                </c:pt>
                <c:pt idx="311">
                  <c:v>-0.54839367004009798</c:v>
                </c:pt>
                <c:pt idx="312">
                  <c:v>-0.53702582978145896</c:v>
                </c:pt>
                <c:pt idx="313">
                  <c:v>-0.52564920639781054</c:v>
                </c:pt>
                <c:pt idx="314">
                  <c:v>-0.51428443665846824</c:v>
                </c:pt>
                <c:pt idx="315">
                  <c:v>-0.50295044576408965</c:v>
                </c:pt>
                <c:pt idx="316">
                  <c:v>-0.4916645544467933</c:v>
                </c:pt>
                <c:pt idx="317">
                  <c:v>-0.48044258010428598</c:v>
                </c:pt>
                <c:pt idx="318">
                  <c:v>-0.46929893227974356</c:v>
                </c:pt>
                <c:pt idx="319">
                  <c:v>-0.45824670278355639</c:v>
                </c:pt>
                <c:pt idx="320">
                  <c:v>-0.44729775073816536</c:v>
                </c:pt>
                <c:pt idx="321">
                  <c:v>-0.4364627828130625</c:v>
                </c:pt>
                <c:pt idx="322">
                  <c:v>-0.42575142890356815</c:v>
                </c:pt>
                <c:pt idx="323">
                  <c:v>-0.4151723134941957</c:v>
                </c:pt>
                <c:pt idx="324">
                  <c:v>-0.40473312293523772</c:v>
                </c:pt>
                <c:pt idx="325">
                  <c:v>-0.3944406688496313</c:v>
                </c:pt>
                <c:pt idx="326">
                  <c:v>-0.3843009478761506</c:v>
                </c:pt>
                <c:pt idx="327">
                  <c:v>-0.37431919794450519</c:v>
                </c:pt>
                <c:pt idx="328">
                  <c:v>-0.36449995126797508</c:v>
                </c:pt>
                <c:pt idx="329">
                  <c:v>-0.35484708422974193</c:v>
                </c:pt>
                <c:pt idx="330">
                  <c:v>-0.34536386433009192</c:v>
                </c:pt>
                <c:pt idx="331">
                  <c:v>-0.33605299435310509</c:v>
                </c:pt>
                <c:pt idx="332">
                  <c:v>-0.32691665390332236</c:v>
                </c:pt>
                <c:pt idx="333">
                  <c:v>-0.31795653845515759</c:v>
                </c:pt>
                <c:pt idx="334">
                  <c:v>-0.3091738960504733</c:v>
                </c:pt>
                <c:pt idx="335">
                  <c:v>-0.30056956177276739</c:v>
                </c:pt>
                <c:pt idx="336">
                  <c:v>-0.29214399011978243</c:v>
                </c:pt>
                <c:pt idx="337">
                  <c:v>-0.2838972853900496</c:v>
                </c:pt>
                <c:pt idx="338">
                  <c:v>-0.27582923019289179</c:v>
                </c:pt>
                <c:pt idx="339">
                  <c:v>-0.26793931218572437</c:v>
                </c:pt>
                <c:pt idx="340">
                  <c:v>-0.26022674913708194</c:v>
                </c:pt>
                <c:pt idx="341">
                  <c:v>-0.2526905124086738</c:v>
                </c:pt>
                <c:pt idx="342">
                  <c:v>-0.24532934894488856</c:v>
                </c:pt>
                <c:pt idx="343">
                  <c:v>-0.23814180185353853</c:v>
                </c:pt>
                <c:pt idx="344">
                  <c:v>-0.23112622965723706</c:v>
                </c:pt>
                <c:pt idx="345">
                  <c:v>-0.22428082429062202</c:v>
                </c:pt>
                <c:pt idx="346">
                  <c:v>-0.217603627914674</c:v>
                </c:pt>
                <c:pt idx="347">
                  <c:v>-0.21109254861560978</c:v>
                </c:pt>
                <c:pt idx="348">
                  <c:v>-0.2047453750522566</c:v>
                </c:pt>
                <c:pt idx="349">
                  <c:v>-0.19855979011241698</c:v>
                </c:pt>
                <c:pt idx="350">
                  <c:v>-0.19253338363551084</c:v>
                </c:pt>
                <c:pt idx="351">
                  <c:v>-0.18666366425572506</c:v>
                </c:pt>
                <c:pt idx="352">
                  <c:v>-0.1809480704169929</c:v>
                </c:pt>
                <c:pt idx="353">
                  <c:v>-0.17538398060837504</c:v>
                </c:pt>
                <c:pt idx="354">
                  <c:v>-0.16996872286579631</c:v>
                </c:pt>
                <c:pt idx="355">
                  <c:v>-0.16469958358361284</c:v>
                </c:pt>
                <c:pt idx="356">
                  <c:v>-0.15957381567713008</c:v>
                </c:pt>
                <c:pt idx="357">
                  <c:v>-0.15458864613495973</c:v>
                </c:pt>
                <c:pt idx="358">
                  <c:v>-0.14974128299798528</c:v>
                </c:pt>
                <c:pt idx="359">
                  <c:v>-0.14502892179969729</c:v>
                </c:pt>
                <c:pt idx="360">
                  <c:v>-0.14044875150075478</c:v>
                </c:pt>
                <c:pt idx="361">
                  <c:v>-0.13599795994882105</c:v>
                </c:pt>
                <c:pt idx="362">
                  <c:v>-0.13167373889301309</c:v>
                </c:pt>
                <c:pt idx="363">
                  <c:v>-0.12747328858067403</c:v>
                </c:pt>
                <c:pt idx="364">
                  <c:v>-0.12339382196264498</c:v>
                </c:pt>
                <c:pt idx="365">
                  <c:v>-0.11943256853174912</c:v>
                </c:pt>
                <c:pt idx="366">
                  <c:v>-0.11558677781781999</c:v>
                </c:pt>
                <c:pt idx="367">
                  <c:v>-0.11185372256129558</c:v>
                </c:pt>
                <c:pt idx="368">
                  <c:v>-0.10823070158615768</c:v>
                </c:pt>
                <c:pt idx="369">
                  <c:v>-0.10471504239182028</c:v>
                </c:pt>
                <c:pt idx="370">
                  <c:v>-0.10130410348245643</c:v>
                </c:pt>
                <c:pt idx="371">
                  <c:v>-9.7995276451198113E-2</c:v>
                </c:pt>
                <c:pt idx="372">
                  <c:v>-9.4785987835643321E-2</c:v>
                </c:pt>
                <c:pt idx="373">
                  <c:v>-9.1673700760160556E-2</c:v>
                </c:pt>
                <c:pt idx="374">
                  <c:v>-8.86559163795822E-2</c:v>
                </c:pt>
                <c:pt idx="375">
                  <c:v>-8.573017513803298E-2</c:v>
                </c:pt>
                <c:pt idx="376">
                  <c:v>-8.2894057855835659E-2</c:v>
                </c:pt>
                <c:pt idx="377">
                  <c:v>-8.0145186656677192E-2</c:v>
                </c:pt>
                <c:pt idx="378">
                  <c:v>-7.7481225746499918E-2</c:v>
                </c:pt>
                <c:pt idx="379">
                  <c:v>-7.4899882054902778E-2</c:v>
                </c:pt>
                <c:pt idx="380">
                  <c:v>-7.2398905749194373E-2</c:v>
                </c:pt>
                <c:pt idx="381">
                  <c:v>-6.9976090630631954E-2</c:v>
                </c:pt>
                <c:pt idx="382">
                  <c:v>-6.7629274421805358E-2</c:v>
                </c:pt>
                <c:pt idx="383">
                  <c:v>-6.5356338953581519E-2</c:v>
                </c:pt>
                <c:pt idx="384">
                  <c:v>-6.3155210259511263E-2</c:v>
                </c:pt>
                <c:pt idx="385">
                  <c:v>-6.102385858511556E-2</c:v>
                </c:pt>
                <c:pt idx="386">
                  <c:v>-5.8960298319008279E-2</c:v>
                </c:pt>
                <c:pt idx="387">
                  <c:v>-5.6962587852380703E-2</c:v>
                </c:pt>
                <c:pt idx="388">
                  <c:v>-5.502882937296312E-2</c:v>
                </c:pt>
                <c:pt idx="389">
                  <c:v>-5.3157168599192596E-2</c:v>
                </c:pt>
                <c:pt idx="390">
                  <c:v>-5.1345794459951424E-2</c:v>
                </c:pt>
                <c:pt idx="391">
                  <c:v>-4.9592938724896417E-2</c:v>
                </c:pt>
                <c:pt idx="392">
                  <c:v>-4.7896875590074502E-2</c:v>
                </c:pt>
                <c:pt idx="393">
                  <c:v>-4.6255921223213391E-2</c:v>
                </c:pt>
                <c:pt idx="394">
                  <c:v>-4.4668433272787654E-2</c:v>
                </c:pt>
                <c:pt idx="395">
                  <c:v>-4.3132810344687043E-2</c:v>
                </c:pt>
                <c:pt idx="396">
                  <c:v>-4.1647491450058527E-2</c:v>
                </c:pt>
                <c:pt idx="397">
                  <c:v>-4.0210955427649728E-2</c:v>
                </c:pt>
                <c:pt idx="398">
                  <c:v>-3.8821720343754536E-2</c:v>
                </c:pt>
                <c:pt idx="399">
                  <c:v>-3.7478342872646675E-2</c:v>
                </c:pt>
                <c:pt idx="400">
                  <c:v>-3.6179417660184322E-2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62F-4D18-80DC-2233F4321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28752"/>
        <c:axId val="144328336"/>
      </c:lineChart>
      <c:catAx>
        <c:axId val="14432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328336"/>
        <c:crosses val="autoZero"/>
        <c:auto val="1"/>
        <c:lblAlgn val="ctr"/>
        <c:lblOffset val="100"/>
        <c:noMultiLvlLbl val="0"/>
      </c:catAx>
      <c:valAx>
        <c:axId val="14432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3287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aseline="0"/>
              <a:t>Surface Blast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Graph!$G$6</c:f>
              <c:strCache>
                <c:ptCount val="1"/>
                <c:pt idx="0">
                  <c:v>Incident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Graph!$B$7:$B$407</c:f>
              <c:numCache>
                <c:formatCode>General</c:formatCode>
                <c:ptCount val="40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</c:numCache>
            </c:numRef>
          </c:cat>
          <c:val>
            <c:numRef>
              <c:f>Graph!$G$7:$G$407</c:f>
              <c:numCache>
                <c:formatCode>0.0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18.464308399187036</c:v>
                </c:pt>
                <c:pt idx="207">
                  <c:v>18.120946647768996</c:v>
                </c:pt>
                <c:pt idx="208">
                  <c:v>17.122773240741527</c:v>
                </c:pt>
                <c:pt idx="209">
                  <c:v>16.173575704833041</c:v>
                </c:pt>
                <c:pt idx="210">
                  <c:v>15.271099321096761</c:v>
                </c:pt>
                <c:pt idx="211">
                  <c:v>14.413189061521026</c:v>
                </c:pt>
                <c:pt idx="212">
                  <c:v>13.597785302670887</c:v>
                </c:pt>
                <c:pt idx="213">
                  <c:v>12.822919719893829</c:v>
                </c:pt>
                <c:pt idx="214">
                  <c:v>12.086711354601462</c:v>
                </c:pt>
                <c:pt idx="215">
                  <c:v>11.387362847445626</c:v>
                </c:pt>
                <c:pt idx="216">
                  <c:v>10.723156830501761</c:v>
                </c:pt>
                <c:pt idx="217">
                  <c:v>10.092452471854674</c:v>
                </c:pt>
                <c:pt idx="218">
                  <c:v>9.4936821662527944</c:v>
                </c:pt>
                <c:pt idx="219">
                  <c:v>8.9253483657568484</c:v>
                </c:pt>
                <c:pt idx="220">
                  <c:v>8.3860205445582654</c:v>
                </c:pt>
                <c:pt idx="221">
                  <c:v>7.8743322923818289</c:v>
                </c:pt>
                <c:pt idx="222">
                  <c:v>7.3889785311165754</c:v>
                </c:pt>
                <c:pt idx="223">
                  <c:v>6.9287128495391217</c:v>
                </c:pt>
                <c:pt idx="224">
                  <c:v>6.4923449512047595</c:v>
                </c:pt>
                <c:pt idx="225">
                  <c:v>6.0787382107843682</c:v>
                </c:pt>
                <c:pt idx="226">
                  <c:v>5.6868073343194272</c:v>
                </c:pt>
                <c:pt idx="227">
                  <c:v>5.3155161190540321</c:v>
                </c:pt>
                <c:pt idx="228">
                  <c:v>4.9638753086814749</c:v>
                </c:pt>
                <c:pt idx="229">
                  <c:v>4.6309405400147412</c:v>
                </c:pt>
                <c:pt idx="230">
                  <c:v>4.3158103772546648</c:v>
                </c:pt>
                <c:pt idx="231">
                  <c:v>4.0176244301874764</c:v>
                </c:pt>
                <c:pt idx="232">
                  <c:v>3.7355615527948238</c:v>
                </c:pt>
                <c:pt idx="233">
                  <c:v>3.4688381189046651</c:v>
                </c:pt>
                <c:pt idx="234">
                  <c:v>3.2167063716506701</c:v>
                </c:pt>
                <c:pt idx="235">
                  <c:v>2.9784528436414806</c:v>
                </c:pt>
                <c:pt idx="236">
                  <c:v>2.7533968448692634</c:v>
                </c:pt>
                <c:pt idx="237">
                  <c:v>2.5408890155099835</c:v>
                </c:pt>
                <c:pt idx="238">
                  <c:v>2.3403099408856933</c:v>
                </c:pt>
                <c:pt idx="239">
                  <c:v>2.1510688259722106</c:v>
                </c:pt>
                <c:pt idx="240">
                  <c:v>1.97260222694404</c:v>
                </c:pt>
                <c:pt idx="241">
                  <c:v>1.804372837352352</c:v>
                </c:pt>
                <c:pt idx="242">
                  <c:v>1.6458683266316392</c:v>
                </c:pt>
                <c:pt idx="243">
                  <c:v>1.4966002287262867</c:v>
                </c:pt>
                <c:pt idx="244">
                  <c:v>1.3561028787200633</c:v>
                </c:pt>
                <c:pt idx="245">
                  <c:v>1.2239323954395018</c:v>
                </c:pt>
                <c:pt idx="246">
                  <c:v>1.0996657080865182</c:v>
                </c:pt>
                <c:pt idx="247">
                  <c:v>0.98289962503651207</c:v>
                </c:pt>
                <c:pt idx="248">
                  <c:v>0.87324994301578307</c:v>
                </c:pt>
                <c:pt idx="249">
                  <c:v>0.77035059494649039</c:v>
                </c:pt>
                <c:pt idx="250">
                  <c:v>0.67385283481871716</c:v>
                </c:pt>
                <c:pt idx="251">
                  <c:v>0.58342445801761045</c:v>
                </c:pt>
                <c:pt idx="252">
                  <c:v>0.49874905559915245</c:v>
                </c:pt>
                <c:pt idx="253">
                  <c:v>0.41952530107101277</c:v>
                </c:pt>
                <c:pt idx="254">
                  <c:v>0.3454662682952272</c:v>
                </c:pt>
                <c:pt idx="255">
                  <c:v>0.27629877918726975</c:v>
                </c:pt>
                <c:pt idx="256">
                  <c:v>0.21176277994151299</c:v>
                </c:pt>
                <c:pt idx="257">
                  <c:v>0.15161074456622176</c:v>
                </c:pt>
                <c:pt idx="258">
                  <c:v>9.5607104562178122E-2</c:v>
                </c:pt>
                <c:pt idx="259">
                  <c:v>4.3527703627887472E-2</c:v>
                </c:pt>
                <c:pt idx="260">
                  <c:v>-4.8407236788516354E-3</c:v>
                </c:pt>
                <c:pt idx="261">
                  <c:v>-4.9701050348333067E-2</c:v>
                </c:pt>
                <c:pt idx="262">
                  <c:v>-9.1246233377554803E-2</c:v>
                </c:pt>
                <c:pt idx="263">
                  <c:v>-0.12965976922108105</c:v>
                </c:pt>
                <c:pt idx="264">
                  <c:v>-0.16511612913559862</c:v>
                </c:pt>
                <c:pt idx="265">
                  <c:v>-0.19778117528172426</c:v>
                </c:pt>
                <c:pt idx="266">
                  <c:v>-0.22781255841024334</c:v>
                </c:pt>
                <c:pt idx="267">
                  <c:v>-0.25536009792514719</c:v>
                </c:pt>
                <c:pt idx="268">
                  <c:v>-0.28056614508241629</c:v>
                </c:pt>
                <c:pt idx="269">
                  <c:v>-0.3035659300515085</c:v>
                </c:pt>
                <c:pt idx="270">
                  <c:v>-0.32448789353581081</c:v>
                </c:pt>
                <c:pt idx="271">
                  <c:v>-0.34345400361892287</c:v>
                </c:pt>
                <c:pt idx="272">
                  <c:v>-0.36058005847544045</c:v>
                </c:pt>
                <c:pt idx="273">
                  <c:v>-0.37597597555790846</c:v>
                </c:pt>
                <c:pt idx="274">
                  <c:v>-0.38974606784570892</c:v>
                </c:pt>
                <c:pt idx="275">
                  <c:v>-0.4019893077168526</c:v>
                </c:pt>
                <c:pt idx="276">
                  <c:v>-0.41279957897985009</c:v>
                </c:pt>
                <c:pt idx="277">
                  <c:v>-0.4222659175800641</c:v>
                </c:pt>
                <c:pt idx="278">
                  <c:v>-0.43047274147309522</c:v>
                </c:pt>
                <c:pt idx="279">
                  <c:v>-0.43750007013683828</c:v>
                </c:pt>
                <c:pt idx="280">
                  <c:v>-0.44342373417378278</c:v>
                </c:pt>
                <c:pt idx="281">
                  <c:v>-0.4483155754359272</c:v>
                </c:pt>
                <c:pt idx="282">
                  <c:v>-0.45224363808625323</c:v>
                </c:pt>
                <c:pt idx="283">
                  <c:v>-0.45527235099307412</c:v>
                </c:pt>
                <c:pt idx="284">
                  <c:v>-0.45746270183666066</c:v>
                </c:pt>
                <c:pt idx="285">
                  <c:v>-0.45887240329135459</c:v>
                </c:pt>
                <c:pt idx="286">
                  <c:v>-0.4595560516308641</c:v>
                </c:pt>
                <c:pt idx="287">
                  <c:v>-0.45956527808956288</c:v>
                </c:pt>
                <c:pt idx="288">
                  <c:v>-0.45894889329837818</c:v>
                </c:pt>
                <c:pt idx="289">
                  <c:v>-0.4577530251002031</c:v>
                </c:pt>
                <c:pt idx="290">
                  <c:v>-0.45602125003669719</c:v>
                </c:pt>
                <c:pt idx="291">
                  <c:v>-0.45379471878581751</c:v>
                </c:pt>
                <c:pt idx="292">
                  <c:v>-0.4511122758174253</c:v>
                </c:pt>
                <c:pt idx="293">
                  <c:v>-0.44801057352282192</c:v>
                </c:pt>
                <c:pt idx="294">
                  <c:v>-0.44452418106306263</c:v>
                </c:pt>
                <c:pt idx="295">
                  <c:v>-0.44068568817034937</c:v>
                </c:pt>
                <c:pt idx="296">
                  <c:v>-0.43652580412670877</c:v>
                </c:pt>
                <c:pt idx="297">
                  <c:v>-0.43207345213448722</c:v>
                </c:pt>
                <c:pt idx="298">
                  <c:v>-0.42735585928393122</c:v>
                </c:pt>
                <c:pt idx="299">
                  <c:v>-0.42239864231424812</c:v>
                </c:pt>
                <c:pt idx="300">
                  <c:v>-0.41722588935604527</c:v>
                </c:pt>
                <c:pt idx="301">
                  <c:v>-0.4118602378349096</c:v>
                </c:pt>
                <c:pt idx="302">
                  <c:v>-0.40632294870809271</c:v>
                </c:pt>
                <c:pt idx="303">
                  <c:v>-0.40063397719880861</c:v>
                </c:pt>
                <c:pt idx="304">
                  <c:v>-0.39481204018550042</c:v>
                </c:pt>
                <c:pt idx="305">
                  <c:v>-0.38887468039659423</c:v>
                </c:pt>
                <c:pt idx="306">
                  <c:v>-0.38283832755470087</c:v>
                </c:pt>
                <c:pt idx="307">
                  <c:v>-0.37671835660795866</c:v>
                </c:pt>
                <c:pt idx="308">
                  <c:v>-0.37052914318019725</c:v>
                </c:pt>
                <c:pt idx="309">
                  <c:v>-0.36428411636585833</c:v>
                </c:pt>
                <c:pt idx="310">
                  <c:v>-0.35799580899009636</c:v>
                </c:pt>
                <c:pt idx="311">
                  <c:v>-0.35167590544921801</c:v>
                </c:pt>
                <c:pt idx="312">
                  <c:v>-0.34533528724156759</c:v>
                </c:pt>
                <c:pt idx="313">
                  <c:v>-0.33898407629413968</c:v>
                </c:pt>
                <c:pt idx="314">
                  <c:v>-0.33263167618557099</c:v>
                </c:pt>
                <c:pt idx="315">
                  <c:v>-0.32628681136174509</c:v>
                </c:pt>
                <c:pt idx="316">
                  <c:v>-0.3199575644359976</c:v>
                </c:pt>
                <c:pt idx="317">
                  <c:v>-0.31365141166186405</c:v>
                </c:pt>
                <c:pt idx="318">
                  <c:v>-0.30737525666242321</c:v>
                </c:pt>
                <c:pt idx="319">
                  <c:v>-0.30113546249658224</c:v>
                </c:pt>
                <c:pt idx="320">
                  <c:v>-0.29493788213908695</c:v>
                </c:pt>
                <c:pt idx="321">
                  <c:v>-0.28878788744764722</c:v>
                </c:pt>
                <c:pt idx="322">
                  <c:v>-0.28269039668730578</c:v>
                </c:pt>
                <c:pt idx="323">
                  <c:v>-0.27664990067906775</c:v>
                </c:pt>
                <c:pt idx="324">
                  <c:v>-0.27067048763682322</c:v>
                </c:pt>
                <c:pt idx="325">
                  <c:v>-0.26475586675374929</c:v>
                </c:pt>
                <c:pt idx="326">
                  <c:v>-0.25890939059664408</c:v>
                </c:pt>
                <c:pt idx="327">
                  <c:v>-0.25313407636403773</c:v>
                </c:pt>
                <c:pt idx="328">
                  <c:v>-0.24743262606142361</c:v>
                </c:pt>
                <c:pt idx="329">
                  <c:v>-0.24180744564457127</c:v>
                </c:pt>
                <c:pt idx="330">
                  <c:v>-0.23626066317958899</c:v>
                </c:pt>
                <c:pt idx="331">
                  <c:v>-0.23079414606622231</c:v>
                </c:pt>
                <c:pt idx="332">
                  <c:v>-0.22540951736878068</c:v>
                </c:pt>
                <c:pt idx="333">
                  <c:v>-0.22010817129708807</c:v>
                </c:pt>
                <c:pt idx="334">
                  <c:v>-0.2148912878779351</c:v>
                </c:pt>
                <c:pt idx="335">
                  <c:v>-0.20975984685568572</c:v>
                </c:pt>
                <c:pt idx="336">
                  <c:v>-0.2047146408589364</c:v>
                </c:pt>
                <c:pt idx="337">
                  <c:v>-0.1997562878684582</c:v>
                </c:pt>
                <c:pt idx="338">
                  <c:v>-0.19488524302004712</c:v>
                </c:pt>
                <c:pt idx="339">
                  <c:v>-0.19010180977438171</c:v>
                </c:pt>
                <c:pt idx="340">
                  <c:v>-0.18540615048452055</c:v>
                </c:pt>
                <c:pt idx="341">
                  <c:v>-0.18079829639027836</c:v>
                </c:pt>
                <c:pt idx="342">
                  <c:v>-0.17627815706737718</c:v>
                </c:pt>
                <c:pt idx="343">
                  <c:v>-0.17184552935799544</c:v>
                </c:pt>
                <c:pt idx="344">
                  <c:v>-0.16750010580811139</c:v>
                </c:pt>
                <c:pt idx="345">
                  <c:v>-0.16324148263587396</c:v>
                </c:pt>
                <c:pt idx="346">
                  <c:v>-0.15906916725411388</c:v>
                </c:pt>
                <c:pt idx="347">
                  <c:v>-0.15498258536904355</c:v>
                </c:pt>
                <c:pt idx="348">
                  <c:v>-0.15098108767617158</c:v>
                </c:pt>
                <c:pt idx="349">
                  <c:v>-0.14706395617348739</c:v>
                </c:pt>
                <c:pt idx="350">
                  <c:v>-0.1432304101110361</c:v>
                </c:pt>
                <c:pt idx="351">
                  <c:v>-0.13947961159511654</c:v>
                </c:pt>
                <c:pt idx="352">
                  <c:v>-0.13581067086448334</c:v>
                </c:pt>
                <c:pt idx="353">
                  <c:v>-0.13222265125512403</c:v>
                </c:pt>
                <c:pt idx="354">
                  <c:v>-0.12871457386940349</c:v>
                </c:pt>
                <c:pt idx="355">
                  <c:v>-0.12528542196462863</c:v>
                </c:pt>
                <c:pt idx="356">
                  <c:v>-0.12193414507537735</c:v>
                </c:pt>
                <c:pt idx="357">
                  <c:v>-0.11865966288325866</c:v>
                </c:pt>
                <c:pt idx="358">
                  <c:v>-0.11546086884712732</c:v>
                </c:pt>
                <c:pt idx="359">
                  <c:v>-0.1123366336061562</c:v>
                </c:pt>
                <c:pt idx="360">
                  <c:v>-0.10928580816758356</c:v>
                </c:pt>
                <c:pt idx="361">
                  <c:v>-0.10630722689038639</c:v>
                </c:pt>
                <c:pt idx="362">
                  <c:v>-0.10339971027559818</c:v>
                </c:pt>
                <c:pt idx="363">
                  <c:v>-0.10056206757347229</c:v>
                </c:pt>
                <c:pt idx="364">
                  <c:v>-9.7793099217205956E-2</c:v>
                </c:pt>
                <c:pt idx="365">
                  <c:v>-9.5091599092469878E-2</c:v>
                </c:pt>
                <c:pt idx="366">
                  <c:v>-9.2456356651544808E-2</c:v>
                </c:pt>
                <c:pt idx="367">
                  <c:v>-8.988615888043873E-2</c:v>
                </c:pt>
                <c:pt idx="368">
                  <c:v>-8.7379792126953279E-2</c:v>
                </c:pt>
                <c:pt idx="369">
                  <c:v>-8.4936043797279079E-2</c:v>
                </c:pt>
                <c:pt idx="370">
                  <c:v>-8.2553703928331154E-2</c:v>
                </c:pt>
                <c:pt idx="371">
                  <c:v>-8.0231566642681273E-2</c:v>
                </c:pt>
                <c:pt idx="372">
                  <c:v>-7.7968431492608278E-2</c:v>
                </c:pt>
                <c:pt idx="373">
                  <c:v>-7.5763104699464734E-2</c:v>
                </c:pt>
                <c:pt idx="374">
                  <c:v>-7.3614400294254451E-2</c:v>
                </c:pt>
                <c:pt idx="375">
                  <c:v>-7.1521141165019897E-2</c:v>
                </c:pt>
                <c:pt idx="376">
                  <c:v>-6.9482160016362718E-2</c:v>
                </c:pt>
                <c:pt idx="377">
                  <c:v>-6.7496300246152288E-2</c:v>
                </c:pt>
                <c:pt idx="378">
                  <c:v>-6.5562416744226262E-2</c:v>
                </c:pt>
                <c:pt idx="379">
                  <c:v>-6.3679376617643293E-2</c:v>
                </c:pt>
                <c:pt idx="380">
                  <c:v>-6.184605984681945E-2</c:v>
                </c:pt>
                <c:pt idx="381">
                  <c:v>-6.0061359876658803E-2</c:v>
                </c:pt>
                <c:pt idx="382">
                  <c:v>-5.8324184146581089E-2</c:v>
                </c:pt>
                <c:pt idx="383">
                  <c:v>-5.663345456314859E-2</c:v>
                </c:pt>
                <c:pt idx="384">
                  <c:v>-5.4988107918805193E-2</c:v>
                </c:pt>
                <c:pt idx="385">
                  <c:v>-5.3387096260058803E-2</c:v>
                </c:pt>
                <c:pt idx="386">
                  <c:v>-5.1829387208267103E-2</c:v>
                </c:pt>
                <c:pt idx="387">
                  <c:v>-5.0313964236020935E-2</c:v>
                </c:pt>
                <c:pt idx="388">
                  <c:v>-4.8839826901964395E-2</c:v>
                </c:pt>
                <c:pt idx="389">
                  <c:v>-4.7405991046740578E-2</c:v>
                </c:pt>
                <c:pt idx="390">
                  <c:v>-4.6011488952611486E-2</c:v>
                </c:pt>
                <c:pt idx="391">
                  <c:v>-4.4655369469164069E-2</c:v>
                </c:pt>
                <c:pt idx="392">
                  <c:v>-4.3336698107387051E-2</c:v>
                </c:pt>
                <c:pt idx="393">
                  <c:v>-4.2054557104280146E-2</c:v>
                </c:pt>
                <c:pt idx="394">
                  <c:v>-4.0808045460040868E-2</c:v>
                </c:pt>
                <c:pt idx="395">
                  <c:v>-3.9596278949763954E-2</c:v>
                </c:pt>
                <c:pt idx="396">
                  <c:v>-3.841839011148223E-2</c:v>
                </c:pt>
                <c:pt idx="397">
                  <c:v>-3.7273528212278133E-2</c:v>
                </c:pt>
                <c:pt idx="398">
                  <c:v>-3.6160859194099206E-2</c:v>
                </c:pt>
                <c:pt idx="399">
                  <c:v>-3.5079565600820886E-2</c:v>
                </c:pt>
                <c:pt idx="400">
                  <c:v>-3.4028846488013027E-2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D4-42C8-ABBF-D0CFDC2B14AC}"/>
            </c:ext>
          </c:extLst>
        </c:ser>
        <c:ser>
          <c:idx val="1"/>
          <c:order val="1"/>
          <c:tx>
            <c:strRef>
              <c:f>Graph!$H$6</c:f>
              <c:strCache>
                <c:ptCount val="1"/>
                <c:pt idx="0">
                  <c:v>Reflected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Graph!$B$7:$B$407</c:f>
              <c:numCache>
                <c:formatCode>General</c:formatCode>
                <c:ptCount val="40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</c:numCache>
            </c:numRef>
          </c:cat>
          <c:val>
            <c:numRef>
              <c:f>Graph!$H$7:$H$407</c:f>
              <c:numCache>
                <c:formatCode>0.0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39.8104577710059</c:v>
                </c:pt>
                <c:pt idx="207">
                  <c:v>39.070143635784433</c:v>
                </c:pt>
                <c:pt idx="208">
                  <c:v>36.918005607676236</c:v>
                </c:pt>
                <c:pt idx="209">
                  <c:v>34.871463294654021</c:v>
                </c:pt>
                <c:pt idx="210">
                  <c:v>32.925655350629157</c:v>
                </c:pt>
                <c:pt idx="211">
                  <c:v>31.075935370775685</c:v>
                </c:pt>
                <c:pt idx="212">
                  <c:v>29.317862649814622</c:v>
                </c:pt>
                <c:pt idx="213">
                  <c:v>27.647193329608179</c:v>
                </c:pt>
                <c:pt idx="214">
                  <c:v>26.059871919919015</c:v>
                </c:pt>
                <c:pt idx="215">
                  <c:v>24.552023176850508</c:v>
                </c:pt>
                <c:pt idx="216">
                  <c:v>23.119944324118823</c:v>
                </c:pt>
                <c:pt idx="217">
                  <c:v>21.760097602916165</c:v>
                </c:pt>
                <c:pt idx="218">
                  <c:v>20.469103136708839</c:v>
                </c:pt>
                <c:pt idx="219">
                  <c:v>19.24373209787397</c:v>
                </c:pt>
                <c:pt idx="220">
                  <c:v>18.080900163616406</c:v>
                </c:pt>
                <c:pt idx="221">
                  <c:v>16.977661249123042</c:v>
                </c:pt>
                <c:pt idx="222">
                  <c:v>15.931201506406659</c:v>
                </c:pt>
                <c:pt idx="223">
                  <c:v>14.93883357776606</c:v>
                </c:pt>
                <c:pt idx="224">
                  <c:v>13.997991093244536</c:v>
                </c:pt>
                <c:pt idx="225">
                  <c:v>13.106223401905805</c:v>
                </c:pt>
                <c:pt idx="226">
                  <c:v>12.261190527165269</c:v>
                </c:pt>
                <c:pt idx="227">
                  <c:v>11.460658336816929</c:v>
                </c:pt>
                <c:pt idx="228">
                  <c:v>10.702493918781354</c:v>
                </c:pt>
                <c:pt idx="229">
                  <c:v>9.9846611539706132</c:v>
                </c:pt>
                <c:pt idx="230">
                  <c:v>9.3052164780204105</c:v>
                </c:pt>
                <c:pt idx="231">
                  <c:v>8.6623048239804277</c:v>
                </c:pt>
                <c:pt idx="232">
                  <c:v>8.0541557383800679</c:v>
                </c:pt>
                <c:pt idx="233">
                  <c:v>7.479079663400225</c:v>
                </c:pt>
                <c:pt idx="234">
                  <c:v>6.9354643781817948</c:v>
                </c:pt>
                <c:pt idx="235">
                  <c:v>6.4217715925900736</c:v>
                </c:pt>
                <c:pt idx="236">
                  <c:v>5.9365336870302094</c:v>
                </c:pt>
                <c:pt idx="237">
                  <c:v>5.4783505921741789</c:v>
                </c:pt>
                <c:pt idx="238">
                  <c:v>5.0458868027137873</c:v>
                </c:pt>
                <c:pt idx="239">
                  <c:v>4.6378685194981015</c:v>
                </c:pt>
                <c:pt idx="240">
                  <c:v>4.2530809146474988</c:v>
                </c:pt>
                <c:pt idx="241">
                  <c:v>3.8903655144607874</c:v>
                </c:pt>
                <c:pt idx="242">
                  <c:v>3.5486176951469202</c:v>
                </c:pt>
                <c:pt idx="243">
                  <c:v>3.2267842866190901</c:v>
                </c:pt>
                <c:pt idx="244">
                  <c:v>2.9238612797867698</c:v>
                </c:pt>
                <c:pt idx="245">
                  <c:v>2.6388916329709757</c:v>
                </c:pt>
                <c:pt idx="246">
                  <c:v>2.3709631732499195</c:v>
                </c:pt>
                <c:pt idx="247">
                  <c:v>2.1192065887166636</c:v>
                </c:pt>
                <c:pt idx="248">
                  <c:v>1.8827935077976594</c:v>
                </c:pt>
                <c:pt idx="249">
                  <c:v>1.6609346619414571</c:v>
                </c:pt>
                <c:pt idx="250">
                  <c:v>1.4528781281406831</c:v>
                </c:pt>
                <c:pt idx="251">
                  <c:v>1.257907647897861</c:v>
                </c:pt>
                <c:pt idx="252">
                  <c:v>1.0753410193870758</c:v>
                </c:pt>
                <c:pt idx="253">
                  <c:v>0.90452855969906998</c:v>
                </c:pt>
                <c:pt idx="254">
                  <c:v>0.74485163418737499</c:v>
                </c:pt>
                <c:pt idx="255">
                  <c:v>0.59572125005773768</c:v>
                </c:pt>
                <c:pt idx="256">
                  <c:v>0.45657671146261825</c:v>
                </c:pt>
                <c:pt idx="257">
                  <c:v>0.32688433347712487</c:v>
                </c:pt>
                <c:pt idx="258">
                  <c:v>0.20613621244261277</c:v>
                </c:pt>
                <c:pt idx="259">
                  <c:v>9.384905026950105E-2</c:v>
                </c:pt>
                <c:pt idx="260">
                  <c:v>-1.0436969608161236E-2</c:v>
                </c:pt>
                <c:pt idx="261">
                  <c:v>-0.10715925683704829</c:v>
                </c:pt>
                <c:pt idx="262">
                  <c:v>-0.19673384142567896</c:v>
                </c:pt>
                <c:pt idx="263">
                  <c:v>-0.27955635573122717</c:v>
                </c:pt>
                <c:pt idx="264">
                  <c:v>-0.35600297309560336</c:v>
                </c:pt>
                <c:pt idx="265">
                  <c:v>-0.42643130499269999</c:v>
                </c:pt>
                <c:pt idx="266">
                  <c:v>-0.49118125847026683</c:v>
                </c:pt>
                <c:pt idx="267">
                  <c:v>-0.55057585559481892</c:v>
                </c:pt>
                <c:pt idx="268">
                  <c:v>-0.60492201653592548</c:v>
                </c:pt>
                <c:pt idx="269">
                  <c:v>-0.65451130785726064</c:v>
                </c:pt>
                <c:pt idx="270">
                  <c:v>-0.69962065751560021</c:v>
                </c:pt>
                <c:pt idx="271">
                  <c:v>-0.74051303800558521</c:v>
                </c:pt>
                <c:pt idx="272">
                  <c:v>-0.77743811902726834</c:v>
                </c:pt>
                <c:pt idx="273">
                  <c:v>-0.81063289099524982</c:v>
                </c:pt>
                <c:pt idx="274">
                  <c:v>-0.84032226065235938</c:v>
                </c:pt>
                <c:pt idx="275">
                  <c:v>-0.86671961999737113</c:v>
                </c:pt>
                <c:pt idx="276">
                  <c:v>-0.89002738968495021</c:v>
                </c:pt>
                <c:pt idx="277">
                  <c:v>-0.91043753800691241</c:v>
                </c:pt>
                <c:pt idx="278">
                  <c:v>-0.92813207651678609</c:v>
                </c:pt>
                <c:pt idx="279">
                  <c:v>-0.94328353331455261</c:v>
                </c:pt>
                <c:pt idx="280">
                  <c:v>-0.95605540496520114</c:v>
                </c:pt>
                <c:pt idx="281">
                  <c:v>-0.96660258798331189</c:v>
                </c:pt>
                <c:pt idx="282">
                  <c:v>-0.97507179077617445</c:v>
                </c:pt>
                <c:pt idx="283">
                  <c:v>-0.9816019268999191</c:v>
                </c:pt>
                <c:pt idx="284">
                  <c:v>-0.98632449044668724</c:v>
                </c:pt>
                <c:pt idx="285">
                  <c:v>-0.9893639143459485</c:v>
                </c:pt>
                <c:pt idx="286">
                  <c:v>-0.9908379123296186</c:v>
                </c:pt>
                <c:pt idx="287">
                  <c:v>-0.99085780527856959</c:v>
                </c:pt>
                <c:pt idx="288">
                  <c:v>-0.98952883263742641</c:v>
                </c:pt>
                <c:pt idx="289">
                  <c:v>-0.98695044955511002</c:v>
                </c:pt>
                <c:pt idx="290">
                  <c:v>-0.98321661038041241</c:v>
                </c:pt>
                <c:pt idx="291">
                  <c:v>-0.97841603911488517</c:v>
                </c:pt>
                <c:pt idx="292">
                  <c:v>-0.97263248739945707</c:v>
                </c:pt>
                <c:pt idx="293">
                  <c:v>-0.9659449805864222</c:v>
                </c:pt>
                <c:pt idx="294">
                  <c:v>-0.95842805242470952</c:v>
                </c:pt>
                <c:pt idx="295">
                  <c:v>-0.95015196886360542</c:v>
                </c:pt>
                <c:pt idx="296">
                  <c:v>-0.94118294145833703</c:v>
                </c:pt>
                <c:pt idx="297">
                  <c:v>-0.93158333084005929</c:v>
                </c:pt>
                <c:pt idx="298">
                  <c:v>-0.92141184069282323</c:v>
                </c:pt>
                <c:pt idx="299">
                  <c:v>-0.91072370266096647</c:v>
                </c:pt>
                <c:pt idx="300">
                  <c:v>-0.89957085259204927</c:v>
                </c:pt>
                <c:pt idx="301">
                  <c:v>-0.88800209850291645</c:v>
                </c:pt>
                <c:pt idx="302">
                  <c:v>-0.87606328063965444</c:v>
                </c:pt>
                <c:pt idx="303">
                  <c:v>-0.86379742398613468</c:v>
                </c:pt>
                <c:pt idx="304">
                  <c:v>-0.85124488356041428</c:v>
                </c:pt>
                <c:pt idx="305">
                  <c:v>-0.83844348282352421</c:v>
                </c:pt>
                <c:pt idx="306">
                  <c:v>-0.8254286455110329</c:v>
                </c:pt>
                <c:pt idx="307">
                  <c:v>-0.81223352118426462</c:v>
                </c:pt>
                <c:pt idx="308">
                  <c:v>-0.79888910478508424</c:v>
                </c:pt>
                <c:pt idx="309">
                  <c:v>-0.78542435046577341</c:v>
                </c:pt>
                <c:pt idx="310">
                  <c:v>-0.77186627995364421</c:v>
                </c:pt>
                <c:pt idx="311">
                  <c:v>-0.75824008569867585</c:v>
                </c:pt>
                <c:pt idx="312">
                  <c:v>-0.74456922904157785</c:v>
                </c:pt>
                <c:pt idx="313">
                  <c:v>-0.73087553362927282</c:v>
                </c:pt>
                <c:pt idx="314">
                  <c:v>-0.71717927429481321</c:v>
                </c:pt>
                <c:pt idx="315">
                  <c:v>-0.70349926160921583</c:v>
                </c:pt>
                <c:pt idx="316">
                  <c:v>-0.68985292230355111</c:v>
                </c:pt>
                <c:pt idx="317">
                  <c:v>-0.67625637575089448</c:v>
                </c:pt>
                <c:pt idx="318">
                  <c:v>-0.66272450668936345</c:v>
                </c:pt>
                <c:pt idx="319">
                  <c:v>-0.64927103435947553</c:v>
                </c:pt>
                <c:pt idx="320">
                  <c:v>-0.63590857822137581</c:v>
                </c:pt>
                <c:pt idx="321">
                  <c:v>-0.62264872041017016</c:v>
                </c:pt>
                <c:pt idx="322">
                  <c:v>-0.60950206508056359</c:v>
                </c:pt>
                <c:pt idx="323">
                  <c:v>-0.59647829478530157</c:v>
                </c:pt>
                <c:pt idx="324">
                  <c:v>-0.58358622402546945</c:v>
                </c:pt>
                <c:pt idx="325">
                  <c:v>-0.57083385010457621</c:v>
                </c:pt>
                <c:pt idx="326">
                  <c:v>-0.55822840141244567</c:v>
                </c:pt>
                <c:pt idx="327">
                  <c:v>-0.54577638325932665</c:v>
                </c:pt>
                <c:pt idx="328">
                  <c:v>-0.5334836213752312</c:v>
                </c:pt>
                <c:pt idx="329">
                  <c:v>-0.52135530318437773</c:v>
                </c:pt>
                <c:pt idx="330">
                  <c:v>-0.50939601695967107</c:v>
                </c:pt>
                <c:pt idx="331">
                  <c:v>-0.4976097889574489</c:v>
                </c:pt>
                <c:pt idx="332">
                  <c:v>-0.48600011862820514</c:v>
                </c:pt>
                <c:pt idx="333">
                  <c:v>-0.47457001199470139</c:v>
                </c:pt>
                <c:pt idx="334">
                  <c:v>-0.46332201328473643</c:v>
                </c:pt>
                <c:pt idx="335">
                  <c:v>-0.45225823490191541</c:v>
                </c:pt>
                <c:pt idx="336">
                  <c:v>-0.44138038581397143</c:v>
                </c:pt>
                <c:pt idx="337">
                  <c:v>-0.43068979843459981</c:v>
                </c:pt>
                <c:pt idx="338">
                  <c:v>-0.4201874540713047</c:v>
                </c:pt>
                <c:pt idx="339">
                  <c:v>-0.4098740070084636</c:v>
                </c:pt>
                <c:pt idx="340">
                  <c:v>-0.3997498072916586</c:v>
                </c:pt>
                <c:pt idx="341">
                  <c:v>-0.38981492227631387</c:v>
                </c:pt>
                <c:pt idx="342">
                  <c:v>-0.38006915700078675</c:v>
                </c:pt>
                <c:pt idx="343">
                  <c:v>-0.37051207344131254</c:v>
                </c:pt>
                <c:pt idx="344">
                  <c:v>-0.36114300870356103</c:v>
                </c:pt>
                <c:pt idx="345">
                  <c:v>-0.35196109220305183</c:v>
                </c:pt>
                <c:pt idx="346">
                  <c:v>-0.3429652618842628</c:v>
                </c:pt>
                <c:pt idx="347">
                  <c:v>-0.33415427952596816</c:v>
                </c:pt>
                <c:pt idx="348">
                  <c:v>-0.32552674517814106</c:v>
                </c:pt>
                <c:pt idx="349">
                  <c:v>-0.31708111077366197</c:v>
                </c:pt>
                <c:pt idx="350">
                  <c:v>-0.30881569295605543</c:v>
                </c:pt>
                <c:pt idx="351">
                  <c:v>-0.30072868516256879</c:v>
                </c:pt>
                <c:pt idx="352">
                  <c:v>-0.29281816900006641</c:v>
                </c:pt>
                <c:pt idx="353">
                  <c:v>-0.28508212494946827</c:v>
                </c:pt>
                <c:pt idx="354">
                  <c:v>-0.27751844243278129</c:v>
                </c:pt>
                <c:pt idx="355">
                  <c:v>-0.27012492927517967</c:v>
                </c:pt>
                <c:pt idx="356">
                  <c:v>-0.26289932059306076</c:v>
                </c:pt>
                <c:pt idx="357">
                  <c:v>-0.25583928713754334</c:v>
                </c:pt>
                <c:pt idx="358">
                  <c:v>-0.24894244312148694</c:v>
                </c:pt>
                <c:pt idx="359">
                  <c:v>-0.24220635355677603</c:v>
                </c:pt>
                <c:pt idx="360">
                  <c:v>-0.23562854112734566</c:v>
                </c:pt>
                <c:pt idx="361">
                  <c:v>-0.22920649262220985</c:v>
                </c:pt>
                <c:pt idx="362">
                  <c:v>-0.22293766495159853</c:v>
                </c:pt>
                <c:pt idx="363">
                  <c:v>-0.21681949076820159</c:v>
                </c:pt>
                <c:pt idx="364">
                  <c:v>-0.21084938371446293</c:v>
                </c:pt>
                <c:pt idx="365">
                  <c:v>-0.20502474331585974</c:v>
                </c:pt>
                <c:pt idx="366">
                  <c:v>-0.19934295953914224</c:v>
                </c:pt>
                <c:pt idx="367">
                  <c:v>-0.19380141703358822</c:v>
                </c:pt>
                <c:pt idx="368">
                  <c:v>-0.18839749907245418</c:v>
                </c:pt>
                <c:pt idx="369">
                  <c:v>-0.1831285912109637</c:v>
                </c:pt>
                <c:pt idx="370">
                  <c:v>-0.17799208467638314</c:v>
                </c:pt>
                <c:pt idx="371">
                  <c:v>-0.17298537950496645</c:v>
                </c:pt>
                <c:pt idx="372">
                  <c:v>-0.16810588743983024</c:v>
                </c:pt>
                <c:pt idx="373">
                  <c:v>-0.16335103460312317</c:v>
                </c:pt>
                <c:pt idx="374">
                  <c:v>-0.15871826395519767</c:v>
                </c:pt>
                <c:pt idx="375">
                  <c:v>-0.15420503755285736</c:v>
                </c:pt>
                <c:pt idx="376">
                  <c:v>-0.14980883861815653</c:v>
                </c:pt>
                <c:pt idx="377">
                  <c:v>-0.14552717342865057</c:v>
                </c:pt>
                <c:pt idx="378">
                  <c:v>-0.14135757303945531</c:v>
                </c:pt>
                <c:pt idx="379">
                  <c:v>-0.13729759484694737</c:v>
                </c:pt>
                <c:pt idx="380">
                  <c:v>-0.13334482400344408</c:v>
                </c:pt>
                <c:pt idx="381">
                  <c:v>-0.1294968746917263</c:v>
                </c:pt>
                <c:pt idx="382">
                  <c:v>-0.12575139126781862</c:v>
                </c:pt>
                <c:pt idx="383">
                  <c:v>-0.12210604928000857</c:v>
                </c:pt>
                <c:pt idx="384">
                  <c:v>-0.11855855637168046</c:v>
                </c:pt>
                <c:pt idx="385">
                  <c:v>-0.11510665307514446</c:v>
                </c:pt>
                <c:pt idx="386">
                  <c:v>-0.11174811350327522</c:v>
                </c:pt>
                <c:pt idx="387">
                  <c:v>-0.10848074594541561</c:v>
                </c:pt>
                <c:pt idx="388">
                  <c:v>-0.1053023933736667</c:v>
                </c:pt>
                <c:pt idx="389">
                  <c:v>-0.10221093386536174</c:v>
                </c:pt>
                <c:pt idx="390">
                  <c:v>-9.9204280947218879E-2</c:v>
                </c:pt>
                <c:pt idx="391">
                  <c:v>-9.6280383866372971E-2</c:v>
                </c:pt>
                <c:pt idx="392">
                  <c:v>-9.3437227793212382E-2</c:v>
                </c:pt>
                <c:pt idx="393">
                  <c:v>-9.067283396068139E-2</c:v>
                </c:pt>
                <c:pt idx="394">
                  <c:v>-8.7985259744457853E-2</c:v>
                </c:pt>
                <c:pt idx="395">
                  <c:v>-8.5372598688177925E-2</c:v>
                </c:pt>
                <c:pt idx="396">
                  <c:v>-8.2832980477651363E-2</c:v>
                </c:pt>
                <c:pt idx="397">
                  <c:v>-8.036457086779536E-2</c:v>
                </c:pt>
                <c:pt idx="398">
                  <c:v>-7.7965571565808564E-2</c:v>
                </c:pt>
                <c:pt idx="399">
                  <c:v>-7.5634220073912919E-2</c:v>
                </c:pt>
                <c:pt idx="400">
                  <c:v>-7.3368789494803466E-2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D4-42C8-ABBF-D0CFDC2B1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28752"/>
        <c:axId val="144328336"/>
      </c:lineChart>
      <c:catAx>
        <c:axId val="14432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328336"/>
        <c:crosses val="autoZero"/>
        <c:auto val="1"/>
        <c:lblAlgn val="ctr"/>
        <c:lblOffset val="100"/>
        <c:noMultiLvlLbl val="0"/>
      </c:catAx>
      <c:valAx>
        <c:axId val="14432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3287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152400</xdr:rowOff>
    </xdr:from>
    <xdr:to>
      <xdr:col>7</xdr:col>
      <xdr:colOff>28575</xdr:colOff>
      <xdr:row>21</xdr:row>
      <xdr:rowOff>0</xdr:rowOff>
    </xdr:to>
    <xdr:cxnSp macro="">
      <xdr:nvCxnSpPr>
        <xdr:cNvPr id="2" name="직선 연결선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076450" y="1352550"/>
          <a:ext cx="2209800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34</xdr:row>
      <xdr:rowOff>95250</xdr:rowOff>
    </xdr:from>
    <xdr:to>
      <xdr:col>5</xdr:col>
      <xdr:colOff>257175</xdr:colOff>
      <xdr:row>34</xdr:row>
      <xdr:rowOff>95250</xdr:rowOff>
    </xdr:to>
    <xdr:cxnSp macro="">
      <xdr:nvCxnSpPr>
        <xdr:cNvPr id="3" name="직선 화살표 연결선 1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695575" y="6096000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37</xdr:row>
      <xdr:rowOff>85725</xdr:rowOff>
    </xdr:from>
    <xdr:to>
      <xdr:col>4</xdr:col>
      <xdr:colOff>104775</xdr:colOff>
      <xdr:row>37</xdr:row>
      <xdr:rowOff>85725</xdr:rowOff>
    </xdr:to>
    <xdr:cxnSp macro="">
      <xdr:nvCxnSpPr>
        <xdr:cNvPr id="4" name="직선 화살표 연결선 1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085975" y="6600825"/>
          <a:ext cx="5524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53</xdr:row>
      <xdr:rowOff>145677</xdr:rowOff>
    </xdr:from>
    <xdr:to>
      <xdr:col>6</xdr:col>
      <xdr:colOff>11206</xdr:colOff>
      <xdr:row>57</xdr:row>
      <xdr:rowOff>0</xdr:rowOff>
    </xdr:to>
    <xdr:cxnSp macro="">
      <xdr:nvCxnSpPr>
        <xdr:cNvPr id="5" name="직선 연결선 1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382806" y="9403977"/>
          <a:ext cx="2190750" cy="5401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</xdr:colOff>
      <xdr:row>51</xdr:row>
      <xdr:rowOff>163606</xdr:rowOff>
    </xdr:from>
    <xdr:to>
      <xdr:col>4</xdr:col>
      <xdr:colOff>8106</xdr:colOff>
      <xdr:row>55</xdr:row>
      <xdr:rowOff>72958</xdr:rowOff>
    </xdr:to>
    <xdr:cxnSp macro="">
      <xdr:nvCxnSpPr>
        <xdr:cNvPr id="6" name="직선 연결선 1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378323" y="9079006"/>
          <a:ext cx="1163433" cy="5951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3100</xdr:colOff>
      <xdr:row>55</xdr:row>
      <xdr:rowOff>64135</xdr:rowOff>
    </xdr:from>
    <xdr:to>
      <xdr:col>4</xdr:col>
      <xdr:colOff>3100</xdr:colOff>
      <xdr:row>56</xdr:row>
      <xdr:rowOff>164988</xdr:rowOff>
    </xdr:to>
    <xdr:cxnSp macro="">
      <xdr:nvCxnSpPr>
        <xdr:cNvPr id="7" name="직선 연결선 2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2536750" y="9665335"/>
          <a:ext cx="0" cy="2723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11206</xdr:rowOff>
    </xdr:from>
    <xdr:to>
      <xdr:col>10</xdr:col>
      <xdr:colOff>11206</xdr:colOff>
      <xdr:row>57</xdr:row>
      <xdr:rowOff>0</xdr:rowOff>
    </xdr:to>
    <xdr:cxnSp macro="">
      <xdr:nvCxnSpPr>
        <xdr:cNvPr id="8" name="직선 연결선 2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4781550" y="9098056"/>
          <a:ext cx="1220881" cy="8460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4761</xdr:colOff>
      <xdr:row>6</xdr:row>
      <xdr:rowOff>4760</xdr:rowOff>
    </xdr:from>
    <xdr:to>
      <xdr:col>22</xdr:col>
      <xdr:colOff>333375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33</xdr:row>
      <xdr:rowOff>19050</xdr:rowOff>
    </xdr:from>
    <xdr:to>
      <xdr:col>22</xdr:col>
      <xdr:colOff>338139</xdr:colOff>
      <xdr:row>59</xdr:row>
      <xdr:rowOff>109539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AX41"/>
  <sheetViews>
    <sheetView showGridLines="0" topLeftCell="A4" workbookViewId="0">
      <selection activeCell="B31" sqref="B31"/>
    </sheetView>
  </sheetViews>
  <sheetFormatPr defaultColWidth="8.75" defaultRowHeight="12" x14ac:dyDescent="0.15"/>
  <cols>
    <col min="1" max="1" width="2.75" style="2" customWidth="1"/>
    <col min="2" max="2" width="40.75" style="2" customWidth="1"/>
    <col min="3" max="3" width="16.125" style="2" customWidth="1"/>
    <col min="4" max="4" width="4.75" style="2" customWidth="1"/>
    <col min="5" max="5" width="10.75" style="2" customWidth="1"/>
    <col min="6" max="6" width="2.75" style="2" customWidth="1"/>
    <col min="7" max="7" width="4.75" style="2" customWidth="1"/>
    <col min="8" max="8" width="30.875" style="2" customWidth="1"/>
    <col min="9" max="9" width="10.875" style="2" customWidth="1"/>
    <col min="10" max="10" width="7" style="2" customWidth="1"/>
    <col min="11" max="11" width="45.75" style="2" customWidth="1"/>
    <col min="12" max="12" width="8.75" style="2" customWidth="1"/>
    <col min="13" max="13" width="2.75" style="2" customWidth="1"/>
    <col min="14" max="14" width="8.75" style="2" customWidth="1"/>
    <col min="15" max="15" width="2.75" style="2" customWidth="1"/>
    <col min="16" max="16" width="8.75" style="2" customWidth="1"/>
    <col min="17" max="17" width="2.75" style="2" customWidth="1"/>
    <col min="18" max="18" width="8.75" style="2" customWidth="1"/>
    <col min="19" max="19" width="2.75" style="2" customWidth="1"/>
    <col min="20" max="20" width="8.75" style="2" customWidth="1"/>
    <col min="21" max="21" width="2.75" style="2" customWidth="1"/>
    <col min="22" max="22" width="8.75" style="2" customWidth="1"/>
    <col min="23" max="23" width="2.75" style="2" customWidth="1"/>
    <col min="24" max="24" width="8.75" style="2" customWidth="1"/>
    <col min="25" max="25" width="2.75" style="2" customWidth="1"/>
    <col min="26" max="26" width="8.75" style="2" customWidth="1"/>
    <col min="27" max="27" width="2.75" style="2" customWidth="1"/>
    <col min="28" max="28" width="8.75" style="2" customWidth="1"/>
    <col min="29" max="29" width="2.75" style="2" customWidth="1"/>
    <col min="30" max="32" width="8.75" style="2" customWidth="1"/>
    <col min="33" max="33" width="2.75" style="2" customWidth="1"/>
    <col min="34" max="34" width="8.75" style="2" customWidth="1"/>
    <col min="35" max="35" width="2.75" style="2" customWidth="1"/>
    <col min="36" max="36" width="8.75" style="2" customWidth="1"/>
    <col min="37" max="37" width="2.75" style="2" customWidth="1"/>
    <col min="38" max="38" width="8.75" style="2" customWidth="1"/>
    <col min="39" max="39" width="2.75" style="2" customWidth="1"/>
    <col min="40" max="40" width="8.75" style="2" customWidth="1"/>
    <col min="41" max="41" width="2.75" style="2" customWidth="1"/>
    <col min="42" max="42" width="8.75" style="2" customWidth="1"/>
    <col min="43" max="43" width="2.75" style="2" customWidth="1"/>
    <col min="44" max="44" width="8.75" style="2" customWidth="1"/>
    <col min="45" max="45" width="2.75" style="2" customWidth="1"/>
    <col min="46" max="46" width="8.75" style="2" customWidth="1"/>
    <col min="47" max="47" width="2.75" style="2" customWidth="1"/>
    <col min="48" max="48" width="8.75" style="2" customWidth="1"/>
    <col min="49" max="49" width="2.75" style="2" customWidth="1"/>
    <col min="50" max="50" width="8.75" style="2" customWidth="1"/>
    <col min="51" max="252" width="8.75" style="2"/>
    <col min="253" max="253" width="2.75" style="2" customWidth="1"/>
    <col min="254" max="254" width="40.75" style="2" customWidth="1"/>
    <col min="255" max="255" width="16" style="2" customWidth="1"/>
    <col min="256" max="256" width="4.75" style="2" customWidth="1"/>
    <col min="257" max="257" width="10.75" style="2" customWidth="1"/>
    <col min="258" max="258" width="2.75" style="2" customWidth="1"/>
    <col min="259" max="259" width="4.75" style="2" customWidth="1"/>
    <col min="260" max="260" width="35.75" style="2" customWidth="1"/>
    <col min="261" max="261" width="8.75" style="2" customWidth="1"/>
    <col min="262" max="262" width="2.75" style="2" customWidth="1"/>
    <col min="263" max="263" width="8.75" style="2" customWidth="1"/>
    <col min="264" max="264" width="2.75" style="2" customWidth="1"/>
    <col min="265" max="266" width="8.75" style="2" customWidth="1"/>
    <col min="267" max="267" width="45.75" style="2" customWidth="1"/>
    <col min="268" max="268" width="8.75" style="2" customWidth="1"/>
    <col min="269" max="269" width="2.75" style="2" customWidth="1"/>
    <col min="270" max="270" width="8.75" style="2" customWidth="1"/>
    <col min="271" max="271" width="2.75" style="2" customWidth="1"/>
    <col min="272" max="272" width="8.75" style="2" customWidth="1"/>
    <col min="273" max="273" width="2.75" style="2" customWidth="1"/>
    <col min="274" max="274" width="8.75" style="2" customWidth="1"/>
    <col min="275" max="275" width="2.75" style="2" customWidth="1"/>
    <col min="276" max="276" width="8.75" style="2" customWidth="1"/>
    <col min="277" max="277" width="2.75" style="2" customWidth="1"/>
    <col min="278" max="278" width="8.75" style="2" customWidth="1"/>
    <col min="279" max="279" width="2.75" style="2" customWidth="1"/>
    <col min="280" max="280" width="8.75" style="2" customWidth="1"/>
    <col min="281" max="281" width="2.75" style="2" customWidth="1"/>
    <col min="282" max="282" width="8.75" style="2" customWidth="1"/>
    <col min="283" max="283" width="2.75" style="2" customWidth="1"/>
    <col min="284" max="284" width="8.75" style="2" customWidth="1"/>
    <col min="285" max="285" width="2.75" style="2" customWidth="1"/>
    <col min="286" max="288" width="8.75" style="2" customWidth="1"/>
    <col min="289" max="289" width="2.75" style="2" customWidth="1"/>
    <col min="290" max="290" width="8.75" style="2" customWidth="1"/>
    <col min="291" max="291" width="2.75" style="2" customWidth="1"/>
    <col min="292" max="292" width="8.75" style="2" customWidth="1"/>
    <col min="293" max="293" width="2.75" style="2" customWidth="1"/>
    <col min="294" max="294" width="8.75" style="2" customWidth="1"/>
    <col min="295" max="295" width="2.75" style="2" customWidth="1"/>
    <col min="296" max="296" width="8.75" style="2" customWidth="1"/>
    <col min="297" max="297" width="2.75" style="2" customWidth="1"/>
    <col min="298" max="298" width="8.75" style="2" customWidth="1"/>
    <col min="299" max="299" width="2.75" style="2" customWidth="1"/>
    <col min="300" max="300" width="8.75" style="2" customWidth="1"/>
    <col min="301" max="301" width="2.75" style="2" customWidth="1"/>
    <col min="302" max="302" width="8.75" style="2" customWidth="1"/>
    <col min="303" max="303" width="2.75" style="2" customWidth="1"/>
    <col min="304" max="304" width="8.75" style="2" customWidth="1"/>
    <col min="305" max="305" width="2.75" style="2" customWidth="1"/>
    <col min="306" max="306" width="8.75" style="2" customWidth="1"/>
    <col min="307" max="508" width="8.75" style="2"/>
    <col min="509" max="509" width="2.75" style="2" customWidth="1"/>
    <col min="510" max="510" width="40.75" style="2" customWidth="1"/>
    <col min="511" max="511" width="16" style="2" customWidth="1"/>
    <col min="512" max="512" width="4.75" style="2" customWidth="1"/>
    <col min="513" max="513" width="10.75" style="2" customWidth="1"/>
    <col min="514" max="514" width="2.75" style="2" customWidth="1"/>
    <col min="515" max="515" width="4.75" style="2" customWidth="1"/>
    <col min="516" max="516" width="35.75" style="2" customWidth="1"/>
    <col min="517" max="517" width="8.75" style="2" customWidth="1"/>
    <col min="518" max="518" width="2.75" style="2" customWidth="1"/>
    <col min="519" max="519" width="8.75" style="2" customWidth="1"/>
    <col min="520" max="520" width="2.75" style="2" customWidth="1"/>
    <col min="521" max="522" width="8.75" style="2" customWidth="1"/>
    <col min="523" max="523" width="45.75" style="2" customWidth="1"/>
    <col min="524" max="524" width="8.75" style="2" customWidth="1"/>
    <col min="525" max="525" width="2.75" style="2" customWidth="1"/>
    <col min="526" max="526" width="8.75" style="2" customWidth="1"/>
    <col min="527" max="527" width="2.75" style="2" customWidth="1"/>
    <col min="528" max="528" width="8.75" style="2" customWidth="1"/>
    <col min="529" max="529" width="2.75" style="2" customWidth="1"/>
    <col min="530" max="530" width="8.75" style="2" customWidth="1"/>
    <col min="531" max="531" width="2.75" style="2" customWidth="1"/>
    <col min="532" max="532" width="8.75" style="2" customWidth="1"/>
    <col min="533" max="533" width="2.75" style="2" customWidth="1"/>
    <col min="534" max="534" width="8.75" style="2" customWidth="1"/>
    <col min="535" max="535" width="2.75" style="2" customWidth="1"/>
    <col min="536" max="536" width="8.75" style="2" customWidth="1"/>
    <col min="537" max="537" width="2.75" style="2" customWidth="1"/>
    <col min="538" max="538" width="8.75" style="2" customWidth="1"/>
    <col min="539" max="539" width="2.75" style="2" customWidth="1"/>
    <col min="540" max="540" width="8.75" style="2" customWidth="1"/>
    <col min="541" max="541" width="2.75" style="2" customWidth="1"/>
    <col min="542" max="544" width="8.75" style="2" customWidth="1"/>
    <col min="545" max="545" width="2.75" style="2" customWidth="1"/>
    <col min="546" max="546" width="8.75" style="2" customWidth="1"/>
    <col min="547" max="547" width="2.75" style="2" customWidth="1"/>
    <col min="548" max="548" width="8.75" style="2" customWidth="1"/>
    <col min="549" max="549" width="2.75" style="2" customWidth="1"/>
    <col min="550" max="550" width="8.75" style="2" customWidth="1"/>
    <col min="551" max="551" width="2.75" style="2" customWidth="1"/>
    <col min="552" max="552" width="8.75" style="2" customWidth="1"/>
    <col min="553" max="553" width="2.75" style="2" customWidth="1"/>
    <col min="554" max="554" width="8.75" style="2" customWidth="1"/>
    <col min="555" max="555" width="2.75" style="2" customWidth="1"/>
    <col min="556" max="556" width="8.75" style="2" customWidth="1"/>
    <col min="557" max="557" width="2.75" style="2" customWidth="1"/>
    <col min="558" max="558" width="8.75" style="2" customWidth="1"/>
    <col min="559" max="559" width="2.75" style="2" customWidth="1"/>
    <col min="560" max="560" width="8.75" style="2" customWidth="1"/>
    <col min="561" max="561" width="2.75" style="2" customWidth="1"/>
    <col min="562" max="562" width="8.75" style="2" customWidth="1"/>
    <col min="563" max="764" width="8.75" style="2"/>
    <col min="765" max="765" width="2.75" style="2" customWidth="1"/>
    <col min="766" max="766" width="40.75" style="2" customWidth="1"/>
    <col min="767" max="767" width="16" style="2" customWidth="1"/>
    <col min="768" max="768" width="4.75" style="2" customWidth="1"/>
    <col min="769" max="769" width="10.75" style="2" customWidth="1"/>
    <col min="770" max="770" width="2.75" style="2" customWidth="1"/>
    <col min="771" max="771" width="4.75" style="2" customWidth="1"/>
    <col min="772" max="772" width="35.75" style="2" customWidth="1"/>
    <col min="773" max="773" width="8.75" style="2" customWidth="1"/>
    <col min="774" max="774" width="2.75" style="2" customWidth="1"/>
    <col min="775" max="775" width="8.75" style="2" customWidth="1"/>
    <col min="776" max="776" width="2.75" style="2" customWidth="1"/>
    <col min="777" max="778" width="8.75" style="2" customWidth="1"/>
    <col min="779" max="779" width="45.75" style="2" customWidth="1"/>
    <col min="780" max="780" width="8.75" style="2" customWidth="1"/>
    <col min="781" max="781" width="2.75" style="2" customWidth="1"/>
    <col min="782" max="782" width="8.75" style="2" customWidth="1"/>
    <col min="783" max="783" width="2.75" style="2" customWidth="1"/>
    <col min="784" max="784" width="8.75" style="2" customWidth="1"/>
    <col min="785" max="785" width="2.75" style="2" customWidth="1"/>
    <col min="786" max="786" width="8.75" style="2" customWidth="1"/>
    <col min="787" max="787" width="2.75" style="2" customWidth="1"/>
    <col min="788" max="788" width="8.75" style="2" customWidth="1"/>
    <col min="789" max="789" width="2.75" style="2" customWidth="1"/>
    <col min="790" max="790" width="8.75" style="2" customWidth="1"/>
    <col min="791" max="791" width="2.75" style="2" customWidth="1"/>
    <col min="792" max="792" width="8.75" style="2" customWidth="1"/>
    <col min="793" max="793" width="2.75" style="2" customWidth="1"/>
    <col min="794" max="794" width="8.75" style="2" customWidth="1"/>
    <col min="795" max="795" width="2.75" style="2" customWidth="1"/>
    <col min="796" max="796" width="8.75" style="2" customWidth="1"/>
    <col min="797" max="797" width="2.75" style="2" customWidth="1"/>
    <col min="798" max="800" width="8.75" style="2" customWidth="1"/>
    <col min="801" max="801" width="2.75" style="2" customWidth="1"/>
    <col min="802" max="802" width="8.75" style="2" customWidth="1"/>
    <col min="803" max="803" width="2.75" style="2" customWidth="1"/>
    <col min="804" max="804" width="8.75" style="2" customWidth="1"/>
    <col min="805" max="805" width="2.75" style="2" customWidth="1"/>
    <col min="806" max="806" width="8.75" style="2" customWidth="1"/>
    <col min="807" max="807" width="2.75" style="2" customWidth="1"/>
    <col min="808" max="808" width="8.75" style="2" customWidth="1"/>
    <col min="809" max="809" width="2.75" style="2" customWidth="1"/>
    <col min="810" max="810" width="8.75" style="2" customWidth="1"/>
    <col min="811" max="811" width="2.75" style="2" customWidth="1"/>
    <col min="812" max="812" width="8.75" style="2" customWidth="1"/>
    <col min="813" max="813" width="2.75" style="2" customWidth="1"/>
    <col min="814" max="814" width="8.75" style="2" customWidth="1"/>
    <col min="815" max="815" width="2.75" style="2" customWidth="1"/>
    <col min="816" max="816" width="8.75" style="2" customWidth="1"/>
    <col min="817" max="817" width="2.75" style="2" customWidth="1"/>
    <col min="818" max="818" width="8.75" style="2" customWidth="1"/>
    <col min="819" max="1020" width="8.75" style="2"/>
    <col min="1021" max="1021" width="2.75" style="2" customWidth="1"/>
    <col min="1022" max="1022" width="40.75" style="2" customWidth="1"/>
    <col min="1023" max="1023" width="16" style="2" customWidth="1"/>
    <col min="1024" max="1024" width="4.75" style="2" customWidth="1"/>
    <col min="1025" max="1025" width="10.75" style="2" customWidth="1"/>
    <col min="1026" max="1026" width="2.75" style="2" customWidth="1"/>
    <col min="1027" max="1027" width="4.75" style="2" customWidth="1"/>
    <col min="1028" max="1028" width="35.75" style="2" customWidth="1"/>
    <col min="1029" max="1029" width="8.75" style="2" customWidth="1"/>
    <col min="1030" max="1030" width="2.75" style="2" customWidth="1"/>
    <col min="1031" max="1031" width="8.75" style="2" customWidth="1"/>
    <col min="1032" max="1032" width="2.75" style="2" customWidth="1"/>
    <col min="1033" max="1034" width="8.75" style="2" customWidth="1"/>
    <col min="1035" max="1035" width="45.75" style="2" customWidth="1"/>
    <col min="1036" max="1036" width="8.75" style="2" customWidth="1"/>
    <col min="1037" max="1037" width="2.75" style="2" customWidth="1"/>
    <col min="1038" max="1038" width="8.75" style="2" customWidth="1"/>
    <col min="1039" max="1039" width="2.75" style="2" customWidth="1"/>
    <col min="1040" max="1040" width="8.75" style="2" customWidth="1"/>
    <col min="1041" max="1041" width="2.75" style="2" customWidth="1"/>
    <col min="1042" max="1042" width="8.75" style="2" customWidth="1"/>
    <col min="1043" max="1043" width="2.75" style="2" customWidth="1"/>
    <col min="1044" max="1044" width="8.75" style="2" customWidth="1"/>
    <col min="1045" max="1045" width="2.75" style="2" customWidth="1"/>
    <col min="1046" max="1046" width="8.75" style="2" customWidth="1"/>
    <col min="1047" max="1047" width="2.75" style="2" customWidth="1"/>
    <col min="1048" max="1048" width="8.75" style="2" customWidth="1"/>
    <col min="1049" max="1049" width="2.75" style="2" customWidth="1"/>
    <col min="1050" max="1050" width="8.75" style="2" customWidth="1"/>
    <col min="1051" max="1051" width="2.75" style="2" customWidth="1"/>
    <col min="1052" max="1052" width="8.75" style="2" customWidth="1"/>
    <col min="1053" max="1053" width="2.75" style="2" customWidth="1"/>
    <col min="1054" max="1056" width="8.75" style="2" customWidth="1"/>
    <col min="1057" max="1057" width="2.75" style="2" customWidth="1"/>
    <col min="1058" max="1058" width="8.75" style="2" customWidth="1"/>
    <col min="1059" max="1059" width="2.75" style="2" customWidth="1"/>
    <col min="1060" max="1060" width="8.75" style="2" customWidth="1"/>
    <col min="1061" max="1061" width="2.75" style="2" customWidth="1"/>
    <col min="1062" max="1062" width="8.75" style="2" customWidth="1"/>
    <col min="1063" max="1063" width="2.75" style="2" customWidth="1"/>
    <col min="1064" max="1064" width="8.75" style="2" customWidth="1"/>
    <col min="1065" max="1065" width="2.75" style="2" customWidth="1"/>
    <col min="1066" max="1066" width="8.75" style="2" customWidth="1"/>
    <col min="1067" max="1067" width="2.75" style="2" customWidth="1"/>
    <col min="1068" max="1068" width="8.75" style="2" customWidth="1"/>
    <col min="1069" max="1069" width="2.75" style="2" customWidth="1"/>
    <col min="1070" max="1070" width="8.75" style="2" customWidth="1"/>
    <col min="1071" max="1071" width="2.75" style="2" customWidth="1"/>
    <col min="1072" max="1072" width="8.75" style="2" customWidth="1"/>
    <col min="1073" max="1073" width="2.75" style="2" customWidth="1"/>
    <col min="1074" max="1074" width="8.75" style="2" customWidth="1"/>
    <col min="1075" max="1276" width="8.75" style="2"/>
    <col min="1277" max="1277" width="2.75" style="2" customWidth="1"/>
    <col min="1278" max="1278" width="40.75" style="2" customWidth="1"/>
    <col min="1279" max="1279" width="16" style="2" customWidth="1"/>
    <col min="1280" max="1280" width="4.75" style="2" customWidth="1"/>
    <col min="1281" max="1281" width="10.75" style="2" customWidth="1"/>
    <col min="1282" max="1282" width="2.75" style="2" customWidth="1"/>
    <col min="1283" max="1283" width="4.75" style="2" customWidth="1"/>
    <col min="1284" max="1284" width="35.75" style="2" customWidth="1"/>
    <col min="1285" max="1285" width="8.75" style="2" customWidth="1"/>
    <col min="1286" max="1286" width="2.75" style="2" customWidth="1"/>
    <col min="1287" max="1287" width="8.75" style="2" customWidth="1"/>
    <col min="1288" max="1288" width="2.75" style="2" customWidth="1"/>
    <col min="1289" max="1290" width="8.75" style="2" customWidth="1"/>
    <col min="1291" max="1291" width="45.75" style="2" customWidth="1"/>
    <col min="1292" max="1292" width="8.75" style="2" customWidth="1"/>
    <col min="1293" max="1293" width="2.75" style="2" customWidth="1"/>
    <col min="1294" max="1294" width="8.75" style="2" customWidth="1"/>
    <col min="1295" max="1295" width="2.75" style="2" customWidth="1"/>
    <col min="1296" max="1296" width="8.75" style="2" customWidth="1"/>
    <col min="1297" max="1297" width="2.75" style="2" customWidth="1"/>
    <col min="1298" max="1298" width="8.75" style="2" customWidth="1"/>
    <col min="1299" max="1299" width="2.75" style="2" customWidth="1"/>
    <col min="1300" max="1300" width="8.75" style="2" customWidth="1"/>
    <col min="1301" max="1301" width="2.75" style="2" customWidth="1"/>
    <col min="1302" max="1302" width="8.75" style="2" customWidth="1"/>
    <col min="1303" max="1303" width="2.75" style="2" customWidth="1"/>
    <col min="1304" max="1304" width="8.75" style="2" customWidth="1"/>
    <col min="1305" max="1305" width="2.75" style="2" customWidth="1"/>
    <col min="1306" max="1306" width="8.75" style="2" customWidth="1"/>
    <col min="1307" max="1307" width="2.75" style="2" customWidth="1"/>
    <col min="1308" max="1308" width="8.75" style="2" customWidth="1"/>
    <col min="1309" max="1309" width="2.75" style="2" customWidth="1"/>
    <col min="1310" max="1312" width="8.75" style="2" customWidth="1"/>
    <col min="1313" max="1313" width="2.75" style="2" customWidth="1"/>
    <col min="1314" max="1314" width="8.75" style="2" customWidth="1"/>
    <col min="1315" max="1315" width="2.75" style="2" customWidth="1"/>
    <col min="1316" max="1316" width="8.75" style="2" customWidth="1"/>
    <col min="1317" max="1317" width="2.75" style="2" customWidth="1"/>
    <col min="1318" max="1318" width="8.75" style="2" customWidth="1"/>
    <col min="1319" max="1319" width="2.75" style="2" customWidth="1"/>
    <col min="1320" max="1320" width="8.75" style="2" customWidth="1"/>
    <col min="1321" max="1321" width="2.75" style="2" customWidth="1"/>
    <col min="1322" max="1322" width="8.75" style="2" customWidth="1"/>
    <col min="1323" max="1323" width="2.75" style="2" customWidth="1"/>
    <col min="1324" max="1324" width="8.75" style="2" customWidth="1"/>
    <col min="1325" max="1325" width="2.75" style="2" customWidth="1"/>
    <col min="1326" max="1326" width="8.75" style="2" customWidth="1"/>
    <col min="1327" max="1327" width="2.75" style="2" customWidth="1"/>
    <col min="1328" max="1328" width="8.75" style="2" customWidth="1"/>
    <col min="1329" max="1329" width="2.75" style="2" customWidth="1"/>
    <col min="1330" max="1330" width="8.75" style="2" customWidth="1"/>
    <col min="1331" max="1532" width="8.75" style="2"/>
    <col min="1533" max="1533" width="2.75" style="2" customWidth="1"/>
    <col min="1534" max="1534" width="40.75" style="2" customWidth="1"/>
    <col min="1535" max="1535" width="16" style="2" customWidth="1"/>
    <col min="1536" max="1536" width="4.75" style="2" customWidth="1"/>
    <col min="1537" max="1537" width="10.75" style="2" customWidth="1"/>
    <col min="1538" max="1538" width="2.75" style="2" customWidth="1"/>
    <col min="1539" max="1539" width="4.75" style="2" customWidth="1"/>
    <col min="1540" max="1540" width="35.75" style="2" customWidth="1"/>
    <col min="1541" max="1541" width="8.75" style="2" customWidth="1"/>
    <col min="1542" max="1542" width="2.75" style="2" customWidth="1"/>
    <col min="1543" max="1543" width="8.75" style="2" customWidth="1"/>
    <col min="1544" max="1544" width="2.75" style="2" customWidth="1"/>
    <col min="1545" max="1546" width="8.75" style="2" customWidth="1"/>
    <col min="1547" max="1547" width="45.75" style="2" customWidth="1"/>
    <col min="1548" max="1548" width="8.75" style="2" customWidth="1"/>
    <col min="1549" max="1549" width="2.75" style="2" customWidth="1"/>
    <col min="1550" max="1550" width="8.75" style="2" customWidth="1"/>
    <col min="1551" max="1551" width="2.75" style="2" customWidth="1"/>
    <col min="1552" max="1552" width="8.75" style="2" customWidth="1"/>
    <col min="1553" max="1553" width="2.75" style="2" customWidth="1"/>
    <col min="1554" max="1554" width="8.75" style="2" customWidth="1"/>
    <col min="1555" max="1555" width="2.75" style="2" customWidth="1"/>
    <col min="1556" max="1556" width="8.75" style="2" customWidth="1"/>
    <col min="1557" max="1557" width="2.75" style="2" customWidth="1"/>
    <col min="1558" max="1558" width="8.75" style="2" customWidth="1"/>
    <col min="1559" max="1559" width="2.75" style="2" customWidth="1"/>
    <col min="1560" max="1560" width="8.75" style="2" customWidth="1"/>
    <col min="1561" max="1561" width="2.75" style="2" customWidth="1"/>
    <col min="1562" max="1562" width="8.75" style="2" customWidth="1"/>
    <col min="1563" max="1563" width="2.75" style="2" customWidth="1"/>
    <col min="1564" max="1564" width="8.75" style="2" customWidth="1"/>
    <col min="1565" max="1565" width="2.75" style="2" customWidth="1"/>
    <col min="1566" max="1568" width="8.75" style="2" customWidth="1"/>
    <col min="1569" max="1569" width="2.75" style="2" customWidth="1"/>
    <col min="1570" max="1570" width="8.75" style="2" customWidth="1"/>
    <col min="1571" max="1571" width="2.75" style="2" customWidth="1"/>
    <col min="1572" max="1572" width="8.75" style="2" customWidth="1"/>
    <col min="1573" max="1573" width="2.75" style="2" customWidth="1"/>
    <col min="1574" max="1574" width="8.75" style="2" customWidth="1"/>
    <col min="1575" max="1575" width="2.75" style="2" customWidth="1"/>
    <col min="1576" max="1576" width="8.75" style="2" customWidth="1"/>
    <col min="1577" max="1577" width="2.75" style="2" customWidth="1"/>
    <col min="1578" max="1578" width="8.75" style="2" customWidth="1"/>
    <col min="1579" max="1579" width="2.75" style="2" customWidth="1"/>
    <col min="1580" max="1580" width="8.75" style="2" customWidth="1"/>
    <col min="1581" max="1581" width="2.75" style="2" customWidth="1"/>
    <col min="1582" max="1582" width="8.75" style="2" customWidth="1"/>
    <col min="1583" max="1583" width="2.75" style="2" customWidth="1"/>
    <col min="1584" max="1584" width="8.75" style="2" customWidth="1"/>
    <col min="1585" max="1585" width="2.75" style="2" customWidth="1"/>
    <col min="1586" max="1586" width="8.75" style="2" customWidth="1"/>
    <col min="1587" max="1788" width="8.75" style="2"/>
    <col min="1789" max="1789" width="2.75" style="2" customWidth="1"/>
    <col min="1790" max="1790" width="40.75" style="2" customWidth="1"/>
    <col min="1791" max="1791" width="16" style="2" customWidth="1"/>
    <col min="1792" max="1792" width="4.75" style="2" customWidth="1"/>
    <col min="1793" max="1793" width="10.75" style="2" customWidth="1"/>
    <col min="1794" max="1794" width="2.75" style="2" customWidth="1"/>
    <col min="1795" max="1795" width="4.75" style="2" customWidth="1"/>
    <col min="1796" max="1796" width="35.75" style="2" customWidth="1"/>
    <col min="1797" max="1797" width="8.75" style="2" customWidth="1"/>
    <col min="1798" max="1798" width="2.75" style="2" customWidth="1"/>
    <col min="1799" max="1799" width="8.75" style="2" customWidth="1"/>
    <col min="1800" max="1800" width="2.75" style="2" customWidth="1"/>
    <col min="1801" max="1802" width="8.75" style="2" customWidth="1"/>
    <col min="1803" max="1803" width="45.75" style="2" customWidth="1"/>
    <col min="1804" max="1804" width="8.75" style="2" customWidth="1"/>
    <col min="1805" max="1805" width="2.75" style="2" customWidth="1"/>
    <col min="1806" max="1806" width="8.75" style="2" customWidth="1"/>
    <col min="1807" max="1807" width="2.75" style="2" customWidth="1"/>
    <col min="1808" max="1808" width="8.75" style="2" customWidth="1"/>
    <col min="1809" max="1809" width="2.75" style="2" customWidth="1"/>
    <col min="1810" max="1810" width="8.75" style="2" customWidth="1"/>
    <col min="1811" max="1811" width="2.75" style="2" customWidth="1"/>
    <col min="1812" max="1812" width="8.75" style="2" customWidth="1"/>
    <col min="1813" max="1813" width="2.75" style="2" customWidth="1"/>
    <col min="1814" max="1814" width="8.75" style="2" customWidth="1"/>
    <col min="1815" max="1815" width="2.75" style="2" customWidth="1"/>
    <col min="1816" max="1816" width="8.75" style="2" customWidth="1"/>
    <col min="1817" max="1817" width="2.75" style="2" customWidth="1"/>
    <col min="1818" max="1818" width="8.75" style="2" customWidth="1"/>
    <col min="1819" max="1819" width="2.75" style="2" customWidth="1"/>
    <col min="1820" max="1820" width="8.75" style="2" customWidth="1"/>
    <col min="1821" max="1821" width="2.75" style="2" customWidth="1"/>
    <col min="1822" max="1824" width="8.75" style="2" customWidth="1"/>
    <col min="1825" max="1825" width="2.75" style="2" customWidth="1"/>
    <col min="1826" max="1826" width="8.75" style="2" customWidth="1"/>
    <col min="1827" max="1827" width="2.75" style="2" customWidth="1"/>
    <col min="1828" max="1828" width="8.75" style="2" customWidth="1"/>
    <col min="1829" max="1829" width="2.75" style="2" customWidth="1"/>
    <col min="1830" max="1830" width="8.75" style="2" customWidth="1"/>
    <col min="1831" max="1831" width="2.75" style="2" customWidth="1"/>
    <col min="1832" max="1832" width="8.75" style="2" customWidth="1"/>
    <col min="1833" max="1833" width="2.75" style="2" customWidth="1"/>
    <col min="1834" max="1834" width="8.75" style="2" customWidth="1"/>
    <col min="1835" max="1835" width="2.75" style="2" customWidth="1"/>
    <col min="1836" max="1836" width="8.75" style="2" customWidth="1"/>
    <col min="1837" max="1837" width="2.75" style="2" customWidth="1"/>
    <col min="1838" max="1838" width="8.75" style="2" customWidth="1"/>
    <col min="1839" max="1839" width="2.75" style="2" customWidth="1"/>
    <col min="1840" max="1840" width="8.75" style="2" customWidth="1"/>
    <col min="1841" max="1841" width="2.75" style="2" customWidth="1"/>
    <col min="1842" max="1842" width="8.75" style="2" customWidth="1"/>
    <col min="1843" max="2044" width="8.75" style="2"/>
    <col min="2045" max="2045" width="2.75" style="2" customWidth="1"/>
    <col min="2046" max="2046" width="40.75" style="2" customWidth="1"/>
    <col min="2047" max="2047" width="16" style="2" customWidth="1"/>
    <col min="2048" max="2048" width="4.75" style="2" customWidth="1"/>
    <col min="2049" max="2049" width="10.75" style="2" customWidth="1"/>
    <col min="2050" max="2050" width="2.75" style="2" customWidth="1"/>
    <col min="2051" max="2051" width="4.75" style="2" customWidth="1"/>
    <col min="2052" max="2052" width="35.75" style="2" customWidth="1"/>
    <col min="2053" max="2053" width="8.75" style="2" customWidth="1"/>
    <col min="2054" max="2054" width="2.75" style="2" customWidth="1"/>
    <col min="2055" max="2055" width="8.75" style="2" customWidth="1"/>
    <col min="2056" max="2056" width="2.75" style="2" customWidth="1"/>
    <col min="2057" max="2058" width="8.75" style="2" customWidth="1"/>
    <col min="2059" max="2059" width="45.75" style="2" customWidth="1"/>
    <col min="2060" max="2060" width="8.75" style="2" customWidth="1"/>
    <col min="2061" max="2061" width="2.75" style="2" customWidth="1"/>
    <col min="2062" max="2062" width="8.75" style="2" customWidth="1"/>
    <col min="2063" max="2063" width="2.75" style="2" customWidth="1"/>
    <col min="2064" max="2064" width="8.75" style="2" customWidth="1"/>
    <col min="2065" max="2065" width="2.75" style="2" customWidth="1"/>
    <col min="2066" max="2066" width="8.75" style="2" customWidth="1"/>
    <col min="2067" max="2067" width="2.75" style="2" customWidth="1"/>
    <col min="2068" max="2068" width="8.75" style="2" customWidth="1"/>
    <col min="2069" max="2069" width="2.75" style="2" customWidth="1"/>
    <col min="2070" max="2070" width="8.75" style="2" customWidth="1"/>
    <col min="2071" max="2071" width="2.75" style="2" customWidth="1"/>
    <col min="2072" max="2072" width="8.75" style="2" customWidth="1"/>
    <col min="2073" max="2073" width="2.75" style="2" customWidth="1"/>
    <col min="2074" max="2074" width="8.75" style="2" customWidth="1"/>
    <col min="2075" max="2075" width="2.75" style="2" customWidth="1"/>
    <col min="2076" max="2076" width="8.75" style="2" customWidth="1"/>
    <col min="2077" max="2077" width="2.75" style="2" customWidth="1"/>
    <col min="2078" max="2080" width="8.75" style="2" customWidth="1"/>
    <col min="2081" max="2081" width="2.75" style="2" customWidth="1"/>
    <col min="2082" max="2082" width="8.75" style="2" customWidth="1"/>
    <col min="2083" max="2083" width="2.75" style="2" customWidth="1"/>
    <col min="2084" max="2084" width="8.75" style="2" customWidth="1"/>
    <col min="2085" max="2085" width="2.75" style="2" customWidth="1"/>
    <col min="2086" max="2086" width="8.75" style="2" customWidth="1"/>
    <col min="2087" max="2087" width="2.75" style="2" customWidth="1"/>
    <col min="2088" max="2088" width="8.75" style="2" customWidth="1"/>
    <col min="2089" max="2089" width="2.75" style="2" customWidth="1"/>
    <col min="2090" max="2090" width="8.75" style="2" customWidth="1"/>
    <col min="2091" max="2091" width="2.75" style="2" customWidth="1"/>
    <col min="2092" max="2092" width="8.75" style="2" customWidth="1"/>
    <col min="2093" max="2093" width="2.75" style="2" customWidth="1"/>
    <col min="2094" max="2094" width="8.75" style="2" customWidth="1"/>
    <col min="2095" max="2095" width="2.75" style="2" customWidth="1"/>
    <col min="2096" max="2096" width="8.75" style="2" customWidth="1"/>
    <col min="2097" max="2097" width="2.75" style="2" customWidth="1"/>
    <col min="2098" max="2098" width="8.75" style="2" customWidth="1"/>
    <col min="2099" max="2300" width="8.75" style="2"/>
    <col min="2301" max="2301" width="2.75" style="2" customWidth="1"/>
    <col min="2302" max="2302" width="40.75" style="2" customWidth="1"/>
    <col min="2303" max="2303" width="16" style="2" customWidth="1"/>
    <col min="2304" max="2304" width="4.75" style="2" customWidth="1"/>
    <col min="2305" max="2305" width="10.75" style="2" customWidth="1"/>
    <col min="2306" max="2306" width="2.75" style="2" customWidth="1"/>
    <col min="2307" max="2307" width="4.75" style="2" customWidth="1"/>
    <col min="2308" max="2308" width="35.75" style="2" customWidth="1"/>
    <col min="2309" max="2309" width="8.75" style="2" customWidth="1"/>
    <col min="2310" max="2310" width="2.75" style="2" customWidth="1"/>
    <col min="2311" max="2311" width="8.75" style="2" customWidth="1"/>
    <col min="2312" max="2312" width="2.75" style="2" customWidth="1"/>
    <col min="2313" max="2314" width="8.75" style="2" customWidth="1"/>
    <col min="2315" max="2315" width="45.75" style="2" customWidth="1"/>
    <col min="2316" max="2316" width="8.75" style="2" customWidth="1"/>
    <col min="2317" max="2317" width="2.75" style="2" customWidth="1"/>
    <col min="2318" max="2318" width="8.75" style="2" customWidth="1"/>
    <col min="2319" max="2319" width="2.75" style="2" customWidth="1"/>
    <col min="2320" max="2320" width="8.75" style="2" customWidth="1"/>
    <col min="2321" max="2321" width="2.75" style="2" customWidth="1"/>
    <col min="2322" max="2322" width="8.75" style="2" customWidth="1"/>
    <col min="2323" max="2323" width="2.75" style="2" customWidth="1"/>
    <col min="2324" max="2324" width="8.75" style="2" customWidth="1"/>
    <col min="2325" max="2325" width="2.75" style="2" customWidth="1"/>
    <col min="2326" max="2326" width="8.75" style="2" customWidth="1"/>
    <col min="2327" max="2327" width="2.75" style="2" customWidth="1"/>
    <col min="2328" max="2328" width="8.75" style="2" customWidth="1"/>
    <col min="2329" max="2329" width="2.75" style="2" customWidth="1"/>
    <col min="2330" max="2330" width="8.75" style="2" customWidth="1"/>
    <col min="2331" max="2331" width="2.75" style="2" customWidth="1"/>
    <col min="2332" max="2332" width="8.75" style="2" customWidth="1"/>
    <col min="2333" max="2333" width="2.75" style="2" customWidth="1"/>
    <col min="2334" max="2336" width="8.75" style="2" customWidth="1"/>
    <col min="2337" max="2337" width="2.75" style="2" customWidth="1"/>
    <col min="2338" max="2338" width="8.75" style="2" customWidth="1"/>
    <col min="2339" max="2339" width="2.75" style="2" customWidth="1"/>
    <col min="2340" max="2340" width="8.75" style="2" customWidth="1"/>
    <col min="2341" max="2341" width="2.75" style="2" customWidth="1"/>
    <col min="2342" max="2342" width="8.75" style="2" customWidth="1"/>
    <col min="2343" max="2343" width="2.75" style="2" customWidth="1"/>
    <col min="2344" max="2344" width="8.75" style="2" customWidth="1"/>
    <col min="2345" max="2345" width="2.75" style="2" customWidth="1"/>
    <col min="2346" max="2346" width="8.75" style="2" customWidth="1"/>
    <col min="2347" max="2347" width="2.75" style="2" customWidth="1"/>
    <col min="2348" max="2348" width="8.75" style="2" customWidth="1"/>
    <col min="2349" max="2349" width="2.75" style="2" customWidth="1"/>
    <col min="2350" max="2350" width="8.75" style="2" customWidth="1"/>
    <col min="2351" max="2351" width="2.75" style="2" customWidth="1"/>
    <col min="2352" max="2352" width="8.75" style="2" customWidth="1"/>
    <col min="2353" max="2353" width="2.75" style="2" customWidth="1"/>
    <col min="2354" max="2354" width="8.75" style="2" customWidth="1"/>
    <col min="2355" max="2556" width="8.75" style="2"/>
    <col min="2557" max="2557" width="2.75" style="2" customWidth="1"/>
    <col min="2558" max="2558" width="40.75" style="2" customWidth="1"/>
    <col min="2559" max="2559" width="16" style="2" customWidth="1"/>
    <col min="2560" max="2560" width="4.75" style="2" customWidth="1"/>
    <col min="2561" max="2561" width="10.75" style="2" customWidth="1"/>
    <col min="2562" max="2562" width="2.75" style="2" customWidth="1"/>
    <col min="2563" max="2563" width="4.75" style="2" customWidth="1"/>
    <col min="2564" max="2564" width="35.75" style="2" customWidth="1"/>
    <col min="2565" max="2565" width="8.75" style="2" customWidth="1"/>
    <col min="2566" max="2566" width="2.75" style="2" customWidth="1"/>
    <col min="2567" max="2567" width="8.75" style="2" customWidth="1"/>
    <col min="2568" max="2568" width="2.75" style="2" customWidth="1"/>
    <col min="2569" max="2570" width="8.75" style="2" customWidth="1"/>
    <col min="2571" max="2571" width="45.75" style="2" customWidth="1"/>
    <col min="2572" max="2572" width="8.75" style="2" customWidth="1"/>
    <col min="2573" max="2573" width="2.75" style="2" customWidth="1"/>
    <col min="2574" max="2574" width="8.75" style="2" customWidth="1"/>
    <col min="2575" max="2575" width="2.75" style="2" customWidth="1"/>
    <col min="2576" max="2576" width="8.75" style="2" customWidth="1"/>
    <col min="2577" max="2577" width="2.75" style="2" customWidth="1"/>
    <col min="2578" max="2578" width="8.75" style="2" customWidth="1"/>
    <col min="2579" max="2579" width="2.75" style="2" customWidth="1"/>
    <col min="2580" max="2580" width="8.75" style="2" customWidth="1"/>
    <col min="2581" max="2581" width="2.75" style="2" customWidth="1"/>
    <col min="2582" max="2582" width="8.75" style="2" customWidth="1"/>
    <col min="2583" max="2583" width="2.75" style="2" customWidth="1"/>
    <col min="2584" max="2584" width="8.75" style="2" customWidth="1"/>
    <col min="2585" max="2585" width="2.75" style="2" customWidth="1"/>
    <col min="2586" max="2586" width="8.75" style="2" customWidth="1"/>
    <col min="2587" max="2587" width="2.75" style="2" customWidth="1"/>
    <col min="2588" max="2588" width="8.75" style="2" customWidth="1"/>
    <col min="2589" max="2589" width="2.75" style="2" customWidth="1"/>
    <col min="2590" max="2592" width="8.75" style="2" customWidth="1"/>
    <col min="2593" max="2593" width="2.75" style="2" customWidth="1"/>
    <col min="2594" max="2594" width="8.75" style="2" customWidth="1"/>
    <col min="2595" max="2595" width="2.75" style="2" customWidth="1"/>
    <col min="2596" max="2596" width="8.75" style="2" customWidth="1"/>
    <col min="2597" max="2597" width="2.75" style="2" customWidth="1"/>
    <col min="2598" max="2598" width="8.75" style="2" customWidth="1"/>
    <col min="2599" max="2599" width="2.75" style="2" customWidth="1"/>
    <col min="2600" max="2600" width="8.75" style="2" customWidth="1"/>
    <col min="2601" max="2601" width="2.75" style="2" customWidth="1"/>
    <col min="2602" max="2602" width="8.75" style="2" customWidth="1"/>
    <col min="2603" max="2603" width="2.75" style="2" customWidth="1"/>
    <col min="2604" max="2604" width="8.75" style="2" customWidth="1"/>
    <col min="2605" max="2605" width="2.75" style="2" customWidth="1"/>
    <col min="2606" max="2606" width="8.75" style="2" customWidth="1"/>
    <col min="2607" max="2607" width="2.75" style="2" customWidth="1"/>
    <col min="2608" max="2608" width="8.75" style="2" customWidth="1"/>
    <col min="2609" max="2609" width="2.75" style="2" customWidth="1"/>
    <col min="2610" max="2610" width="8.75" style="2" customWidth="1"/>
    <col min="2611" max="2812" width="8.75" style="2"/>
    <col min="2813" max="2813" width="2.75" style="2" customWidth="1"/>
    <col min="2814" max="2814" width="40.75" style="2" customWidth="1"/>
    <col min="2815" max="2815" width="16" style="2" customWidth="1"/>
    <col min="2816" max="2816" width="4.75" style="2" customWidth="1"/>
    <col min="2817" max="2817" width="10.75" style="2" customWidth="1"/>
    <col min="2818" max="2818" width="2.75" style="2" customWidth="1"/>
    <col min="2819" max="2819" width="4.75" style="2" customWidth="1"/>
    <col min="2820" max="2820" width="35.75" style="2" customWidth="1"/>
    <col min="2821" max="2821" width="8.75" style="2" customWidth="1"/>
    <col min="2822" max="2822" width="2.75" style="2" customWidth="1"/>
    <col min="2823" max="2823" width="8.75" style="2" customWidth="1"/>
    <col min="2824" max="2824" width="2.75" style="2" customWidth="1"/>
    <col min="2825" max="2826" width="8.75" style="2" customWidth="1"/>
    <col min="2827" max="2827" width="45.75" style="2" customWidth="1"/>
    <col min="2828" max="2828" width="8.75" style="2" customWidth="1"/>
    <col min="2829" max="2829" width="2.75" style="2" customWidth="1"/>
    <col min="2830" max="2830" width="8.75" style="2" customWidth="1"/>
    <col min="2831" max="2831" width="2.75" style="2" customWidth="1"/>
    <col min="2832" max="2832" width="8.75" style="2" customWidth="1"/>
    <col min="2833" max="2833" width="2.75" style="2" customWidth="1"/>
    <col min="2834" max="2834" width="8.75" style="2" customWidth="1"/>
    <col min="2835" max="2835" width="2.75" style="2" customWidth="1"/>
    <col min="2836" max="2836" width="8.75" style="2" customWidth="1"/>
    <col min="2837" max="2837" width="2.75" style="2" customWidth="1"/>
    <col min="2838" max="2838" width="8.75" style="2" customWidth="1"/>
    <col min="2839" max="2839" width="2.75" style="2" customWidth="1"/>
    <col min="2840" max="2840" width="8.75" style="2" customWidth="1"/>
    <col min="2841" max="2841" width="2.75" style="2" customWidth="1"/>
    <col min="2842" max="2842" width="8.75" style="2" customWidth="1"/>
    <col min="2843" max="2843" width="2.75" style="2" customWidth="1"/>
    <col min="2844" max="2844" width="8.75" style="2" customWidth="1"/>
    <col min="2845" max="2845" width="2.75" style="2" customWidth="1"/>
    <col min="2846" max="2848" width="8.75" style="2" customWidth="1"/>
    <col min="2849" max="2849" width="2.75" style="2" customWidth="1"/>
    <col min="2850" max="2850" width="8.75" style="2" customWidth="1"/>
    <col min="2851" max="2851" width="2.75" style="2" customWidth="1"/>
    <col min="2852" max="2852" width="8.75" style="2" customWidth="1"/>
    <col min="2853" max="2853" width="2.75" style="2" customWidth="1"/>
    <col min="2854" max="2854" width="8.75" style="2" customWidth="1"/>
    <col min="2855" max="2855" width="2.75" style="2" customWidth="1"/>
    <col min="2856" max="2856" width="8.75" style="2" customWidth="1"/>
    <col min="2857" max="2857" width="2.75" style="2" customWidth="1"/>
    <col min="2858" max="2858" width="8.75" style="2" customWidth="1"/>
    <col min="2859" max="2859" width="2.75" style="2" customWidth="1"/>
    <col min="2860" max="2860" width="8.75" style="2" customWidth="1"/>
    <col min="2861" max="2861" width="2.75" style="2" customWidth="1"/>
    <col min="2862" max="2862" width="8.75" style="2" customWidth="1"/>
    <col min="2863" max="2863" width="2.75" style="2" customWidth="1"/>
    <col min="2864" max="2864" width="8.75" style="2" customWidth="1"/>
    <col min="2865" max="2865" width="2.75" style="2" customWidth="1"/>
    <col min="2866" max="2866" width="8.75" style="2" customWidth="1"/>
    <col min="2867" max="3068" width="8.75" style="2"/>
    <col min="3069" max="3069" width="2.75" style="2" customWidth="1"/>
    <col min="3070" max="3070" width="40.75" style="2" customWidth="1"/>
    <col min="3071" max="3071" width="16" style="2" customWidth="1"/>
    <col min="3072" max="3072" width="4.75" style="2" customWidth="1"/>
    <col min="3073" max="3073" width="10.75" style="2" customWidth="1"/>
    <col min="3074" max="3074" width="2.75" style="2" customWidth="1"/>
    <col min="3075" max="3075" width="4.75" style="2" customWidth="1"/>
    <col min="3076" max="3076" width="35.75" style="2" customWidth="1"/>
    <col min="3077" max="3077" width="8.75" style="2" customWidth="1"/>
    <col min="3078" max="3078" width="2.75" style="2" customWidth="1"/>
    <col min="3079" max="3079" width="8.75" style="2" customWidth="1"/>
    <col min="3080" max="3080" width="2.75" style="2" customWidth="1"/>
    <col min="3081" max="3082" width="8.75" style="2" customWidth="1"/>
    <col min="3083" max="3083" width="45.75" style="2" customWidth="1"/>
    <col min="3084" max="3084" width="8.75" style="2" customWidth="1"/>
    <col min="3085" max="3085" width="2.75" style="2" customWidth="1"/>
    <col min="3086" max="3086" width="8.75" style="2" customWidth="1"/>
    <col min="3087" max="3087" width="2.75" style="2" customWidth="1"/>
    <col min="3088" max="3088" width="8.75" style="2" customWidth="1"/>
    <col min="3089" max="3089" width="2.75" style="2" customWidth="1"/>
    <col min="3090" max="3090" width="8.75" style="2" customWidth="1"/>
    <col min="3091" max="3091" width="2.75" style="2" customWidth="1"/>
    <col min="3092" max="3092" width="8.75" style="2" customWidth="1"/>
    <col min="3093" max="3093" width="2.75" style="2" customWidth="1"/>
    <col min="3094" max="3094" width="8.75" style="2" customWidth="1"/>
    <col min="3095" max="3095" width="2.75" style="2" customWidth="1"/>
    <col min="3096" max="3096" width="8.75" style="2" customWidth="1"/>
    <col min="3097" max="3097" width="2.75" style="2" customWidth="1"/>
    <col min="3098" max="3098" width="8.75" style="2" customWidth="1"/>
    <col min="3099" max="3099" width="2.75" style="2" customWidth="1"/>
    <col min="3100" max="3100" width="8.75" style="2" customWidth="1"/>
    <col min="3101" max="3101" width="2.75" style="2" customWidth="1"/>
    <col min="3102" max="3104" width="8.75" style="2" customWidth="1"/>
    <col min="3105" max="3105" width="2.75" style="2" customWidth="1"/>
    <col min="3106" max="3106" width="8.75" style="2" customWidth="1"/>
    <col min="3107" max="3107" width="2.75" style="2" customWidth="1"/>
    <col min="3108" max="3108" width="8.75" style="2" customWidth="1"/>
    <col min="3109" max="3109" width="2.75" style="2" customWidth="1"/>
    <col min="3110" max="3110" width="8.75" style="2" customWidth="1"/>
    <col min="3111" max="3111" width="2.75" style="2" customWidth="1"/>
    <col min="3112" max="3112" width="8.75" style="2" customWidth="1"/>
    <col min="3113" max="3113" width="2.75" style="2" customWidth="1"/>
    <col min="3114" max="3114" width="8.75" style="2" customWidth="1"/>
    <col min="3115" max="3115" width="2.75" style="2" customWidth="1"/>
    <col min="3116" max="3116" width="8.75" style="2" customWidth="1"/>
    <col min="3117" max="3117" width="2.75" style="2" customWidth="1"/>
    <col min="3118" max="3118" width="8.75" style="2" customWidth="1"/>
    <col min="3119" max="3119" width="2.75" style="2" customWidth="1"/>
    <col min="3120" max="3120" width="8.75" style="2" customWidth="1"/>
    <col min="3121" max="3121" width="2.75" style="2" customWidth="1"/>
    <col min="3122" max="3122" width="8.75" style="2" customWidth="1"/>
    <col min="3123" max="3324" width="8.75" style="2"/>
    <col min="3325" max="3325" width="2.75" style="2" customWidth="1"/>
    <col min="3326" max="3326" width="40.75" style="2" customWidth="1"/>
    <col min="3327" max="3327" width="16" style="2" customWidth="1"/>
    <col min="3328" max="3328" width="4.75" style="2" customWidth="1"/>
    <col min="3329" max="3329" width="10.75" style="2" customWidth="1"/>
    <col min="3330" max="3330" width="2.75" style="2" customWidth="1"/>
    <col min="3331" max="3331" width="4.75" style="2" customWidth="1"/>
    <col min="3332" max="3332" width="35.75" style="2" customWidth="1"/>
    <col min="3333" max="3333" width="8.75" style="2" customWidth="1"/>
    <col min="3334" max="3334" width="2.75" style="2" customWidth="1"/>
    <col min="3335" max="3335" width="8.75" style="2" customWidth="1"/>
    <col min="3336" max="3336" width="2.75" style="2" customWidth="1"/>
    <col min="3337" max="3338" width="8.75" style="2" customWidth="1"/>
    <col min="3339" max="3339" width="45.75" style="2" customWidth="1"/>
    <col min="3340" max="3340" width="8.75" style="2" customWidth="1"/>
    <col min="3341" max="3341" width="2.75" style="2" customWidth="1"/>
    <col min="3342" max="3342" width="8.75" style="2" customWidth="1"/>
    <col min="3343" max="3343" width="2.75" style="2" customWidth="1"/>
    <col min="3344" max="3344" width="8.75" style="2" customWidth="1"/>
    <col min="3345" max="3345" width="2.75" style="2" customWidth="1"/>
    <col min="3346" max="3346" width="8.75" style="2" customWidth="1"/>
    <col min="3347" max="3347" width="2.75" style="2" customWidth="1"/>
    <col min="3348" max="3348" width="8.75" style="2" customWidth="1"/>
    <col min="3349" max="3349" width="2.75" style="2" customWidth="1"/>
    <col min="3350" max="3350" width="8.75" style="2" customWidth="1"/>
    <col min="3351" max="3351" width="2.75" style="2" customWidth="1"/>
    <col min="3352" max="3352" width="8.75" style="2" customWidth="1"/>
    <col min="3353" max="3353" width="2.75" style="2" customWidth="1"/>
    <col min="3354" max="3354" width="8.75" style="2" customWidth="1"/>
    <col min="3355" max="3355" width="2.75" style="2" customWidth="1"/>
    <col min="3356" max="3356" width="8.75" style="2" customWidth="1"/>
    <col min="3357" max="3357" width="2.75" style="2" customWidth="1"/>
    <col min="3358" max="3360" width="8.75" style="2" customWidth="1"/>
    <col min="3361" max="3361" width="2.75" style="2" customWidth="1"/>
    <col min="3362" max="3362" width="8.75" style="2" customWidth="1"/>
    <col min="3363" max="3363" width="2.75" style="2" customWidth="1"/>
    <col min="3364" max="3364" width="8.75" style="2" customWidth="1"/>
    <col min="3365" max="3365" width="2.75" style="2" customWidth="1"/>
    <col min="3366" max="3366" width="8.75" style="2" customWidth="1"/>
    <col min="3367" max="3367" width="2.75" style="2" customWidth="1"/>
    <col min="3368" max="3368" width="8.75" style="2" customWidth="1"/>
    <col min="3369" max="3369" width="2.75" style="2" customWidth="1"/>
    <col min="3370" max="3370" width="8.75" style="2" customWidth="1"/>
    <col min="3371" max="3371" width="2.75" style="2" customWidth="1"/>
    <col min="3372" max="3372" width="8.75" style="2" customWidth="1"/>
    <col min="3373" max="3373" width="2.75" style="2" customWidth="1"/>
    <col min="3374" max="3374" width="8.75" style="2" customWidth="1"/>
    <col min="3375" max="3375" width="2.75" style="2" customWidth="1"/>
    <col min="3376" max="3376" width="8.75" style="2" customWidth="1"/>
    <col min="3377" max="3377" width="2.75" style="2" customWidth="1"/>
    <col min="3378" max="3378" width="8.75" style="2" customWidth="1"/>
    <col min="3379" max="3580" width="8.75" style="2"/>
    <col min="3581" max="3581" width="2.75" style="2" customWidth="1"/>
    <col min="3582" max="3582" width="40.75" style="2" customWidth="1"/>
    <col min="3583" max="3583" width="16" style="2" customWidth="1"/>
    <col min="3584" max="3584" width="4.75" style="2" customWidth="1"/>
    <col min="3585" max="3585" width="10.75" style="2" customWidth="1"/>
    <col min="3586" max="3586" width="2.75" style="2" customWidth="1"/>
    <col min="3587" max="3587" width="4.75" style="2" customWidth="1"/>
    <col min="3588" max="3588" width="35.75" style="2" customWidth="1"/>
    <col min="3589" max="3589" width="8.75" style="2" customWidth="1"/>
    <col min="3590" max="3590" width="2.75" style="2" customWidth="1"/>
    <col min="3591" max="3591" width="8.75" style="2" customWidth="1"/>
    <col min="3592" max="3592" width="2.75" style="2" customWidth="1"/>
    <col min="3593" max="3594" width="8.75" style="2" customWidth="1"/>
    <col min="3595" max="3595" width="45.75" style="2" customWidth="1"/>
    <col min="3596" max="3596" width="8.75" style="2" customWidth="1"/>
    <col min="3597" max="3597" width="2.75" style="2" customWidth="1"/>
    <col min="3598" max="3598" width="8.75" style="2" customWidth="1"/>
    <col min="3599" max="3599" width="2.75" style="2" customWidth="1"/>
    <col min="3600" max="3600" width="8.75" style="2" customWidth="1"/>
    <col min="3601" max="3601" width="2.75" style="2" customWidth="1"/>
    <col min="3602" max="3602" width="8.75" style="2" customWidth="1"/>
    <col min="3603" max="3603" width="2.75" style="2" customWidth="1"/>
    <col min="3604" max="3604" width="8.75" style="2" customWidth="1"/>
    <col min="3605" max="3605" width="2.75" style="2" customWidth="1"/>
    <col min="3606" max="3606" width="8.75" style="2" customWidth="1"/>
    <col min="3607" max="3607" width="2.75" style="2" customWidth="1"/>
    <col min="3608" max="3608" width="8.75" style="2" customWidth="1"/>
    <col min="3609" max="3609" width="2.75" style="2" customWidth="1"/>
    <col min="3610" max="3610" width="8.75" style="2" customWidth="1"/>
    <col min="3611" max="3611" width="2.75" style="2" customWidth="1"/>
    <col min="3612" max="3612" width="8.75" style="2" customWidth="1"/>
    <col min="3613" max="3613" width="2.75" style="2" customWidth="1"/>
    <col min="3614" max="3616" width="8.75" style="2" customWidth="1"/>
    <col min="3617" max="3617" width="2.75" style="2" customWidth="1"/>
    <col min="3618" max="3618" width="8.75" style="2" customWidth="1"/>
    <col min="3619" max="3619" width="2.75" style="2" customWidth="1"/>
    <col min="3620" max="3620" width="8.75" style="2" customWidth="1"/>
    <col min="3621" max="3621" width="2.75" style="2" customWidth="1"/>
    <col min="3622" max="3622" width="8.75" style="2" customWidth="1"/>
    <col min="3623" max="3623" width="2.75" style="2" customWidth="1"/>
    <col min="3624" max="3624" width="8.75" style="2" customWidth="1"/>
    <col min="3625" max="3625" width="2.75" style="2" customWidth="1"/>
    <col min="3626" max="3626" width="8.75" style="2" customWidth="1"/>
    <col min="3627" max="3627" width="2.75" style="2" customWidth="1"/>
    <col min="3628" max="3628" width="8.75" style="2" customWidth="1"/>
    <col min="3629" max="3629" width="2.75" style="2" customWidth="1"/>
    <col min="3630" max="3630" width="8.75" style="2" customWidth="1"/>
    <col min="3631" max="3631" width="2.75" style="2" customWidth="1"/>
    <col min="3632" max="3632" width="8.75" style="2" customWidth="1"/>
    <col min="3633" max="3633" width="2.75" style="2" customWidth="1"/>
    <col min="3634" max="3634" width="8.75" style="2" customWidth="1"/>
    <col min="3635" max="3836" width="8.75" style="2"/>
    <col min="3837" max="3837" width="2.75" style="2" customWidth="1"/>
    <col min="3838" max="3838" width="40.75" style="2" customWidth="1"/>
    <col min="3839" max="3839" width="16" style="2" customWidth="1"/>
    <col min="3840" max="3840" width="4.75" style="2" customWidth="1"/>
    <col min="3841" max="3841" width="10.75" style="2" customWidth="1"/>
    <col min="3842" max="3842" width="2.75" style="2" customWidth="1"/>
    <col min="3843" max="3843" width="4.75" style="2" customWidth="1"/>
    <col min="3844" max="3844" width="35.75" style="2" customWidth="1"/>
    <col min="3845" max="3845" width="8.75" style="2" customWidth="1"/>
    <col min="3846" max="3846" width="2.75" style="2" customWidth="1"/>
    <col min="3847" max="3847" width="8.75" style="2" customWidth="1"/>
    <col min="3848" max="3848" width="2.75" style="2" customWidth="1"/>
    <col min="3849" max="3850" width="8.75" style="2" customWidth="1"/>
    <col min="3851" max="3851" width="45.75" style="2" customWidth="1"/>
    <col min="3852" max="3852" width="8.75" style="2" customWidth="1"/>
    <col min="3853" max="3853" width="2.75" style="2" customWidth="1"/>
    <col min="3854" max="3854" width="8.75" style="2" customWidth="1"/>
    <col min="3855" max="3855" width="2.75" style="2" customWidth="1"/>
    <col min="3856" max="3856" width="8.75" style="2" customWidth="1"/>
    <col min="3857" max="3857" width="2.75" style="2" customWidth="1"/>
    <col min="3858" max="3858" width="8.75" style="2" customWidth="1"/>
    <col min="3859" max="3859" width="2.75" style="2" customWidth="1"/>
    <col min="3860" max="3860" width="8.75" style="2" customWidth="1"/>
    <col min="3861" max="3861" width="2.75" style="2" customWidth="1"/>
    <col min="3862" max="3862" width="8.75" style="2" customWidth="1"/>
    <col min="3863" max="3863" width="2.75" style="2" customWidth="1"/>
    <col min="3864" max="3864" width="8.75" style="2" customWidth="1"/>
    <col min="3865" max="3865" width="2.75" style="2" customWidth="1"/>
    <col min="3866" max="3866" width="8.75" style="2" customWidth="1"/>
    <col min="3867" max="3867" width="2.75" style="2" customWidth="1"/>
    <col min="3868" max="3868" width="8.75" style="2" customWidth="1"/>
    <col min="3869" max="3869" width="2.75" style="2" customWidth="1"/>
    <col min="3870" max="3872" width="8.75" style="2" customWidth="1"/>
    <col min="3873" max="3873" width="2.75" style="2" customWidth="1"/>
    <col min="3874" max="3874" width="8.75" style="2" customWidth="1"/>
    <col min="3875" max="3875" width="2.75" style="2" customWidth="1"/>
    <col min="3876" max="3876" width="8.75" style="2" customWidth="1"/>
    <col min="3877" max="3877" width="2.75" style="2" customWidth="1"/>
    <col min="3878" max="3878" width="8.75" style="2" customWidth="1"/>
    <col min="3879" max="3879" width="2.75" style="2" customWidth="1"/>
    <col min="3880" max="3880" width="8.75" style="2" customWidth="1"/>
    <col min="3881" max="3881" width="2.75" style="2" customWidth="1"/>
    <col min="3882" max="3882" width="8.75" style="2" customWidth="1"/>
    <col min="3883" max="3883" width="2.75" style="2" customWidth="1"/>
    <col min="3884" max="3884" width="8.75" style="2" customWidth="1"/>
    <col min="3885" max="3885" width="2.75" style="2" customWidth="1"/>
    <col min="3886" max="3886" width="8.75" style="2" customWidth="1"/>
    <col min="3887" max="3887" width="2.75" style="2" customWidth="1"/>
    <col min="3888" max="3888" width="8.75" style="2" customWidth="1"/>
    <col min="3889" max="3889" width="2.75" style="2" customWidth="1"/>
    <col min="3890" max="3890" width="8.75" style="2" customWidth="1"/>
    <col min="3891" max="4092" width="8.75" style="2"/>
    <col min="4093" max="4093" width="2.75" style="2" customWidth="1"/>
    <col min="4094" max="4094" width="40.75" style="2" customWidth="1"/>
    <col min="4095" max="4095" width="16" style="2" customWidth="1"/>
    <col min="4096" max="4096" width="4.75" style="2" customWidth="1"/>
    <col min="4097" max="4097" width="10.75" style="2" customWidth="1"/>
    <col min="4098" max="4098" width="2.75" style="2" customWidth="1"/>
    <col min="4099" max="4099" width="4.75" style="2" customWidth="1"/>
    <col min="4100" max="4100" width="35.75" style="2" customWidth="1"/>
    <col min="4101" max="4101" width="8.75" style="2" customWidth="1"/>
    <col min="4102" max="4102" width="2.75" style="2" customWidth="1"/>
    <col min="4103" max="4103" width="8.75" style="2" customWidth="1"/>
    <col min="4104" max="4104" width="2.75" style="2" customWidth="1"/>
    <col min="4105" max="4106" width="8.75" style="2" customWidth="1"/>
    <col min="4107" max="4107" width="45.75" style="2" customWidth="1"/>
    <col min="4108" max="4108" width="8.75" style="2" customWidth="1"/>
    <col min="4109" max="4109" width="2.75" style="2" customWidth="1"/>
    <col min="4110" max="4110" width="8.75" style="2" customWidth="1"/>
    <col min="4111" max="4111" width="2.75" style="2" customWidth="1"/>
    <col min="4112" max="4112" width="8.75" style="2" customWidth="1"/>
    <col min="4113" max="4113" width="2.75" style="2" customWidth="1"/>
    <col min="4114" max="4114" width="8.75" style="2" customWidth="1"/>
    <col min="4115" max="4115" width="2.75" style="2" customWidth="1"/>
    <col min="4116" max="4116" width="8.75" style="2" customWidth="1"/>
    <col min="4117" max="4117" width="2.75" style="2" customWidth="1"/>
    <col min="4118" max="4118" width="8.75" style="2" customWidth="1"/>
    <col min="4119" max="4119" width="2.75" style="2" customWidth="1"/>
    <col min="4120" max="4120" width="8.75" style="2" customWidth="1"/>
    <col min="4121" max="4121" width="2.75" style="2" customWidth="1"/>
    <col min="4122" max="4122" width="8.75" style="2" customWidth="1"/>
    <col min="4123" max="4123" width="2.75" style="2" customWidth="1"/>
    <col min="4124" max="4124" width="8.75" style="2" customWidth="1"/>
    <col min="4125" max="4125" width="2.75" style="2" customWidth="1"/>
    <col min="4126" max="4128" width="8.75" style="2" customWidth="1"/>
    <col min="4129" max="4129" width="2.75" style="2" customWidth="1"/>
    <col min="4130" max="4130" width="8.75" style="2" customWidth="1"/>
    <col min="4131" max="4131" width="2.75" style="2" customWidth="1"/>
    <col min="4132" max="4132" width="8.75" style="2" customWidth="1"/>
    <col min="4133" max="4133" width="2.75" style="2" customWidth="1"/>
    <col min="4134" max="4134" width="8.75" style="2" customWidth="1"/>
    <col min="4135" max="4135" width="2.75" style="2" customWidth="1"/>
    <col min="4136" max="4136" width="8.75" style="2" customWidth="1"/>
    <col min="4137" max="4137" width="2.75" style="2" customWidth="1"/>
    <col min="4138" max="4138" width="8.75" style="2" customWidth="1"/>
    <col min="4139" max="4139" width="2.75" style="2" customWidth="1"/>
    <col min="4140" max="4140" width="8.75" style="2" customWidth="1"/>
    <col min="4141" max="4141" width="2.75" style="2" customWidth="1"/>
    <col min="4142" max="4142" width="8.75" style="2" customWidth="1"/>
    <col min="4143" max="4143" width="2.75" style="2" customWidth="1"/>
    <col min="4144" max="4144" width="8.75" style="2" customWidth="1"/>
    <col min="4145" max="4145" width="2.75" style="2" customWidth="1"/>
    <col min="4146" max="4146" width="8.75" style="2" customWidth="1"/>
    <col min="4147" max="4348" width="8.75" style="2"/>
    <col min="4349" max="4349" width="2.75" style="2" customWidth="1"/>
    <col min="4350" max="4350" width="40.75" style="2" customWidth="1"/>
    <col min="4351" max="4351" width="16" style="2" customWidth="1"/>
    <col min="4352" max="4352" width="4.75" style="2" customWidth="1"/>
    <col min="4353" max="4353" width="10.75" style="2" customWidth="1"/>
    <col min="4354" max="4354" width="2.75" style="2" customWidth="1"/>
    <col min="4355" max="4355" width="4.75" style="2" customWidth="1"/>
    <col min="4356" max="4356" width="35.75" style="2" customWidth="1"/>
    <col min="4357" max="4357" width="8.75" style="2" customWidth="1"/>
    <col min="4358" max="4358" width="2.75" style="2" customWidth="1"/>
    <col min="4359" max="4359" width="8.75" style="2" customWidth="1"/>
    <col min="4360" max="4360" width="2.75" style="2" customWidth="1"/>
    <col min="4361" max="4362" width="8.75" style="2" customWidth="1"/>
    <col min="4363" max="4363" width="45.75" style="2" customWidth="1"/>
    <col min="4364" max="4364" width="8.75" style="2" customWidth="1"/>
    <col min="4365" max="4365" width="2.75" style="2" customWidth="1"/>
    <col min="4366" max="4366" width="8.75" style="2" customWidth="1"/>
    <col min="4367" max="4367" width="2.75" style="2" customWidth="1"/>
    <col min="4368" max="4368" width="8.75" style="2" customWidth="1"/>
    <col min="4369" max="4369" width="2.75" style="2" customWidth="1"/>
    <col min="4370" max="4370" width="8.75" style="2" customWidth="1"/>
    <col min="4371" max="4371" width="2.75" style="2" customWidth="1"/>
    <col min="4372" max="4372" width="8.75" style="2" customWidth="1"/>
    <col min="4373" max="4373" width="2.75" style="2" customWidth="1"/>
    <col min="4374" max="4374" width="8.75" style="2" customWidth="1"/>
    <col min="4375" max="4375" width="2.75" style="2" customWidth="1"/>
    <col min="4376" max="4376" width="8.75" style="2" customWidth="1"/>
    <col min="4377" max="4377" width="2.75" style="2" customWidth="1"/>
    <col min="4378" max="4378" width="8.75" style="2" customWidth="1"/>
    <col min="4379" max="4379" width="2.75" style="2" customWidth="1"/>
    <col min="4380" max="4380" width="8.75" style="2" customWidth="1"/>
    <col min="4381" max="4381" width="2.75" style="2" customWidth="1"/>
    <col min="4382" max="4384" width="8.75" style="2" customWidth="1"/>
    <col min="4385" max="4385" width="2.75" style="2" customWidth="1"/>
    <col min="4386" max="4386" width="8.75" style="2" customWidth="1"/>
    <col min="4387" max="4387" width="2.75" style="2" customWidth="1"/>
    <col min="4388" max="4388" width="8.75" style="2" customWidth="1"/>
    <col min="4389" max="4389" width="2.75" style="2" customWidth="1"/>
    <col min="4390" max="4390" width="8.75" style="2" customWidth="1"/>
    <col min="4391" max="4391" width="2.75" style="2" customWidth="1"/>
    <col min="4392" max="4392" width="8.75" style="2" customWidth="1"/>
    <col min="4393" max="4393" width="2.75" style="2" customWidth="1"/>
    <col min="4394" max="4394" width="8.75" style="2" customWidth="1"/>
    <col min="4395" max="4395" width="2.75" style="2" customWidth="1"/>
    <col min="4396" max="4396" width="8.75" style="2" customWidth="1"/>
    <col min="4397" max="4397" width="2.75" style="2" customWidth="1"/>
    <col min="4398" max="4398" width="8.75" style="2" customWidth="1"/>
    <col min="4399" max="4399" width="2.75" style="2" customWidth="1"/>
    <col min="4400" max="4400" width="8.75" style="2" customWidth="1"/>
    <col min="4401" max="4401" width="2.75" style="2" customWidth="1"/>
    <col min="4402" max="4402" width="8.75" style="2" customWidth="1"/>
    <col min="4403" max="4604" width="8.75" style="2"/>
    <col min="4605" max="4605" width="2.75" style="2" customWidth="1"/>
    <col min="4606" max="4606" width="40.75" style="2" customWidth="1"/>
    <col min="4607" max="4607" width="16" style="2" customWidth="1"/>
    <col min="4608" max="4608" width="4.75" style="2" customWidth="1"/>
    <col min="4609" max="4609" width="10.75" style="2" customWidth="1"/>
    <col min="4610" max="4610" width="2.75" style="2" customWidth="1"/>
    <col min="4611" max="4611" width="4.75" style="2" customWidth="1"/>
    <col min="4612" max="4612" width="35.75" style="2" customWidth="1"/>
    <col min="4613" max="4613" width="8.75" style="2" customWidth="1"/>
    <col min="4614" max="4614" width="2.75" style="2" customWidth="1"/>
    <col min="4615" max="4615" width="8.75" style="2" customWidth="1"/>
    <col min="4616" max="4616" width="2.75" style="2" customWidth="1"/>
    <col min="4617" max="4618" width="8.75" style="2" customWidth="1"/>
    <col min="4619" max="4619" width="45.75" style="2" customWidth="1"/>
    <col min="4620" max="4620" width="8.75" style="2" customWidth="1"/>
    <col min="4621" max="4621" width="2.75" style="2" customWidth="1"/>
    <col min="4622" max="4622" width="8.75" style="2" customWidth="1"/>
    <col min="4623" max="4623" width="2.75" style="2" customWidth="1"/>
    <col min="4624" max="4624" width="8.75" style="2" customWidth="1"/>
    <col min="4625" max="4625" width="2.75" style="2" customWidth="1"/>
    <col min="4626" max="4626" width="8.75" style="2" customWidth="1"/>
    <col min="4627" max="4627" width="2.75" style="2" customWidth="1"/>
    <col min="4628" max="4628" width="8.75" style="2" customWidth="1"/>
    <col min="4629" max="4629" width="2.75" style="2" customWidth="1"/>
    <col min="4630" max="4630" width="8.75" style="2" customWidth="1"/>
    <col min="4631" max="4631" width="2.75" style="2" customWidth="1"/>
    <col min="4632" max="4632" width="8.75" style="2" customWidth="1"/>
    <col min="4633" max="4633" width="2.75" style="2" customWidth="1"/>
    <col min="4634" max="4634" width="8.75" style="2" customWidth="1"/>
    <col min="4635" max="4635" width="2.75" style="2" customWidth="1"/>
    <col min="4636" max="4636" width="8.75" style="2" customWidth="1"/>
    <col min="4637" max="4637" width="2.75" style="2" customWidth="1"/>
    <col min="4638" max="4640" width="8.75" style="2" customWidth="1"/>
    <col min="4641" max="4641" width="2.75" style="2" customWidth="1"/>
    <col min="4642" max="4642" width="8.75" style="2" customWidth="1"/>
    <col min="4643" max="4643" width="2.75" style="2" customWidth="1"/>
    <col min="4644" max="4644" width="8.75" style="2" customWidth="1"/>
    <col min="4645" max="4645" width="2.75" style="2" customWidth="1"/>
    <col min="4646" max="4646" width="8.75" style="2" customWidth="1"/>
    <col min="4647" max="4647" width="2.75" style="2" customWidth="1"/>
    <col min="4648" max="4648" width="8.75" style="2" customWidth="1"/>
    <col min="4649" max="4649" width="2.75" style="2" customWidth="1"/>
    <col min="4650" max="4650" width="8.75" style="2" customWidth="1"/>
    <col min="4651" max="4651" width="2.75" style="2" customWidth="1"/>
    <col min="4652" max="4652" width="8.75" style="2" customWidth="1"/>
    <col min="4653" max="4653" width="2.75" style="2" customWidth="1"/>
    <col min="4654" max="4654" width="8.75" style="2" customWidth="1"/>
    <col min="4655" max="4655" width="2.75" style="2" customWidth="1"/>
    <col min="4656" max="4656" width="8.75" style="2" customWidth="1"/>
    <col min="4657" max="4657" width="2.75" style="2" customWidth="1"/>
    <col min="4658" max="4658" width="8.75" style="2" customWidth="1"/>
    <col min="4659" max="4860" width="8.75" style="2"/>
    <col min="4861" max="4861" width="2.75" style="2" customWidth="1"/>
    <col min="4862" max="4862" width="40.75" style="2" customWidth="1"/>
    <col min="4863" max="4863" width="16" style="2" customWidth="1"/>
    <col min="4864" max="4864" width="4.75" style="2" customWidth="1"/>
    <col min="4865" max="4865" width="10.75" style="2" customWidth="1"/>
    <col min="4866" max="4866" width="2.75" style="2" customWidth="1"/>
    <col min="4867" max="4867" width="4.75" style="2" customWidth="1"/>
    <col min="4868" max="4868" width="35.75" style="2" customWidth="1"/>
    <col min="4869" max="4869" width="8.75" style="2" customWidth="1"/>
    <col min="4870" max="4870" width="2.75" style="2" customWidth="1"/>
    <col min="4871" max="4871" width="8.75" style="2" customWidth="1"/>
    <col min="4872" max="4872" width="2.75" style="2" customWidth="1"/>
    <col min="4873" max="4874" width="8.75" style="2" customWidth="1"/>
    <col min="4875" max="4875" width="45.75" style="2" customWidth="1"/>
    <col min="4876" max="4876" width="8.75" style="2" customWidth="1"/>
    <col min="4877" max="4877" width="2.75" style="2" customWidth="1"/>
    <col min="4878" max="4878" width="8.75" style="2" customWidth="1"/>
    <col min="4879" max="4879" width="2.75" style="2" customWidth="1"/>
    <col min="4880" max="4880" width="8.75" style="2" customWidth="1"/>
    <col min="4881" max="4881" width="2.75" style="2" customWidth="1"/>
    <col min="4882" max="4882" width="8.75" style="2" customWidth="1"/>
    <col min="4883" max="4883" width="2.75" style="2" customWidth="1"/>
    <col min="4884" max="4884" width="8.75" style="2" customWidth="1"/>
    <col min="4885" max="4885" width="2.75" style="2" customWidth="1"/>
    <col min="4886" max="4886" width="8.75" style="2" customWidth="1"/>
    <col min="4887" max="4887" width="2.75" style="2" customWidth="1"/>
    <col min="4888" max="4888" width="8.75" style="2" customWidth="1"/>
    <col min="4889" max="4889" width="2.75" style="2" customWidth="1"/>
    <col min="4890" max="4890" width="8.75" style="2" customWidth="1"/>
    <col min="4891" max="4891" width="2.75" style="2" customWidth="1"/>
    <col min="4892" max="4892" width="8.75" style="2" customWidth="1"/>
    <col min="4893" max="4893" width="2.75" style="2" customWidth="1"/>
    <col min="4894" max="4896" width="8.75" style="2" customWidth="1"/>
    <col min="4897" max="4897" width="2.75" style="2" customWidth="1"/>
    <col min="4898" max="4898" width="8.75" style="2" customWidth="1"/>
    <col min="4899" max="4899" width="2.75" style="2" customWidth="1"/>
    <col min="4900" max="4900" width="8.75" style="2" customWidth="1"/>
    <col min="4901" max="4901" width="2.75" style="2" customWidth="1"/>
    <col min="4902" max="4902" width="8.75" style="2" customWidth="1"/>
    <col min="4903" max="4903" width="2.75" style="2" customWidth="1"/>
    <col min="4904" max="4904" width="8.75" style="2" customWidth="1"/>
    <col min="4905" max="4905" width="2.75" style="2" customWidth="1"/>
    <col min="4906" max="4906" width="8.75" style="2" customWidth="1"/>
    <col min="4907" max="4907" width="2.75" style="2" customWidth="1"/>
    <col min="4908" max="4908" width="8.75" style="2" customWidth="1"/>
    <col min="4909" max="4909" width="2.75" style="2" customWidth="1"/>
    <col min="4910" max="4910" width="8.75" style="2" customWidth="1"/>
    <col min="4911" max="4911" width="2.75" style="2" customWidth="1"/>
    <col min="4912" max="4912" width="8.75" style="2" customWidth="1"/>
    <col min="4913" max="4913" width="2.75" style="2" customWidth="1"/>
    <col min="4914" max="4914" width="8.75" style="2" customWidth="1"/>
    <col min="4915" max="5116" width="8.75" style="2"/>
    <col min="5117" max="5117" width="2.75" style="2" customWidth="1"/>
    <col min="5118" max="5118" width="40.75" style="2" customWidth="1"/>
    <col min="5119" max="5119" width="16" style="2" customWidth="1"/>
    <col min="5120" max="5120" width="4.75" style="2" customWidth="1"/>
    <col min="5121" max="5121" width="10.75" style="2" customWidth="1"/>
    <col min="5122" max="5122" width="2.75" style="2" customWidth="1"/>
    <col min="5123" max="5123" width="4.75" style="2" customWidth="1"/>
    <col min="5124" max="5124" width="35.75" style="2" customWidth="1"/>
    <col min="5125" max="5125" width="8.75" style="2" customWidth="1"/>
    <col min="5126" max="5126" width="2.75" style="2" customWidth="1"/>
    <col min="5127" max="5127" width="8.75" style="2" customWidth="1"/>
    <col min="5128" max="5128" width="2.75" style="2" customWidth="1"/>
    <col min="5129" max="5130" width="8.75" style="2" customWidth="1"/>
    <col min="5131" max="5131" width="45.75" style="2" customWidth="1"/>
    <col min="5132" max="5132" width="8.75" style="2" customWidth="1"/>
    <col min="5133" max="5133" width="2.75" style="2" customWidth="1"/>
    <col min="5134" max="5134" width="8.75" style="2" customWidth="1"/>
    <col min="5135" max="5135" width="2.75" style="2" customWidth="1"/>
    <col min="5136" max="5136" width="8.75" style="2" customWidth="1"/>
    <col min="5137" max="5137" width="2.75" style="2" customWidth="1"/>
    <col min="5138" max="5138" width="8.75" style="2" customWidth="1"/>
    <col min="5139" max="5139" width="2.75" style="2" customWidth="1"/>
    <col min="5140" max="5140" width="8.75" style="2" customWidth="1"/>
    <col min="5141" max="5141" width="2.75" style="2" customWidth="1"/>
    <col min="5142" max="5142" width="8.75" style="2" customWidth="1"/>
    <col min="5143" max="5143" width="2.75" style="2" customWidth="1"/>
    <col min="5144" max="5144" width="8.75" style="2" customWidth="1"/>
    <col min="5145" max="5145" width="2.75" style="2" customWidth="1"/>
    <col min="5146" max="5146" width="8.75" style="2" customWidth="1"/>
    <col min="5147" max="5147" width="2.75" style="2" customWidth="1"/>
    <col min="5148" max="5148" width="8.75" style="2" customWidth="1"/>
    <col min="5149" max="5149" width="2.75" style="2" customWidth="1"/>
    <col min="5150" max="5152" width="8.75" style="2" customWidth="1"/>
    <col min="5153" max="5153" width="2.75" style="2" customWidth="1"/>
    <col min="5154" max="5154" width="8.75" style="2" customWidth="1"/>
    <col min="5155" max="5155" width="2.75" style="2" customWidth="1"/>
    <col min="5156" max="5156" width="8.75" style="2" customWidth="1"/>
    <col min="5157" max="5157" width="2.75" style="2" customWidth="1"/>
    <col min="5158" max="5158" width="8.75" style="2" customWidth="1"/>
    <col min="5159" max="5159" width="2.75" style="2" customWidth="1"/>
    <col min="5160" max="5160" width="8.75" style="2" customWidth="1"/>
    <col min="5161" max="5161" width="2.75" style="2" customWidth="1"/>
    <col min="5162" max="5162" width="8.75" style="2" customWidth="1"/>
    <col min="5163" max="5163" width="2.75" style="2" customWidth="1"/>
    <col min="5164" max="5164" width="8.75" style="2" customWidth="1"/>
    <col min="5165" max="5165" width="2.75" style="2" customWidth="1"/>
    <col min="5166" max="5166" width="8.75" style="2" customWidth="1"/>
    <col min="5167" max="5167" width="2.75" style="2" customWidth="1"/>
    <col min="5168" max="5168" width="8.75" style="2" customWidth="1"/>
    <col min="5169" max="5169" width="2.75" style="2" customWidth="1"/>
    <col min="5170" max="5170" width="8.75" style="2" customWidth="1"/>
    <col min="5171" max="5372" width="8.75" style="2"/>
    <col min="5373" max="5373" width="2.75" style="2" customWidth="1"/>
    <col min="5374" max="5374" width="40.75" style="2" customWidth="1"/>
    <col min="5375" max="5375" width="16" style="2" customWidth="1"/>
    <col min="5376" max="5376" width="4.75" style="2" customWidth="1"/>
    <col min="5377" max="5377" width="10.75" style="2" customWidth="1"/>
    <col min="5378" max="5378" width="2.75" style="2" customWidth="1"/>
    <col min="5379" max="5379" width="4.75" style="2" customWidth="1"/>
    <col min="5380" max="5380" width="35.75" style="2" customWidth="1"/>
    <col min="5381" max="5381" width="8.75" style="2" customWidth="1"/>
    <col min="5382" max="5382" width="2.75" style="2" customWidth="1"/>
    <col min="5383" max="5383" width="8.75" style="2" customWidth="1"/>
    <col min="5384" max="5384" width="2.75" style="2" customWidth="1"/>
    <col min="5385" max="5386" width="8.75" style="2" customWidth="1"/>
    <col min="5387" max="5387" width="45.75" style="2" customWidth="1"/>
    <col min="5388" max="5388" width="8.75" style="2" customWidth="1"/>
    <col min="5389" max="5389" width="2.75" style="2" customWidth="1"/>
    <col min="5390" max="5390" width="8.75" style="2" customWidth="1"/>
    <col min="5391" max="5391" width="2.75" style="2" customWidth="1"/>
    <col min="5392" max="5392" width="8.75" style="2" customWidth="1"/>
    <col min="5393" max="5393" width="2.75" style="2" customWidth="1"/>
    <col min="5394" max="5394" width="8.75" style="2" customWidth="1"/>
    <col min="5395" max="5395" width="2.75" style="2" customWidth="1"/>
    <col min="5396" max="5396" width="8.75" style="2" customWidth="1"/>
    <col min="5397" max="5397" width="2.75" style="2" customWidth="1"/>
    <col min="5398" max="5398" width="8.75" style="2" customWidth="1"/>
    <col min="5399" max="5399" width="2.75" style="2" customWidth="1"/>
    <col min="5400" max="5400" width="8.75" style="2" customWidth="1"/>
    <col min="5401" max="5401" width="2.75" style="2" customWidth="1"/>
    <col min="5402" max="5402" width="8.75" style="2" customWidth="1"/>
    <col min="5403" max="5403" width="2.75" style="2" customWidth="1"/>
    <col min="5404" max="5404" width="8.75" style="2" customWidth="1"/>
    <col min="5405" max="5405" width="2.75" style="2" customWidth="1"/>
    <col min="5406" max="5408" width="8.75" style="2" customWidth="1"/>
    <col min="5409" max="5409" width="2.75" style="2" customWidth="1"/>
    <col min="5410" max="5410" width="8.75" style="2" customWidth="1"/>
    <col min="5411" max="5411" width="2.75" style="2" customWidth="1"/>
    <col min="5412" max="5412" width="8.75" style="2" customWidth="1"/>
    <col min="5413" max="5413" width="2.75" style="2" customWidth="1"/>
    <col min="5414" max="5414" width="8.75" style="2" customWidth="1"/>
    <col min="5415" max="5415" width="2.75" style="2" customWidth="1"/>
    <col min="5416" max="5416" width="8.75" style="2" customWidth="1"/>
    <col min="5417" max="5417" width="2.75" style="2" customWidth="1"/>
    <col min="5418" max="5418" width="8.75" style="2" customWidth="1"/>
    <col min="5419" max="5419" width="2.75" style="2" customWidth="1"/>
    <col min="5420" max="5420" width="8.75" style="2" customWidth="1"/>
    <col min="5421" max="5421" width="2.75" style="2" customWidth="1"/>
    <col min="5422" max="5422" width="8.75" style="2" customWidth="1"/>
    <col min="5423" max="5423" width="2.75" style="2" customWidth="1"/>
    <col min="5424" max="5424" width="8.75" style="2" customWidth="1"/>
    <col min="5425" max="5425" width="2.75" style="2" customWidth="1"/>
    <col min="5426" max="5426" width="8.75" style="2" customWidth="1"/>
    <col min="5427" max="5628" width="8.75" style="2"/>
    <col min="5629" max="5629" width="2.75" style="2" customWidth="1"/>
    <col min="5630" max="5630" width="40.75" style="2" customWidth="1"/>
    <col min="5631" max="5631" width="16" style="2" customWidth="1"/>
    <col min="5632" max="5632" width="4.75" style="2" customWidth="1"/>
    <col min="5633" max="5633" width="10.75" style="2" customWidth="1"/>
    <col min="5634" max="5634" width="2.75" style="2" customWidth="1"/>
    <col min="5635" max="5635" width="4.75" style="2" customWidth="1"/>
    <col min="5636" max="5636" width="35.75" style="2" customWidth="1"/>
    <col min="5637" max="5637" width="8.75" style="2" customWidth="1"/>
    <col min="5638" max="5638" width="2.75" style="2" customWidth="1"/>
    <col min="5639" max="5639" width="8.75" style="2" customWidth="1"/>
    <col min="5640" max="5640" width="2.75" style="2" customWidth="1"/>
    <col min="5641" max="5642" width="8.75" style="2" customWidth="1"/>
    <col min="5643" max="5643" width="45.75" style="2" customWidth="1"/>
    <col min="5644" max="5644" width="8.75" style="2" customWidth="1"/>
    <col min="5645" max="5645" width="2.75" style="2" customWidth="1"/>
    <col min="5646" max="5646" width="8.75" style="2" customWidth="1"/>
    <col min="5647" max="5647" width="2.75" style="2" customWidth="1"/>
    <col min="5648" max="5648" width="8.75" style="2" customWidth="1"/>
    <col min="5649" max="5649" width="2.75" style="2" customWidth="1"/>
    <col min="5650" max="5650" width="8.75" style="2" customWidth="1"/>
    <col min="5651" max="5651" width="2.75" style="2" customWidth="1"/>
    <col min="5652" max="5652" width="8.75" style="2" customWidth="1"/>
    <col min="5653" max="5653" width="2.75" style="2" customWidth="1"/>
    <col min="5654" max="5654" width="8.75" style="2" customWidth="1"/>
    <col min="5655" max="5655" width="2.75" style="2" customWidth="1"/>
    <col min="5656" max="5656" width="8.75" style="2" customWidth="1"/>
    <col min="5657" max="5657" width="2.75" style="2" customWidth="1"/>
    <col min="5658" max="5658" width="8.75" style="2" customWidth="1"/>
    <col min="5659" max="5659" width="2.75" style="2" customWidth="1"/>
    <col min="5660" max="5660" width="8.75" style="2" customWidth="1"/>
    <col min="5661" max="5661" width="2.75" style="2" customWidth="1"/>
    <col min="5662" max="5664" width="8.75" style="2" customWidth="1"/>
    <col min="5665" max="5665" width="2.75" style="2" customWidth="1"/>
    <col min="5666" max="5666" width="8.75" style="2" customWidth="1"/>
    <col min="5667" max="5667" width="2.75" style="2" customWidth="1"/>
    <col min="5668" max="5668" width="8.75" style="2" customWidth="1"/>
    <col min="5669" max="5669" width="2.75" style="2" customWidth="1"/>
    <col min="5670" max="5670" width="8.75" style="2" customWidth="1"/>
    <col min="5671" max="5671" width="2.75" style="2" customWidth="1"/>
    <col min="5672" max="5672" width="8.75" style="2" customWidth="1"/>
    <col min="5673" max="5673" width="2.75" style="2" customWidth="1"/>
    <col min="5674" max="5674" width="8.75" style="2" customWidth="1"/>
    <col min="5675" max="5675" width="2.75" style="2" customWidth="1"/>
    <col min="5676" max="5676" width="8.75" style="2" customWidth="1"/>
    <col min="5677" max="5677" width="2.75" style="2" customWidth="1"/>
    <col min="5678" max="5678" width="8.75" style="2" customWidth="1"/>
    <col min="5679" max="5679" width="2.75" style="2" customWidth="1"/>
    <col min="5680" max="5680" width="8.75" style="2" customWidth="1"/>
    <col min="5681" max="5681" width="2.75" style="2" customWidth="1"/>
    <col min="5682" max="5682" width="8.75" style="2" customWidth="1"/>
    <col min="5683" max="5884" width="8.75" style="2"/>
    <col min="5885" max="5885" width="2.75" style="2" customWidth="1"/>
    <col min="5886" max="5886" width="40.75" style="2" customWidth="1"/>
    <col min="5887" max="5887" width="16" style="2" customWidth="1"/>
    <col min="5888" max="5888" width="4.75" style="2" customWidth="1"/>
    <col min="5889" max="5889" width="10.75" style="2" customWidth="1"/>
    <col min="5890" max="5890" width="2.75" style="2" customWidth="1"/>
    <col min="5891" max="5891" width="4.75" style="2" customWidth="1"/>
    <col min="5892" max="5892" width="35.75" style="2" customWidth="1"/>
    <col min="5893" max="5893" width="8.75" style="2" customWidth="1"/>
    <col min="5894" max="5894" width="2.75" style="2" customWidth="1"/>
    <col min="5895" max="5895" width="8.75" style="2" customWidth="1"/>
    <col min="5896" max="5896" width="2.75" style="2" customWidth="1"/>
    <col min="5897" max="5898" width="8.75" style="2" customWidth="1"/>
    <col min="5899" max="5899" width="45.75" style="2" customWidth="1"/>
    <col min="5900" max="5900" width="8.75" style="2" customWidth="1"/>
    <col min="5901" max="5901" width="2.75" style="2" customWidth="1"/>
    <col min="5902" max="5902" width="8.75" style="2" customWidth="1"/>
    <col min="5903" max="5903" width="2.75" style="2" customWidth="1"/>
    <col min="5904" max="5904" width="8.75" style="2" customWidth="1"/>
    <col min="5905" max="5905" width="2.75" style="2" customWidth="1"/>
    <col min="5906" max="5906" width="8.75" style="2" customWidth="1"/>
    <col min="5907" max="5907" width="2.75" style="2" customWidth="1"/>
    <col min="5908" max="5908" width="8.75" style="2" customWidth="1"/>
    <col min="5909" max="5909" width="2.75" style="2" customWidth="1"/>
    <col min="5910" max="5910" width="8.75" style="2" customWidth="1"/>
    <col min="5911" max="5911" width="2.75" style="2" customWidth="1"/>
    <col min="5912" max="5912" width="8.75" style="2" customWidth="1"/>
    <col min="5913" max="5913" width="2.75" style="2" customWidth="1"/>
    <col min="5914" max="5914" width="8.75" style="2" customWidth="1"/>
    <col min="5915" max="5915" width="2.75" style="2" customWidth="1"/>
    <col min="5916" max="5916" width="8.75" style="2" customWidth="1"/>
    <col min="5917" max="5917" width="2.75" style="2" customWidth="1"/>
    <col min="5918" max="5920" width="8.75" style="2" customWidth="1"/>
    <col min="5921" max="5921" width="2.75" style="2" customWidth="1"/>
    <col min="5922" max="5922" width="8.75" style="2" customWidth="1"/>
    <col min="5923" max="5923" width="2.75" style="2" customWidth="1"/>
    <col min="5924" max="5924" width="8.75" style="2" customWidth="1"/>
    <col min="5925" max="5925" width="2.75" style="2" customWidth="1"/>
    <col min="5926" max="5926" width="8.75" style="2" customWidth="1"/>
    <col min="5927" max="5927" width="2.75" style="2" customWidth="1"/>
    <col min="5928" max="5928" width="8.75" style="2" customWidth="1"/>
    <col min="5929" max="5929" width="2.75" style="2" customWidth="1"/>
    <col min="5930" max="5930" width="8.75" style="2" customWidth="1"/>
    <col min="5931" max="5931" width="2.75" style="2" customWidth="1"/>
    <col min="5932" max="5932" width="8.75" style="2" customWidth="1"/>
    <col min="5933" max="5933" width="2.75" style="2" customWidth="1"/>
    <col min="5934" max="5934" width="8.75" style="2" customWidth="1"/>
    <col min="5935" max="5935" width="2.75" style="2" customWidth="1"/>
    <col min="5936" max="5936" width="8.75" style="2" customWidth="1"/>
    <col min="5937" max="5937" width="2.75" style="2" customWidth="1"/>
    <col min="5938" max="5938" width="8.75" style="2" customWidth="1"/>
    <col min="5939" max="6140" width="8.75" style="2"/>
    <col min="6141" max="6141" width="2.75" style="2" customWidth="1"/>
    <col min="6142" max="6142" width="40.75" style="2" customWidth="1"/>
    <col min="6143" max="6143" width="16" style="2" customWidth="1"/>
    <col min="6144" max="6144" width="4.75" style="2" customWidth="1"/>
    <col min="6145" max="6145" width="10.75" style="2" customWidth="1"/>
    <col min="6146" max="6146" width="2.75" style="2" customWidth="1"/>
    <col min="6147" max="6147" width="4.75" style="2" customWidth="1"/>
    <col min="6148" max="6148" width="35.75" style="2" customWidth="1"/>
    <col min="6149" max="6149" width="8.75" style="2" customWidth="1"/>
    <col min="6150" max="6150" width="2.75" style="2" customWidth="1"/>
    <col min="6151" max="6151" width="8.75" style="2" customWidth="1"/>
    <col min="6152" max="6152" width="2.75" style="2" customWidth="1"/>
    <col min="6153" max="6154" width="8.75" style="2" customWidth="1"/>
    <col min="6155" max="6155" width="45.75" style="2" customWidth="1"/>
    <col min="6156" max="6156" width="8.75" style="2" customWidth="1"/>
    <col min="6157" max="6157" width="2.75" style="2" customWidth="1"/>
    <col min="6158" max="6158" width="8.75" style="2" customWidth="1"/>
    <col min="6159" max="6159" width="2.75" style="2" customWidth="1"/>
    <col min="6160" max="6160" width="8.75" style="2" customWidth="1"/>
    <col min="6161" max="6161" width="2.75" style="2" customWidth="1"/>
    <col min="6162" max="6162" width="8.75" style="2" customWidth="1"/>
    <col min="6163" max="6163" width="2.75" style="2" customWidth="1"/>
    <col min="6164" max="6164" width="8.75" style="2" customWidth="1"/>
    <col min="6165" max="6165" width="2.75" style="2" customWidth="1"/>
    <col min="6166" max="6166" width="8.75" style="2" customWidth="1"/>
    <col min="6167" max="6167" width="2.75" style="2" customWidth="1"/>
    <col min="6168" max="6168" width="8.75" style="2" customWidth="1"/>
    <col min="6169" max="6169" width="2.75" style="2" customWidth="1"/>
    <col min="6170" max="6170" width="8.75" style="2" customWidth="1"/>
    <col min="6171" max="6171" width="2.75" style="2" customWidth="1"/>
    <col min="6172" max="6172" width="8.75" style="2" customWidth="1"/>
    <col min="6173" max="6173" width="2.75" style="2" customWidth="1"/>
    <col min="6174" max="6176" width="8.75" style="2" customWidth="1"/>
    <col min="6177" max="6177" width="2.75" style="2" customWidth="1"/>
    <col min="6178" max="6178" width="8.75" style="2" customWidth="1"/>
    <col min="6179" max="6179" width="2.75" style="2" customWidth="1"/>
    <col min="6180" max="6180" width="8.75" style="2" customWidth="1"/>
    <col min="6181" max="6181" width="2.75" style="2" customWidth="1"/>
    <col min="6182" max="6182" width="8.75" style="2" customWidth="1"/>
    <col min="6183" max="6183" width="2.75" style="2" customWidth="1"/>
    <col min="6184" max="6184" width="8.75" style="2" customWidth="1"/>
    <col min="6185" max="6185" width="2.75" style="2" customWidth="1"/>
    <col min="6186" max="6186" width="8.75" style="2" customWidth="1"/>
    <col min="6187" max="6187" width="2.75" style="2" customWidth="1"/>
    <col min="6188" max="6188" width="8.75" style="2" customWidth="1"/>
    <col min="6189" max="6189" width="2.75" style="2" customWidth="1"/>
    <col min="6190" max="6190" width="8.75" style="2" customWidth="1"/>
    <col min="6191" max="6191" width="2.75" style="2" customWidth="1"/>
    <col min="6192" max="6192" width="8.75" style="2" customWidth="1"/>
    <col min="6193" max="6193" width="2.75" style="2" customWidth="1"/>
    <col min="6194" max="6194" width="8.75" style="2" customWidth="1"/>
    <col min="6195" max="6396" width="8.75" style="2"/>
    <col min="6397" max="6397" width="2.75" style="2" customWidth="1"/>
    <col min="6398" max="6398" width="40.75" style="2" customWidth="1"/>
    <col min="6399" max="6399" width="16" style="2" customWidth="1"/>
    <col min="6400" max="6400" width="4.75" style="2" customWidth="1"/>
    <col min="6401" max="6401" width="10.75" style="2" customWidth="1"/>
    <col min="6402" max="6402" width="2.75" style="2" customWidth="1"/>
    <col min="6403" max="6403" width="4.75" style="2" customWidth="1"/>
    <col min="6404" max="6404" width="35.75" style="2" customWidth="1"/>
    <col min="6405" max="6405" width="8.75" style="2" customWidth="1"/>
    <col min="6406" max="6406" width="2.75" style="2" customWidth="1"/>
    <col min="6407" max="6407" width="8.75" style="2" customWidth="1"/>
    <col min="6408" max="6408" width="2.75" style="2" customWidth="1"/>
    <col min="6409" max="6410" width="8.75" style="2" customWidth="1"/>
    <col min="6411" max="6411" width="45.75" style="2" customWidth="1"/>
    <col min="6412" max="6412" width="8.75" style="2" customWidth="1"/>
    <col min="6413" max="6413" width="2.75" style="2" customWidth="1"/>
    <col min="6414" max="6414" width="8.75" style="2" customWidth="1"/>
    <col min="6415" max="6415" width="2.75" style="2" customWidth="1"/>
    <col min="6416" max="6416" width="8.75" style="2" customWidth="1"/>
    <col min="6417" max="6417" width="2.75" style="2" customWidth="1"/>
    <col min="6418" max="6418" width="8.75" style="2" customWidth="1"/>
    <col min="6419" max="6419" width="2.75" style="2" customWidth="1"/>
    <col min="6420" max="6420" width="8.75" style="2" customWidth="1"/>
    <col min="6421" max="6421" width="2.75" style="2" customWidth="1"/>
    <col min="6422" max="6422" width="8.75" style="2" customWidth="1"/>
    <col min="6423" max="6423" width="2.75" style="2" customWidth="1"/>
    <col min="6424" max="6424" width="8.75" style="2" customWidth="1"/>
    <col min="6425" max="6425" width="2.75" style="2" customWidth="1"/>
    <col min="6426" max="6426" width="8.75" style="2" customWidth="1"/>
    <col min="6427" max="6427" width="2.75" style="2" customWidth="1"/>
    <col min="6428" max="6428" width="8.75" style="2" customWidth="1"/>
    <col min="6429" max="6429" width="2.75" style="2" customWidth="1"/>
    <col min="6430" max="6432" width="8.75" style="2" customWidth="1"/>
    <col min="6433" max="6433" width="2.75" style="2" customWidth="1"/>
    <col min="6434" max="6434" width="8.75" style="2" customWidth="1"/>
    <col min="6435" max="6435" width="2.75" style="2" customWidth="1"/>
    <col min="6436" max="6436" width="8.75" style="2" customWidth="1"/>
    <col min="6437" max="6437" width="2.75" style="2" customWidth="1"/>
    <col min="6438" max="6438" width="8.75" style="2" customWidth="1"/>
    <col min="6439" max="6439" width="2.75" style="2" customWidth="1"/>
    <col min="6440" max="6440" width="8.75" style="2" customWidth="1"/>
    <col min="6441" max="6441" width="2.75" style="2" customWidth="1"/>
    <col min="6442" max="6442" width="8.75" style="2" customWidth="1"/>
    <col min="6443" max="6443" width="2.75" style="2" customWidth="1"/>
    <col min="6444" max="6444" width="8.75" style="2" customWidth="1"/>
    <col min="6445" max="6445" width="2.75" style="2" customWidth="1"/>
    <col min="6446" max="6446" width="8.75" style="2" customWidth="1"/>
    <col min="6447" max="6447" width="2.75" style="2" customWidth="1"/>
    <col min="6448" max="6448" width="8.75" style="2" customWidth="1"/>
    <col min="6449" max="6449" width="2.75" style="2" customWidth="1"/>
    <col min="6450" max="6450" width="8.75" style="2" customWidth="1"/>
    <col min="6451" max="6652" width="8.75" style="2"/>
    <col min="6653" max="6653" width="2.75" style="2" customWidth="1"/>
    <col min="6654" max="6654" width="40.75" style="2" customWidth="1"/>
    <col min="6655" max="6655" width="16" style="2" customWidth="1"/>
    <col min="6656" max="6656" width="4.75" style="2" customWidth="1"/>
    <col min="6657" max="6657" width="10.75" style="2" customWidth="1"/>
    <col min="6658" max="6658" width="2.75" style="2" customWidth="1"/>
    <col min="6659" max="6659" width="4.75" style="2" customWidth="1"/>
    <col min="6660" max="6660" width="35.75" style="2" customWidth="1"/>
    <col min="6661" max="6661" width="8.75" style="2" customWidth="1"/>
    <col min="6662" max="6662" width="2.75" style="2" customWidth="1"/>
    <col min="6663" max="6663" width="8.75" style="2" customWidth="1"/>
    <col min="6664" max="6664" width="2.75" style="2" customWidth="1"/>
    <col min="6665" max="6666" width="8.75" style="2" customWidth="1"/>
    <col min="6667" max="6667" width="45.75" style="2" customWidth="1"/>
    <col min="6668" max="6668" width="8.75" style="2" customWidth="1"/>
    <col min="6669" max="6669" width="2.75" style="2" customWidth="1"/>
    <col min="6670" max="6670" width="8.75" style="2" customWidth="1"/>
    <col min="6671" max="6671" width="2.75" style="2" customWidth="1"/>
    <col min="6672" max="6672" width="8.75" style="2" customWidth="1"/>
    <col min="6673" max="6673" width="2.75" style="2" customWidth="1"/>
    <col min="6674" max="6674" width="8.75" style="2" customWidth="1"/>
    <col min="6675" max="6675" width="2.75" style="2" customWidth="1"/>
    <col min="6676" max="6676" width="8.75" style="2" customWidth="1"/>
    <col min="6677" max="6677" width="2.75" style="2" customWidth="1"/>
    <col min="6678" max="6678" width="8.75" style="2" customWidth="1"/>
    <col min="6679" max="6679" width="2.75" style="2" customWidth="1"/>
    <col min="6680" max="6680" width="8.75" style="2" customWidth="1"/>
    <col min="6681" max="6681" width="2.75" style="2" customWidth="1"/>
    <col min="6682" max="6682" width="8.75" style="2" customWidth="1"/>
    <col min="6683" max="6683" width="2.75" style="2" customWidth="1"/>
    <col min="6684" max="6684" width="8.75" style="2" customWidth="1"/>
    <col min="6685" max="6685" width="2.75" style="2" customWidth="1"/>
    <col min="6686" max="6688" width="8.75" style="2" customWidth="1"/>
    <col min="6689" max="6689" width="2.75" style="2" customWidth="1"/>
    <col min="6690" max="6690" width="8.75" style="2" customWidth="1"/>
    <col min="6691" max="6691" width="2.75" style="2" customWidth="1"/>
    <col min="6692" max="6692" width="8.75" style="2" customWidth="1"/>
    <col min="6693" max="6693" width="2.75" style="2" customWidth="1"/>
    <col min="6694" max="6694" width="8.75" style="2" customWidth="1"/>
    <col min="6695" max="6695" width="2.75" style="2" customWidth="1"/>
    <col min="6696" max="6696" width="8.75" style="2" customWidth="1"/>
    <col min="6697" max="6697" width="2.75" style="2" customWidth="1"/>
    <col min="6698" max="6698" width="8.75" style="2" customWidth="1"/>
    <col min="6699" max="6699" width="2.75" style="2" customWidth="1"/>
    <col min="6700" max="6700" width="8.75" style="2" customWidth="1"/>
    <col min="6701" max="6701" width="2.75" style="2" customWidth="1"/>
    <col min="6702" max="6702" width="8.75" style="2" customWidth="1"/>
    <col min="6703" max="6703" width="2.75" style="2" customWidth="1"/>
    <col min="6704" max="6704" width="8.75" style="2" customWidth="1"/>
    <col min="6705" max="6705" width="2.75" style="2" customWidth="1"/>
    <col min="6706" max="6706" width="8.75" style="2" customWidth="1"/>
    <col min="6707" max="6908" width="8.75" style="2"/>
    <col min="6909" max="6909" width="2.75" style="2" customWidth="1"/>
    <col min="6910" max="6910" width="40.75" style="2" customWidth="1"/>
    <col min="6911" max="6911" width="16" style="2" customWidth="1"/>
    <col min="6912" max="6912" width="4.75" style="2" customWidth="1"/>
    <col min="6913" max="6913" width="10.75" style="2" customWidth="1"/>
    <col min="6914" max="6914" width="2.75" style="2" customWidth="1"/>
    <col min="6915" max="6915" width="4.75" style="2" customWidth="1"/>
    <col min="6916" max="6916" width="35.75" style="2" customWidth="1"/>
    <col min="6917" max="6917" width="8.75" style="2" customWidth="1"/>
    <col min="6918" max="6918" width="2.75" style="2" customWidth="1"/>
    <col min="6919" max="6919" width="8.75" style="2" customWidth="1"/>
    <col min="6920" max="6920" width="2.75" style="2" customWidth="1"/>
    <col min="6921" max="6922" width="8.75" style="2" customWidth="1"/>
    <col min="6923" max="6923" width="45.75" style="2" customWidth="1"/>
    <col min="6924" max="6924" width="8.75" style="2" customWidth="1"/>
    <col min="6925" max="6925" width="2.75" style="2" customWidth="1"/>
    <col min="6926" max="6926" width="8.75" style="2" customWidth="1"/>
    <col min="6927" max="6927" width="2.75" style="2" customWidth="1"/>
    <col min="6928" max="6928" width="8.75" style="2" customWidth="1"/>
    <col min="6929" max="6929" width="2.75" style="2" customWidth="1"/>
    <col min="6930" max="6930" width="8.75" style="2" customWidth="1"/>
    <col min="6931" max="6931" width="2.75" style="2" customWidth="1"/>
    <col min="6932" max="6932" width="8.75" style="2" customWidth="1"/>
    <col min="6933" max="6933" width="2.75" style="2" customWidth="1"/>
    <col min="6934" max="6934" width="8.75" style="2" customWidth="1"/>
    <col min="6935" max="6935" width="2.75" style="2" customWidth="1"/>
    <col min="6936" max="6936" width="8.75" style="2" customWidth="1"/>
    <col min="6937" max="6937" width="2.75" style="2" customWidth="1"/>
    <col min="6938" max="6938" width="8.75" style="2" customWidth="1"/>
    <col min="6939" max="6939" width="2.75" style="2" customWidth="1"/>
    <col min="6940" max="6940" width="8.75" style="2" customWidth="1"/>
    <col min="6941" max="6941" width="2.75" style="2" customWidth="1"/>
    <col min="6942" max="6944" width="8.75" style="2" customWidth="1"/>
    <col min="6945" max="6945" width="2.75" style="2" customWidth="1"/>
    <col min="6946" max="6946" width="8.75" style="2" customWidth="1"/>
    <col min="6947" max="6947" width="2.75" style="2" customWidth="1"/>
    <col min="6948" max="6948" width="8.75" style="2" customWidth="1"/>
    <col min="6949" max="6949" width="2.75" style="2" customWidth="1"/>
    <col min="6950" max="6950" width="8.75" style="2" customWidth="1"/>
    <col min="6951" max="6951" width="2.75" style="2" customWidth="1"/>
    <col min="6952" max="6952" width="8.75" style="2" customWidth="1"/>
    <col min="6953" max="6953" width="2.75" style="2" customWidth="1"/>
    <col min="6954" max="6954" width="8.75" style="2" customWidth="1"/>
    <col min="6955" max="6955" width="2.75" style="2" customWidth="1"/>
    <col min="6956" max="6956" width="8.75" style="2" customWidth="1"/>
    <col min="6957" max="6957" width="2.75" style="2" customWidth="1"/>
    <col min="6958" max="6958" width="8.75" style="2" customWidth="1"/>
    <col min="6959" max="6959" width="2.75" style="2" customWidth="1"/>
    <col min="6960" max="6960" width="8.75" style="2" customWidth="1"/>
    <col min="6961" max="6961" width="2.75" style="2" customWidth="1"/>
    <col min="6962" max="6962" width="8.75" style="2" customWidth="1"/>
    <col min="6963" max="7164" width="8.75" style="2"/>
    <col min="7165" max="7165" width="2.75" style="2" customWidth="1"/>
    <col min="7166" max="7166" width="40.75" style="2" customWidth="1"/>
    <col min="7167" max="7167" width="16" style="2" customWidth="1"/>
    <col min="7168" max="7168" width="4.75" style="2" customWidth="1"/>
    <col min="7169" max="7169" width="10.75" style="2" customWidth="1"/>
    <col min="7170" max="7170" width="2.75" style="2" customWidth="1"/>
    <col min="7171" max="7171" width="4.75" style="2" customWidth="1"/>
    <col min="7172" max="7172" width="35.75" style="2" customWidth="1"/>
    <col min="7173" max="7173" width="8.75" style="2" customWidth="1"/>
    <col min="7174" max="7174" width="2.75" style="2" customWidth="1"/>
    <col min="7175" max="7175" width="8.75" style="2" customWidth="1"/>
    <col min="7176" max="7176" width="2.75" style="2" customWidth="1"/>
    <col min="7177" max="7178" width="8.75" style="2" customWidth="1"/>
    <col min="7179" max="7179" width="45.75" style="2" customWidth="1"/>
    <col min="7180" max="7180" width="8.75" style="2" customWidth="1"/>
    <col min="7181" max="7181" width="2.75" style="2" customWidth="1"/>
    <col min="7182" max="7182" width="8.75" style="2" customWidth="1"/>
    <col min="7183" max="7183" width="2.75" style="2" customWidth="1"/>
    <col min="7184" max="7184" width="8.75" style="2" customWidth="1"/>
    <col min="7185" max="7185" width="2.75" style="2" customWidth="1"/>
    <col min="7186" max="7186" width="8.75" style="2" customWidth="1"/>
    <col min="7187" max="7187" width="2.75" style="2" customWidth="1"/>
    <col min="7188" max="7188" width="8.75" style="2" customWidth="1"/>
    <col min="7189" max="7189" width="2.75" style="2" customWidth="1"/>
    <col min="7190" max="7190" width="8.75" style="2" customWidth="1"/>
    <col min="7191" max="7191" width="2.75" style="2" customWidth="1"/>
    <col min="7192" max="7192" width="8.75" style="2" customWidth="1"/>
    <col min="7193" max="7193" width="2.75" style="2" customWidth="1"/>
    <col min="7194" max="7194" width="8.75" style="2" customWidth="1"/>
    <col min="7195" max="7195" width="2.75" style="2" customWidth="1"/>
    <col min="7196" max="7196" width="8.75" style="2" customWidth="1"/>
    <col min="7197" max="7197" width="2.75" style="2" customWidth="1"/>
    <col min="7198" max="7200" width="8.75" style="2" customWidth="1"/>
    <col min="7201" max="7201" width="2.75" style="2" customWidth="1"/>
    <col min="7202" max="7202" width="8.75" style="2" customWidth="1"/>
    <col min="7203" max="7203" width="2.75" style="2" customWidth="1"/>
    <col min="7204" max="7204" width="8.75" style="2" customWidth="1"/>
    <col min="7205" max="7205" width="2.75" style="2" customWidth="1"/>
    <col min="7206" max="7206" width="8.75" style="2" customWidth="1"/>
    <col min="7207" max="7207" width="2.75" style="2" customWidth="1"/>
    <col min="7208" max="7208" width="8.75" style="2" customWidth="1"/>
    <col min="7209" max="7209" width="2.75" style="2" customWidth="1"/>
    <col min="7210" max="7210" width="8.75" style="2" customWidth="1"/>
    <col min="7211" max="7211" width="2.75" style="2" customWidth="1"/>
    <col min="7212" max="7212" width="8.75" style="2" customWidth="1"/>
    <col min="7213" max="7213" width="2.75" style="2" customWidth="1"/>
    <col min="7214" max="7214" width="8.75" style="2" customWidth="1"/>
    <col min="7215" max="7215" width="2.75" style="2" customWidth="1"/>
    <col min="7216" max="7216" width="8.75" style="2" customWidth="1"/>
    <col min="7217" max="7217" width="2.75" style="2" customWidth="1"/>
    <col min="7218" max="7218" width="8.75" style="2" customWidth="1"/>
    <col min="7219" max="7420" width="8.75" style="2"/>
    <col min="7421" max="7421" width="2.75" style="2" customWidth="1"/>
    <col min="7422" max="7422" width="40.75" style="2" customWidth="1"/>
    <col min="7423" max="7423" width="16" style="2" customWidth="1"/>
    <col min="7424" max="7424" width="4.75" style="2" customWidth="1"/>
    <col min="7425" max="7425" width="10.75" style="2" customWidth="1"/>
    <col min="7426" max="7426" width="2.75" style="2" customWidth="1"/>
    <col min="7427" max="7427" width="4.75" style="2" customWidth="1"/>
    <col min="7428" max="7428" width="35.75" style="2" customWidth="1"/>
    <col min="7429" max="7429" width="8.75" style="2" customWidth="1"/>
    <col min="7430" max="7430" width="2.75" style="2" customWidth="1"/>
    <col min="7431" max="7431" width="8.75" style="2" customWidth="1"/>
    <col min="7432" max="7432" width="2.75" style="2" customWidth="1"/>
    <col min="7433" max="7434" width="8.75" style="2" customWidth="1"/>
    <col min="7435" max="7435" width="45.75" style="2" customWidth="1"/>
    <col min="7436" max="7436" width="8.75" style="2" customWidth="1"/>
    <col min="7437" max="7437" width="2.75" style="2" customWidth="1"/>
    <col min="7438" max="7438" width="8.75" style="2" customWidth="1"/>
    <col min="7439" max="7439" width="2.75" style="2" customWidth="1"/>
    <col min="7440" max="7440" width="8.75" style="2" customWidth="1"/>
    <col min="7441" max="7441" width="2.75" style="2" customWidth="1"/>
    <col min="7442" max="7442" width="8.75" style="2" customWidth="1"/>
    <col min="7443" max="7443" width="2.75" style="2" customWidth="1"/>
    <col min="7444" max="7444" width="8.75" style="2" customWidth="1"/>
    <col min="7445" max="7445" width="2.75" style="2" customWidth="1"/>
    <col min="7446" max="7446" width="8.75" style="2" customWidth="1"/>
    <col min="7447" max="7447" width="2.75" style="2" customWidth="1"/>
    <col min="7448" max="7448" width="8.75" style="2" customWidth="1"/>
    <col min="7449" max="7449" width="2.75" style="2" customWidth="1"/>
    <col min="7450" max="7450" width="8.75" style="2" customWidth="1"/>
    <col min="7451" max="7451" width="2.75" style="2" customWidth="1"/>
    <col min="7452" max="7452" width="8.75" style="2" customWidth="1"/>
    <col min="7453" max="7453" width="2.75" style="2" customWidth="1"/>
    <col min="7454" max="7456" width="8.75" style="2" customWidth="1"/>
    <col min="7457" max="7457" width="2.75" style="2" customWidth="1"/>
    <col min="7458" max="7458" width="8.75" style="2" customWidth="1"/>
    <col min="7459" max="7459" width="2.75" style="2" customWidth="1"/>
    <col min="7460" max="7460" width="8.75" style="2" customWidth="1"/>
    <col min="7461" max="7461" width="2.75" style="2" customWidth="1"/>
    <col min="7462" max="7462" width="8.75" style="2" customWidth="1"/>
    <col min="7463" max="7463" width="2.75" style="2" customWidth="1"/>
    <col min="7464" max="7464" width="8.75" style="2" customWidth="1"/>
    <col min="7465" max="7465" width="2.75" style="2" customWidth="1"/>
    <col min="7466" max="7466" width="8.75" style="2" customWidth="1"/>
    <col min="7467" max="7467" width="2.75" style="2" customWidth="1"/>
    <col min="7468" max="7468" width="8.75" style="2" customWidth="1"/>
    <col min="7469" max="7469" width="2.75" style="2" customWidth="1"/>
    <col min="7470" max="7470" width="8.75" style="2" customWidth="1"/>
    <col min="7471" max="7471" width="2.75" style="2" customWidth="1"/>
    <col min="7472" max="7472" width="8.75" style="2" customWidth="1"/>
    <col min="7473" max="7473" width="2.75" style="2" customWidth="1"/>
    <col min="7474" max="7474" width="8.75" style="2" customWidth="1"/>
    <col min="7475" max="7676" width="8.75" style="2"/>
    <col min="7677" max="7677" width="2.75" style="2" customWidth="1"/>
    <col min="7678" max="7678" width="40.75" style="2" customWidth="1"/>
    <col min="7679" max="7679" width="16" style="2" customWidth="1"/>
    <col min="7680" max="7680" width="4.75" style="2" customWidth="1"/>
    <col min="7681" max="7681" width="10.75" style="2" customWidth="1"/>
    <col min="7682" max="7682" width="2.75" style="2" customWidth="1"/>
    <col min="7683" max="7683" width="4.75" style="2" customWidth="1"/>
    <col min="7684" max="7684" width="35.75" style="2" customWidth="1"/>
    <col min="7685" max="7685" width="8.75" style="2" customWidth="1"/>
    <col min="7686" max="7686" width="2.75" style="2" customWidth="1"/>
    <col min="7687" max="7687" width="8.75" style="2" customWidth="1"/>
    <col min="7688" max="7688" width="2.75" style="2" customWidth="1"/>
    <col min="7689" max="7690" width="8.75" style="2" customWidth="1"/>
    <col min="7691" max="7691" width="45.75" style="2" customWidth="1"/>
    <col min="7692" max="7692" width="8.75" style="2" customWidth="1"/>
    <col min="7693" max="7693" width="2.75" style="2" customWidth="1"/>
    <col min="7694" max="7694" width="8.75" style="2" customWidth="1"/>
    <col min="7695" max="7695" width="2.75" style="2" customWidth="1"/>
    <col min="7696" max="7696" width="8.75" style="2" customWidth="1"/>
    <col min="7697" max="7697" width="2.75" style="2" customWidth="1"/>
    <col min="7698" max="7698" width="8.75" style="2" customWidth="1"/>
    <col min="7699" max="7699" width="2.75" style="2" customWidth="1"/>
    <col min="7700" max="7700" width="8.75" style="2" customWidth="1"/>
    <col min="7701" max="7701" width="2.75" style="2" customWidth="1"/>
    <col min="7702" max="7702" width="8.75" style="2" customWidth="1"/>
    <col min="7703" max="7703" width="2.75" style="2" customWidth="1"/>
    <col min="7704" max="7704" width="8.75" style="2" customWidth="1"/>
    <col min="7705" max="7705" width="2.75" style="2" customWidth="1"/>
    <col min="7706" max="7706" width="8.75" style="2" customWidth="1"/>
    <col min="7707" max="7707" width="2.75" style="2" customWidth="1"/>
    <col min="7708" max="7708" width="8.75" style="2" customWidth="1"/>
    <col min="7709" max="7709" width="2.75" style="2" customWidth="1"/>
    <col min="7710" max="7712" width="8.75" style="2" customWidth="1"/>
    <col min="7713" max="7713" width="2.75" style="2" customWidth="1"/>
    <col min="7714" max="7714" width="8.75" style="2" customWidth="1"/>
    <col min="7715" max="7715" width="2.75" style="2" customWidth="1"/>
    <col min="7716" max="7716" width="8.75" style="2" customWidth="1"/>
    <col min="7717" max="7717" width="2.75" style="2" customWidth="1"/>
    <col min="7718" max="7718" width="8.75" style="2" customWidth="1"/>
    <col min="7719" max="7719" width="2.75" style="2" customWidth="1"/>
    <col min="7720" max="7720" width="8.75" style="2" customWidth="1"/>
    <col min="7721" max="7721" width="2.75" style="2" customWidth="1"/>
    <col min="7722" max="7722" width="8.75" style="2" customWidth="1"/>
    <col min="7723" max="7723" width="2.75" style="2" customWidth="1"/>
    <col min="7724" max="7724" width="8.75" style="2" customWidth="1"/>
    <col min="7725" max="7725" width="2.75" style="2" customWidth="1"/>
    <col min="7726" max="7726" width="8.75" style="2" customWidth="1"/>
    <col min="7727" max="7727" width="2.75" style="2" customWidth="1"/>
    <col min="7728" max="7728" width="8.75" style="2" customWidth="1"/>
    <col min="7729" max="7729" width="2.75" style="2" customWidth="1"/>
    <col min="7730" max="7730" width="8.75" style="2" customWidth="1"/>
    <col min="7731" max="7932" width="8.75" style="2"/>
    <col min="7933" max="7933" width="2.75" style="2" customWidth="1"/>
    <col min="7934" max="7934" width="40.75" style="2" customWidth="1"/>
    <col min="7935" max="7935" width="16" style="2" customWidth="1"/>
    <col min="7936" max="7936" width="4.75" style="2" customWidth="1"/>
    <col min="7937" max="7937" width="10.75" style="2" customWidth="1"/>
    <col min="7938" max="7938" width="2.75" style="2" customWidth="1"/>
    <col min="7939" max="7939" width="4.75" style="2" customWidth="1"/>
    <col min="7940" max="7940" width="35.75" style="2" customWidth="1"/>
    <col min="7941" max="7941" width="8.75" style="2" customWidth="1"/>
    <col min="7942" max="7942" width="2.75" style="2" customWidth="1"/>
    <col min="7943" max="7943" width="8.75" style="2" customWidth="1"/>
    <col min="7944" max="7944" width="2.75" style="2" customWidth="1"/>
    <col min="7945" max="7946" width="8.75" style="2" customWidth="1"/>
    <col min="7947" max="7947" width="45.75" style="2" customWidth="1"/>
    <col min="7948" max="7948" width="8.75" style="2" customWidth="1"/>
    <col min="7949" max="7949" width="2.75" style="2" customWidth="1"/>
    <col min="7950" max="7950" width="8.75" style="2" customWidth="1"/>
    <col min="7951" max="7951" width="2.75" style="2" customWidth="1"/>
    <col min="7952" max="7952" width="8.75" style="2" customWidth="1"/>
    <col min="7953" max="7953" width="2.75" style="2" customWidth="1"/>
    <col min="7954" max="7954" width="8.75" style="2" customWidth="1"/>
    <col min="7955" max="7955" width="2.75" style="2" customWidth="1"/>
    <col min="7956" max="7956" width="8.75" style="2" customWidth="1"/>
    <col min="7957" max="7957" width="2.75" style="2" customWidth="1"/>
    <col min="7958" max="7958" width="8.75" style="2" customWidth="1"/>
    <col min="7959" max="7959" width="2.75" style="2" customWidth="1"/>
    <col min="7960" max="7960" width="8.75" style="2" customWidth="1"/>
    <col min="7961" max="7961" width="2.75" style="2" customWidth="1"/>
    <col min="7962" max="7962" width="8.75" style="2" customWidth="1"/>
    <col min="7963" max="7963" width="2.75" style="2" customWidth="1"/>
    <col min="7964" max="7964" width="8.75" style="2" customWidth="1"/>
    <col min="7965" max="7965" width="2.75" style="2" customWidth="1"/>
    <col min="7966" max="7968" width="8.75" style="2" customWidth="1"/>
    <col min="7969" max="7969" width="2.75" style="2" customWidth="1"/>
    <col min="7970" max="7970" width="8.75" style="2" customWidth="1"/>
    <col min="7971" max="7971" width="2.75" style="2" customWidth="1"/>
    <col min="7972" max="7972" width="8.75" style="2" customWidth="1"/>
    <col min="7973" max="7973" width="2.75" style="2" customWidth="1"/>
    <col min="7974" max="7974" width="8.75" style="2" customWidth="1"/>
    <col min="7975" max="7975" width="2.75" style="2" customWidth="1"/>
    <col min="7976" max="7976" width="8.75" style="2" customWidth="1"/>
    <col min="7977" max="7977" width="2.75" style="2" customWidth="1"/>
    <col min="7978" max="7978" width="8.75" style="2" customWidth="1"/>
    <col min="7979" max="7979" width="2.75" style="2" customWidth="1"/>
    <col min="7980" max="7980" width="8.75" style="2" customWidth="1"/>
    <col min="7981" max="7981" width="2.75" style="2" customWidth="1"/>
    <col min="7982" max="7982" width="8.75" style="2" customWidth="1"/>
    <col min="7983" max="7983" width="2.75" style="2" customWidth="1"/>
    <col min="7984" max="7984" width="8.75" style="2" customWidth="1"/>
    <col min="7985" max="7985" width="2.75" style="2" customWidth="1"/>
    <col min="7986" max="7986" width="8.75" style="2" customWidth="1"/>
    <col min="7987" max="8188" width="8.75" style="2"/>
    <col min="8189" max="8189" width="2.75" style="2" customWidth="1"/>
    <col min="8190" max="8190" width="40.75" style="2" customWidth="1"/>
    <col min="8191" max="8191" width="16" style="2" customWidth="1"/>
    <col min="8192" max="8192" width="4.75" style="2" customWidth="1"/>
    <col min="8193" max="8193" width="10.75" style="2" customWidth="1"/>
    <col min="8194" max="8194" width="2.75" style="2" customWidth="1"/>
    <col min="8195" max="8195" width="4.75" style="2" customWidth="1"/>
    <col min="8196" max="8196" width="35.75" style="2" customWidth="1"/>
    <col min="8197" max="8197" width="8.75" style="2" customWidth="1"/>
    <col min="8198" max="8198" width="2.75" style="2" customWidth="1"/>
    <col min="8199" max="8199" width="8.75" style="2" customWidth="1"/>
    <col min="8200" max="8200" width="2.75" style="2" customWidth="1"/>
    <col min="8201" max="8202" width="8.75" style="2" customWidth="1"/>
    <col min="8203" max="8203" width="45.75" style="2" customWidth="1"/>
    <col min="8204" max="8204" width="8.75" style="2" customWidth="1"/>
    <col min="8205" max="8205" width="2.75" style="2" customWidth="1"/>
    <col min="8206" max="8206" width="8.75" style="2" customWidth="1"/>
    <col min="8207" max="8207" width="2.75" style="2" customWidth="1"/>
    <col min="8208" max="8208" width="8.75" style="2" customWidth="1"/>
    <col min="8209" max="8209" width="2.75" style="2" customWidth="1"/>
    <col min="8210" max="8210" width="8.75" style="2" customWidth="1"/>
    <col min="8211" max="8211" width="2.75" style="2" customWidth="1"/>
    <col min="8212" max="8212" width="8.75" style="2" customWidth="1"/>
    <col min="8213" max="8213" width="2.75" style="2" customWidth="1"/>
    <col min="8214" max="8214" width="8.75" style="2" customWidth="1"/>
    <col min="8215" max="8215" width="2.75" style="2" customWidth="1"/>
    <col min="8216" max="8216" width="8.75" style="2" customWidth="1"/>
    <col min="8217" max="8217" width="2.75" style="2" customWidth="1"/>
    <col min="8218" max="8218" width="8.75" style="2" customWidth="1"/>
    <col min="8219" max="8219" width="2.75" style="2" customWidth="1"/>
    <col min="8220" max="8220" width="8.75" style="2" customWidth="1"/>
    <col min="8221" max="8221" width="2.75" style="2" customWidth="1"/>
    <col min="8222" max="8224" width="8.75" style="2" customWidth="1"/>
    <col min="8225" max="8225" width="2.75" style="2" customWidth="1"/>
    <col min="8226" max="8226" width="8.75" style="2" customWidth="1"/>
    <col min="8227" max="8227" width="2.75" style="2" customWidth="1"/>
    <col min="8228" max="8228" width="8.75" style="2" customWidth="1"/>
    <col min="8229" max="8229" width="2.75" style="2" customWidth="1"/>
    <col min="8230" max="8230" width="8.75" style="2" customWidth="1"/>
    <col min="8231" max="8231" width="2.75" style="2" customWidth="1"/>
    <col min="8232" max="8232" width="8.75" style="2" customWidth="1"/>
    <col min="8233" max="8233" width="2.75" style="2" customWidth="1"/>
    <col min="8234" max="8234" width="8.75" style="2" customWidth="1"/>
    <col min="8235" max="8235" width="2.75" style="2" customWidth="1"/>
    <col min="8236" max="8236" width="8.75" style="2" customWidth="1"/>
    <col min="8237" max="8237" width="2.75" style="2" customWidth="1"/>
    <col min="8238" max="8238" width="8.75" style="2" customWidth="1"/>
    <col min="8239" max="8239" width="2.75" style="2" customWidth="1"/>
    <col min="8240" max="8240" width="8.75" style="2" customWidth="1"/>
    <col min="8241" max="8241" width="2.75" style="2" customWidth="1"/>
    <col min="8242" max="8242" width="8.75" style="2" customWidth="1"/>
    <col min="8243" max="8444" width="8.75" style="2"/>
    <col min="8445" max="8445" width="2.75" style="2" customWidth="1"/>
    <col min="8446" max="8446" width="40.75" style="2" customWidth="1"/>
    <col min="8447" max="8447" width="16" style="2" customWidth="1"/>
    <col min="8448" max="8448" width="4.75" style="2" customWidth="1"/>
    <col min="8449" max="8449" width="10.75" style="2" customWidth="1"/>
    <col min="8450" max="8450" width="2.75" style="2" customWidth="1"/>
    <col min="8451" max="8451" width="4.75" style="2" customWidth="1"/>
    <col min="8452" max="8452" width="35.75" style="2" customWidth="1"/>
    <col min="8453" max="8453" width="8.75" style="2" customWidth="1"/>
    <col min="8454" max="8454" width="2.75" style="2" customWidth="1"/>
    <col min="8455" max="8455" width="8.75" style="2" customWidth="1"/>
    <col min="8456" max="8456" width="2.75" style="2" customWidth="1"/>
    <col min="8457" max="8458" width="8.75" style="2" customWidth="1"/>
    <col min="8459" max="8459" width="45.75" style="2" customWidth="1"/>
    <col min="8460" max="8460" width="8.75" style="2" customWidth="1"/>
    <col min="8461" max="8461" width="2.75" style="2" customWidth="1"/>
    <col min="8462" max="8462" width="8.75" style="2" customWidth="1"/>
    <col min="8463" max="8463" width="2.75" style="2" customWidth="1"/>
    <col min="8464" max="8464" width="8.75" style="2" customWidth="1"/>
    <col min="8465" max="8465" width="2.75" style="2" customWidth="1"/>
    <col min="8466" max="8466" width="8.75" style="2" customWidth="1"/>
    <col min="8467" max="8467" width="2.75" style="2" customWidth="1"/>
    <col min="8468" max="8468" width="8.75" style="2" customWidth="1"/>
    <col min="8469" max="8469" width="2.75" style="2" customWidth="1"/>
    <col min="8470" max="8470" width="8.75" style="2" customWidth="1"/>
    <col min="8471" max="8471" width="2.75" style="2" customWidth="1"/>
    <col min="8472" max="8472" width="8.75" style="2" customWidth="1"/>
    <col min="8473" max="8473" width="2.75" style="2" customWidth="1"/>
    <col min="8474" max="8474" width="8.75" style="2" customWidth="1"/>
    <col min="8475" max="8475" width="2.75" style="2" customWidth="1"/>
    <col min="8476" max="8476" width="8.75" style="2" customWidth="1"/>
    <col min="8477" max="8477" width="2.75" style="2" customWidth="1"/>
    <col min="8478" max="8480" width="8.75" style="2" customWidth="1"/>
    <col min="8481" max="8481" width="2.75" style="2" customWidth="1"/>
    <col min="8482" max="8482" width="8.75" style="2" customWidth="1"/>
    <col min="8483" max="8483" width="2.75" style="2" customWidth="1"/>
    <col min="8484" max="8484" width="8.75" style="2" customWidth="1"/>
    <col min="8485" max="8485" width="2.75" style="2" customWidth="1"/>
    <col min="8486" max="8486" width="8.75" style="2" customWidth="1"/>
    <col min="8487" max="8487" width="2.75" style="2" customWidth="1"/>
    <col min="8488" max="8488" width="8.75" style="2" customWidth="1"/>
    <col min="8489" max="8489" width="2.75" style="2" customWidth="1"/>
    <col min="8490" max="8490" width="8.75" style="2" customWidth="1"/>
    <col min="8491" max="8491" width="2.75" style="2" customWidth="1"/>
    <col min="8492" max="8492" width="8.75" style="2" customWidth="1"/>
    <col min="8493" max="8493" width="2.75" style="2" customWidth="1"/>
    <col min="8494" max="8494" width="8.75" style="2" customWidth="1"/>
    <col min="8495" max="8495" width="2.75" style="2" customWidth="1"/>
    <col min="8496" max="8496" width="8.75" style="2" customWidth="1"/>
    <col min="8497" max="8497" width="2.75" style="2" customWidth="1"/>
    <col min="8498" max="8498" width="8.75" style="2" customWidth="1"/>
    <col min="8499" max="8700" width="8.75" style="2"/>
    <col min="8701" max="8701" width="2.75" style="2" customWidth="1"/>
    <col min="8702" max="8702" width="40.75" style="2" customWidth="1"/>
    <col min="8703" max="8703" width="16" style="2" customWidth="1"/>
    <col min="8704" max="8704" width="4.75" style="2" customWidth="1"/>
    <col min="8705" max="8705" width="10.75" style="2" customWidth="1"/>
    <col min="8706" max="8706" width="2.75" style="2" customWidth="1"/>
    <col min="8707" max="8707" width="4.75" style="2" customWidth="1"/>
    <col min="8708" max="8708" width="35.75" style="2" customWidth="1"/>
    <col min="8709" max="8709" width="8.75" style="2" customWidth="1"/>
    <col min="8710" max="8710" width="2.75" style="2" customWidth="1"/>
    <col min="8711" max="8711" width="8.75" style="2" customWidth="1"/>
    <col min="8712" max="8712" width="2.75" style="2" customWidth="1"/>
    <col min="8713" max="8714" width="8.75" style="2" customWidth="1"/>
    <col min="8715" max="8715" width="45.75" style="2" customWidth="1"/>
    <col min="8716" max="8716" width="8.75" style="2" customWidth="1"/>
    <col min="8717" max="8717" width="2.75" style="2" customWidth="1"/>
    <col min="8718" max="8718" width="8.75" style="2" customWidth="1"/>
    <col min="8719" max="8719" width="2.75" style="2" customWidth="1"/>
    <col min="8720" max="8720" width="8.75" style="2" customWidth="1"/>
    <col min="8721" max="8721" width="2.75" style="2" customWidth="1"/>
    <col min="8722" max="8722" width="8.75" style="2" customWidth="1"/>
    <col min="8723" max="8723" width="2.75" style="2" customWidth="1"/>
    <col min="8724" max="8724" width="8.75" style="2" customWidth="1"/>
    <col min="8725" max="8725" width="2.75" style="2" customWidth="1"/>
    <col min="8726" max="8726" width="8.75" style="2" customWidth="1"/>
    <col min="8727" max="8727" width="2.75" style="2" customWidth="1"/>
    <col min="8728" max="8728" width="8.75" style="2" customWidth="1"/>
    <col min="8729" max="8729" width="2.75" style="2" customWidth="1"/>
    <col min="8730" max="8730" width="8.75" style="2" customWidth="1"/>
    <col min="8731" max="8731" width="2.75" style="2" customWidth="1"/>
    <col min="8732" max="8732" width="8.75" style="2" customWidth="1"/>
    <col min="8733" max="8733" width="2.75" style="2" customWidth="1"/>
    <col min="8734" max="8736" width="8.75" style="2" customWidth="1"/>
    <col min="8737" max="8737" width="2.75" style="2" customWidth="1"/>
    <col min="8738" max="8738" width="8.75" style="2" customWidth="1"/>
    <col min="8739" max="8739" width="2.75" style="2" customWidth="1"/>
    <col min="8740" max="8740" width="8.75" style="2" customWidth="1"/>
    <col min="8741" max="8741" width="2.75" style="2" customWidth="1"/>
    <col min="8742" max="8742" width="8.75" style="2" customWidth="1"/>
    <col min="8743" max="8743" width="2.75" style="2" customWidth="1"/>
    <col min="8744" max="8744" width="8.75" style="2" customWidth="1"/>
    <col min="8745" max="8745" width="2.75" style="2" customWidth="1"/>
    <col min="8746" max="8746" width="8.75" style="2" customWidth="1"/>
    <col min="8747" max="8747" width="2.75" style="2" customWidth="1"/>
    <col min="8748" max="8748" width="8.75" style="2" customWidth="1"/>
    <col min="8749" max="8749" width="2.75" style="2" customWidth="1"/>
    <col min="8750" max="8750" width="8.75" style="2" customWidth="1"/>
    <col min="8751" max="8751" width="2.75" style="2" customWidth="1"/>
    <col min="8752" max="8752" width="8.75" style="2" customWidth="1"/>
    <col min="8753" max="8753" width="2.75" style="2" customWidth="1"/>
    <col min="8754" max="8754" width="8.75" style="2" customWidth="1"/>
    <col min="8755" max="8956" width="8.75" style="2"/>
    <col min="8957" max="8957" width="2.75" style="2" customWidth="1"/>
    <col min="8958" max="8958" width="40.75" style="2" customWidth="1"/>
    <col min="8959" max="8959" width="16" style="2" customWidth="1"/>
    <col min="8960" max="8960" width="4.75" style="2" customWidth="1"/>
    <col min="8961" max="8961" width="10.75" style="2" customWidth="1"/>
    <col min="8962" max="8962" width="2.75" style="2" customWidth="1"/>
    <col min="8963" max="8963" width="4.75" style="2" customWidth="1"/>
    <col min="8964" max="8964" width="35.75" style="2" customWidth="1"/>
    <col min="8965" max="8965" width="8.75" style="2" customWidth="1"/>
    <col min="8966" max="8966" width="2.75" style="2" customWidth="1"/>
    <col min="8967" max="8967" width="8.75" style="2" customWidth="1"/>
    <col min="8968" max="8968" width="2.75" style="2" customWidth="1"/>
    <col min="8969" max="8970" width="8.75" style="2" customWidth="1"/>
    <col min="8971" max="8971" width="45.75" style="2" customWidth="1"/>
    <col min="8972" max="8972" width="8.75" style="2" customWidth="1"/>
    <col min="8973" max="8973" width="2.75" style="2" customWidth="1"/>
    <col min="8974" max="8974" width="8.75" style="2" customWidth="1"/>
    <col min="8975" max="8975" width="2.75" style="2" customWidth="1"/>
    <col min="8976" max="8976" width="8.75" style="2" customWidth="1"/>
    <col min="8977" max="8977" width="2.75" style="2" customWidth="1"/>
    <col min="8978" max="8978" width="8.75" style="2" customWidth="1"/>
    <col min="8979" max="8979" width="2.75" style="2" customWidth="1"/>
    <col min="8980" max="8980" width="8.75" style="2" customWidth="1"/>
    <col min="8981" max="8981" width="2.75" style="2" customWidth="1"/>
    <col min="8982" max="8982" width="8.75" style="2" customWidth="1"/>
    <col min="8983" max="8983" width="2.75" style="2" customWidth="1"/>
    <col min="8984" max="8984" width="8.75" style="2" customWidth="1"/>
    <col min="8985" max="8985" width="2.75" style="2" customWidth="1"/>
    <col min="8986" max="8986" width="8.75" style="2" customWidth="1"/>
    <col min="8987" max="8987" width="2.75" style="2" customWidth="1"/>
    <col min="8988" max="8988" width="8.75" style="2" customWidth="1"/>
    <col min="8989" max="8989" width="2.75" style="2" customWidth="1"/>
    <col min="8990" max="8992" width="8.75" style="2" customWidth="1"/>
    <col min="8993" max="8993" width="2.75" style="2" customWidth="1"/>
    <col min="8994" max="8994" width="8.75" style="2" customWidth="1"/>
    <col min="8995" max="8995" width="2.75" style="2" customWidth="1"/>
    <col min="8996" max="8996" width="8.75" style="2" customWidth="1"/>
    <col min="8997" max="8997" width="2.75" style="2" customWidth="1"/>
    <col min="8998" max="8998" width="8.75" style="2" customWidth="1"/>
    <col min="8999" max="8999" width="2.75" style="2" customWidth="1"/>
    <col min="9000" max="9000" width="8.75" style="2" customWidth="1"/>
    <col min="9001" max="9001" width="2.75" style="2" customWidth="1"/>
    <col min="9002" max="9002" width="8.75" style="2" customWidth="1"/>
    <col min="9003" max="9003" width="2.75" style="2" customWidth="1"/>
    <col min="9004" max="9004" width="8.75" style="2" customWidth="1"/>
    <col min="9005" max="9005" width="2.75" style="2" customWidth="1"/>
    <col min="9006" max="9006" width="8.75" style="2" customWidth="1"/>
    <col min="9007" max="9007" width="2.75" style="2" customWidth="1"/>
    <col min="9008" max="9008" width="8.75" style="2" customWidth="1"/>
    <col min="9009" max="9009" width="2.75" style="2" customWidth="1"/>
    <col min="9010" max="9010" width="8.75" style="2" customWidth="1"/>
    <col min="9011" max="9212" width="8.75" style="2"/>
    <col min="9213" max="9213" width="2.75" style="2" customWidth="1"/>
    <col min="9214" max="9214" width="40.75" style="2" customWidth="1"/>
    <col min="9215" max="9215" width="16" style="2" customWidth="1"/>
    <col min="9216" max="9216" width="4.75" style="2" customWidth="1"/>
    <col min="9217" max="9217" width="10.75" style="2" customWidth="1"/>
    <col min="9218" max="9218" width="2.75" style="2" customWidth="1"/>
    <col min="9219" max="9219" width="4.75" style="2" customWidth="1"/>
    <col min="9220" max="9220" width="35.75" style="2" customWidth="1"/>
    <col min="9221" max="9221" width="8.75" style="2" customWidth="1"/>
    <col min="9222" max="9222" width="2.75" style="2" customWidth="1"/>
    <col min="9223" max="9223" width="8.75" style="2" customWidth="1"/>
    <col min="9224" max="9224" width="2.75" style="2" customWidth="1"/>
    <col min="9225" max="9226" width="8.75" style="2" customWidth="1"/>
    <col min="9227" max="9227" width="45.75" style="2" customWidth="1"/>
    <col min="9228" max="9228" width="8.75" style="2" customWidth="1"/>
    <col min="9229" max="9229" width="2.75" style="2" customWidth="1"/>
    <col min="9230" max="9230" width="8.75" style="2" customWidth="1"/>
    <col min="9231" max="9231" width="2.75" style="2" customWidth="1"/>
    <col min="9232" max="9232" width="8.75" style="2" customWidth="1"/>
    <col min="9233" max="9233" width="2.75" style="2" customWidth="1"/>
    <col min="9234" max="9234" width="8.75" style="2" customWidth="1"/>
    <col min="9235" max="9235" width="2.75" style="2" customWidth="1"/>
    <col min="9236" max="9236" width="8.75" style="2" customWidth="1"/>
    <col min="9237" max="9237" width="2.75" style="2" customWidth="1"/>
    <col min="9238" max="9238" width="8.75" style="2" customWidth="1"/>
    <col min="9239" max="9239" width="2.75" style="2" customWidth="1"/>
    <col min="9240" max="9240" width="8.75" style="2" customWidth="1"/>
    <col min="9241" max="9241" width="2.75" style="2" customWidth="1"/>
    <col min="9242" max="9242" width="8.75" style="2" customWidth="1"/>
    <col min="9243" max="9243" width="2.75" style="2" customWidth="1"/>
    <col min="9244" max="9244" width="8.75" style="2" customWidth="1"/>
    <col min="9245" max="9245" width="2.75" style="2" customWidth="1"/>
    <col min="9246" max="9248" width="8.75" style="2" customWidth="1"/>
    <col min="9249" max="9249" width="2.75" style="2" customWidth="1"/>
    <col min="9250" max="9250" width="8.75" style="2" customWidth="1"/>
    <col min="9251" max="9251" width="2.75" style="2" customWidth="1"/>
    <col min="9252" max="9252" width="8.75" style="2" customWidth="1"/>
    <col min="9253" max="9253" width="2.75" style="2" customWidth="1"/>
    <col min="9254" max="9254" width="8.75" style="2" customWidth="1"/>
    <col min="9255" max="9255" width="2.75" style="2" customWidth="1"/>
    <col min="9256" max="9256" width="8.75" style="2" customWidth="1"/>
    <col min="9257" max="9257" width="2.75" style="2" customWidth="1"/>
    <col min="9258" max="9258" width="8.75" style="2" customWidth="1"/>
    <col min="9259" max="9259" width="2.75" style="2" customWidth="1"/>
    <col min="9260" max="9260" width="8.75" style="2" customWidth="1"/>
    <col min="9261" max="9261" width="2.75" style="2" customWidth="1"/>
    <col min="9262" max="9262" width="8.75" style="2" customWidth="1"/>
    <col min="9263" max="9263" width="2.75" style="2" customWidth="1"/>
    <col min="9264" max="9264" width="8.75" style="2" customWidth="1"/>
    <col min="9265" max="9265" width="2.75" style="2" customWidth="1"/>
    <col min="9266" max="9266" width="8.75" style="2" customWidth="1"/>
    <col min="9267" max="9468" width="8.75" style="2"/>
    <col min="9469" max="9469" width="2.75" style="2" customWidth="1"/>
    <col min="9470" max="9470" width="40.75" style="2" customWidth="1"/>
    <col min="9471" max="9471" width="16" style="2" customWidth="1"/>
    <col min="9472" max="9472" width="4.75" style="2" customWidth="1"/>
    <col min="9473" max="9473" width="10.75" style="2" customWidth="1"/>
    <col min="9474" max="9474" width="2.75" style="2" customWidth="1"/>
    <col min="9475" max="9475" width="4.75" style="2" customWidth="1"/>
    <col min="9476" max="9476" width="35.75" style="2" customWidth="1"/>
    <col min="9477" max="9477" width="8.75" style="2" customWidth="1"/>
    <col min="9478" max="9478" width="2.75" style="2" customWidth="1"/>
    <col min="9479" max="9479" width="8.75" style="2" customWidth="1"/>
    <col min="9480" max="9480" width="2.75" style="2" customWidth="1"/>
    <col min="9481" max="9482" width="8.75" style="2" customWidth="1"/>
    <col min="9483" max="9483" width="45.75" style="2" customWidth="1"/>
    <col min="9484" max="9484" width="8.75" style="2" customWidth="1"/>
    <col min="9485" max="9485" width="2.75" style="2" customWidth="1"/>
    <col min="9486" max="9486" width="8.75" style="2" customWidth="1"/>
    <col min="9487" max="9487" width="2.75" style="2" customWidth="1"/>
    <col min="9488" max="9488" width="8.75" style="2" customWidth="1"/>
    <col min="9489" max="9489" width="2.75" style="2" customWidth="1"/>
    <col min="9490" max="9490" width="8.75" style="2" customWidth="1"/>
    <col min="9491" max="9491" width="2.75" style="2" customWidth="1"/>
    <col min="9492" max="9492" width="8.75" style="2" customWidth="1"/>
    <col min="9493" max="9493" width="2.75" style="2" customWidth="1"/>
    <col min="9494" max="9494" width="8.75" style="2" customWidth="1"/>
    <col min="9495" max="9495" width="2.75" style="2" customWidth="1"/>
    <col min="9496" max="9496" width="8.75" style="2" customWidth="1"/>
    <col min="9497" max="9497" width="2.75" style="2" customWidth="1"/>
    <col min="9498" max="9498" width="8.75" style="2" customWidth="1"/>
    <col min="9499" max="9499" width="2.75" style="2" customWidth="1"/>
    <col min="9500" max="9500" width="8.75" style="2" customWidth="1"/>
    <col min="9501" max="9501" width="2.75" style="2" customWidth="1"/>
    <col min="9502" max="9504" width="8.75" style="2" customWidth="1"/>
    <col min="9505" max="9505" width="2.75" style="2" customWidth="1"/>
    <col min="9506" max="9506" width="8.75" style="2" customWidth="1"/>
    <col min="9507" max="9507" width="2.75" style="2" customWidth="1"/>
    <col min="9508" max="9508" width="8.75" style="2" customWidth="1"/>
    <col min="9509" max="9509" width="2.75" style="2" customWidth="1"/>
    <col min="9510" max="9510" width="8.75" style="2" customWidth="1"/>
    <col min="9511" max="9511" width="2.75" style="2" customWidth="1"/>
    <col min="9512" max="9512" width="8.75" style="2" customWidth="1"/>
    <col min="9513" max="9513" width="2.75" style="2" customWidth="1"/>
    <col min="9514" max="9514" width="8.75" style="2" customWidth="1"/>
    <col min="9515" max="9515" width="2.75" style="2" customWidth="1"/>
    <col min="9516" max="9516" width="8.75" style="2" customWidth="1"/>
    <col min="9517" max="9517" width="2.75" style="2" customWidth="1"/>
    <col min="9518" max="9518" width="8.75" style="2" customWidth="1"/>
    <col min="9519" max="9519" width="2.75" style="2" customWidth="1"/>
    <col min="9520" max="9520" width="8.75" style="2" customWidth="1"/>
    <col min="9521" max="9521" width="2.75" style="2" customWidth="1"/>
    <col min="9522" max="9522" width="8.75" style="2" customWidth="1"/>
    <col min="9523" max="9724" width="8.75" style="2"/>
    <col min="9725" max="9725" width="2.75" style="2" customWidth="1"/>
    <col min="9726" max="9726" width="40.75" style="2" customWidth="1"/>
    <col min="9727" max="9727" width="16" style="2" customWidth="1"/>
    <col min="9728" max="9728" width="4.75" style="2" customWidth="1"/>
    <col min="9729" max="9729" width="10.75" style="2" customWidth="1"/>
    <col min="9730" max="9730" width="2.75" style="2" customWidth="1"/>
    <col min="9731" max="9731" width="4.75" style="2" customWidth="1"/>
    <col min="9732" max="9732" width="35.75" style="2" customWidth="1"/>
    <col min="9733" max="9733" width="8.75" style="2" customWidth="1"/>
    <col min="9734" max="9734" width="2.75" style="2" customWidth="1"/>
    <col min="9735" max="9735" width="8.75" style="2" customWidth="1"/>
    <col min="9736" max="9736" width="2.75" style="2" customWidth="1"/>
    <col min="9737" max="9738" width="8.75" style="2" customWidth="1"/>
    <col min="9739" max="9739" width="45.75" style="2" customWidth="1"/>
    <col min="9740" max="9740" width="8.75" style="2" customWidth="1"/>
    <col min="9741" max="9741" width="2.75" style="2" customWidth="1"/>
    <col min="9742" max="9742" width="8.75" style="2" customWidth="1"/>
    <col min="9743" max="9743" width="2.75" style="2" customWidth="1"/>
    <col min="9744" max="9744" width="8.75" style="2" customWidth="1"/>
    <col min="9745" max="9745" width="2.75" style="2" customWidth="1"/>
    <col min="9746" max="9746" width="8.75" style="2" customWidth="1"/>
    <col min="9747" max="9747" width="2.75" style="2" customWidth="1"/>
    <col min="9748" max="9748" width="8.75" style="2" customWidth="1"/>
    <col min="9749" max="9749" width="2.75" style="2" customWidth="1"/>
    <col min="9750" max="9750" width="8.75" style="2" customWidth="1"/>
    <col min="9751" max="9751" width="2.75" style="2" customWidth="1"/>
    <col min="9752" max="9752" width="8.75" style="2" customWidth="1"/>
    <col min="9753" max="9753" width="2.75" style="2" customWidth="1"/>
    <col min="9754" max="9754" width="8.75" style="2" customWidth="1"/>
    <col min="9755" max="9755" width="2.75" style="2" customWidth="1"/>
    <col min="9756" max="9756" width="8.75" style="2" customWidth="1"/>
    <col min="9757" max="9757" width="2.75" style="2" customWidth="1"/>
    <col min="9758" max="9760" width="8.75" style="2" customWidth="1"/>
    <col min="9761" max="9761" width="2.75" style="2" customWidth="1"/>
    <col min="9762" max="9762" width="8.75" style="2" customWidth="1"/>
    <col min="9763" max="9763" width="2.75" style="2" customWidth="1"/>
    <col min="9764" max="9764" width="8.75" style="2" customWidth="1"/>
    <col min="9765" max="9765" width="2.75" style="2" customWidth="1"/>
    <col min="9766" max="9766" width="8.75" style="2" customWidth="1"/>
    <col min="9767" max="9767" width="2.75" style="2" customWidth="1"/>
    <col min="9768" max="9768" width="8.75" style="2" customWidth="1"/>
    <col min="9769" max="9769" width="2.75" style="2" customWidth="1"/>
    <col min="9770" max="9770" width="8.75" style="2" customWidth="1"/>
    <col min="9771" max="9771" width="2.75" style="2" customWidth="1"/>
    <col min="9772" max="9772" width="8.75" style="2" customWidth="1"/>
    <col min="9773" max="9773" width="2.75" style="2" customWidth="1"/>
    <col min="9774" max="9774" width="8.75" style="2" customWidth="1"/>
    <col min="9775" max="9775" width="2.75" style="2" customWidth="1"/>
    <col min="9776" max="9776" width="8.75" style="2" customWidth="1"/>
    <col min="9777" max="9777" width="2.75" style="2" customWidth="1"/>
    <col min="9778" max="9778" width="8.75" style="2" customWidth="1"/>
    <col min="9779" max="9980" width="8.75" style="2"/>
    <col min="9981" max="9981" width="2.75" style="2" customWidth="1"/>
    <col min="9982" max="9982" width="40.75" style="2" customWidth="1"/>
    <col min="9983" max="9983" width="16" style="2" customWidth="1"/>
    <col min="9984" max="9984" width="4.75" style="2" customWidth="1"/>
    <col min="9985" max="9985" width="10.75" style="2" customWidth="1"/>
    <col min="9986" max="9986" width="2.75" style="2" customWidth="1"/>
    <col min="9987" max="9987" width="4.75" style="2" customWidth="1"/>
    <col min="9988" max="9988" width="35.75" style="2" customWidth="1"/>
    <col min="9989" max="9989" width="8.75" style="2" customWidth="1"/>
    <col min="9990" max="9990" width="2.75" style="2" customWidth="1"/>
    <col min="9991" max="9991" width="8.75" style="2" customWidth="1"/>
    <col min="9992" max="9992" width="2.75" style="2" customWidth="1"/>
    <col min="9993" max="9994" width="8.75" style="2" customWidth="1"/>
    <col min="9995" max="9995" width="45.75" style="2" customWidth="1"/>
    <col min="9996" max="9996" width="8.75" style="2" customWidth="1"/>
    <col min="9997" max="9997" width="2.75" style="2" customWidth="1"/>
    <col min="9998" max="9998" width="8.75" style="2" customWidth="1"/>
    <col min="9999" max="9999" width="2.75" style="2" customWidth="1"/>
    <col min="10000" max="10000" width="8.75" style="2" customWidth="1"/>
    <col min="10001" max="10001" width="2.75" style="2" customWidth="1"/>
    <col min="10002" max="10002" width="8.75" style="2" customWidth="1"/>
    <col min="10003" max="10003" width="2.75" style="2" customWidth="1"/>
    <col min="10004" max="10004" width="8.75" style="2" customWidth="1"/>
    <col min="10005" max="10005" width="2.75" style="2" customWidth="1"/>
    <col min="10006" max="10006" width="8.75" style="2" customWidth="1"/>
    <col min="10007" max="10007" width="2.75" style="2" customWidth="1"/>
    <col min="10008" max="10008" width="8.75" style="2" customWidth="1"/>
    <col min="10009" max="10009" width="2.75" style="2" customWidth="1"/>
    <col min="10010" max="10010" width="8.75" style="2" customWidth="1"/>
    <col min="10011" max="10011" width="2.75" style="2" customWidth="1"/>
    <col min="10012" max="10012" width="8.75" style="2" customWidth="1"/>
    <col min="10013" max="10013" width="2.75" style="2" customWidth="1"/>
    <col min="10014" max="10016" width="8.75" style="2" customWidth="1"/>
    <col min="10017" max="10017" width="2.75" style="2" customWidth="1"/>
    <col min="10018" max="10018" width="8.75" style="2" customWidth="1"/>
    <col min="10019" max="10019" width="2.75" style="2" customWidth="1"/>
    <col min="10020" max="10020" width="8.75" style="2" customWidth="1"/>
    <col min="10021" max="10021" width="2.75" style="2" customWidth="1"/>
    <col min="10022" max="10022" width="8.75" style="2" customWidth="1"/>
    <col min="10023" max="10023" width="2.75" style="2" customWidth="1"/>
    <col min="10024" max="10024" width="8.75" style="2" customWidth="1"/>
    <col min="10025" max="10025" width="2.75" style="2" customWidth="1"/>
    <col min="10026" max="10026" width="8.75" style="2" customWidth="1"/>
    <col min="10027" max="10027" width="2.75" style="2" customWidth="1"/>
    <col min="10028" max="10028" width="8.75" style="2" customWidth="1"/>
    <col min="10029" max="10029" width="2.75" style="2" customWidth="1"/>
    <col min="10030" max="10030" width="8.75" style="2" customWidth="1"/>
    <col min="10031" max="10031" width="2.75" style="2" customWidth="1"/>
    <col min="10032" max="10032" width="8.75" style="2" customWidth="1"/>
    <col min="10033" max="10033" width="2.75" style="2" customWidth="1"/>
    <col min="10034" max="10034" width="8.75" style="2" customWidth="1"/>
    <col min="10035" max="10236" width="8.75" style="2"/>
    <col min="10237" max="10237" width="2.75" style="2" customWidth="1"/>
    <col min="10238" max="10238" width="40.75" style="2" customWidth="1"/>
    <col min="10239" max="10239" width="16" style="2" customWidth="1"/>
    <col min="10240" max="10240" width="4.75" style="2" customWidth="1"/>
    <col min="10241" max="10241" width="10.75" style="2" customWidth="1"/>
    <col min="10242" max="10242" width="2.75" style="2" customWidth="1"/>
    <col min="10243" max="10243" width="4.75" style="2" customWidth="1"/>
    <col min="10244" max="10244" width="35.75" style="2" customWidth="1"/>
    <col min="10245" max="10245" width="8.75" style="2" customWidth="1"/>
    <col min="10246" max="10246" width="2.75" style="2" customWidth="1"/>
    <col min="10247" max="10247" width="8.75" style="2" customWidth="1"/>
    <col min="10248" max="10248" width="2.75" style="2" customWidth="1"/>
    <col min="10249" max="10250" width="8.75" style="2" customWidth="1"/>
    <col min="10251" max="10251" width="45.75" style="2" customWidth="1"/>
    <col min="10252" max="10252" width="8.75" style="2" customWidth="1"/>
    <col min="10253" max="10253" width="2.75" style="2" customWidth="1"/>
    <col min="10254" max="10254" width="8.75" style="2" customWidth="1"/>
    <col min="10255" max="10255" width="2.75" style="2" customWidth="1"/>
    <col min="10256" max="10256" width="8.75" style="2" customWidth="1"/>
    <col min="10257" max="10257" width="2.75" style="2" customWidth="1"/>
    <col min="10258" max="10258" width="8.75" style="2" customWidth="1"/>
    <col min="10259" max="10259" width="2.75" style="2" customWidth="1"/>
    <col min="10260" max="10260" width="8.75" style="2" customWidth="1"/>
    <col min="10261" max="10261" width="2.75" style="2" customWidth="1"/>
    <col min="10262" max="10262" width="8.75" style="2" customWidth="1"/>
    <col min="10263" max="10263" width="2.75" style="2" customWidth="1"/>
    <col min="10264" max="10264" width="8.75" style="2" customWidth="1"/>
    <col min="10265" max="10265" width="2.75" style="2" customWidth="1"/>
    <col min="10266" max="10266" width="8.75" style="2" customWidth="1"/>
    <col min="10267" max="10267" width="2.75" style="2" customWidth="1"/>
    <col min="10268" max="10268" width="8.75" style="2" customWidth="1"/>
    <col min="10269" max="10269" width="2.75" style="2" customWidth="1"/>
    <col min="10270" max="10272" width="8.75" style="2" customWidth="1"/>
    <col min="10273" max="10273" width="2.75" style="2" customWidth="1"/>
    <col min="10274" max="10274" width="8.75" style="2" customWidth="1"/>
    <col min="10275" max="10275" width="2.75" style="2" customWidth="1"/>
    <col min="10276" max="10276" width="8.75" style="2" customWidth="1"/>
    <col min="10277" max="10277" width="2.75" style="2" customWidth="1"/>
    <col min="10278" max="10278" width="8.75" style="2" customWidth="1"/>
    <col min="10279" max="10279" width="2.75" style="2" customWidth="1"/>
    <col min="10280" max="10280" width="8.75" style="2" customWidth="1"/>
    <col min="10281" max="10281" width="2.75" style="2" customWidth="1"/>
    <col min="10282" max="10282" width="8.75" style="2" customWidth="1"/>
    <col min="10283" max="10283" width="2.75" style="2" customWidth="1"/>
    <col min="10284" max="10284" width="8.75" style="2" customWidth="1"/>
    <col min="10285" max="10285" width="2.75" style="2" customWidth="1"/>
    <col min="10286" max="10286" width="8.75" style="2" customWidth="1"/>
    <col min="10287" max="10287" width="2.75" style="2" customWidth="1"/>
    <col min="10288" max="10288" width="8.75" style="2" customWidth="1"/>
    <col min="10289" max="10289" width="2.75" style="2" customWidth="1"/>
    <col min="10290" max="10290" width="8.75" style="2" customWidth="1"/>
    <col min="10291" max="10492" width="8.75" style="2"/>
    <col min="10493" max="10493" width="2.75" style="2" customWidth="1"/>
    <col min="10494" max="10494" width="40.75" style="2" customWidth="1"/>
    <col min="10495" max="10495" width="16" style="2" customWidth="1"/>
    <col min="10496" max="10496" width="4.75" style="2" customWidth="1"/>
    <col min="10497" max="10497" width="10.75" style="2" customWidth="1"/>
    <col min="10498" max="10498" width="2.75" style="2" customWidth="1"/>
    <col min="10499" max="10499" width="4.75" style="2" customWidth="1"/>
    <col min="10500" max="10500" width="35.75" style="2" customWidth="1"/>
    <col min="10501" max="10501" width="8.75" style="2" customWidth="1"/>
    <col min="10502" max="10502" width="2.75" style="2" customWidth="1"/>
    <col min="10503" max="10503" width="8.75" style="2" customWidth="1"/>
    <col min="10504" max="10504" width="2.75" style="2" customWidth="1"/>
    <col min="10505" max="10506" width="8.75" style="2" customWidth="1"/>
    <col min="10507" max="10507" width="45.75" style="2" customWidth="1"/>
    <col min="10508" max="10508" width="8.75" style="2" customWidth="1"/>
    <col min="10509" max="10509" width="2.75" style="2" customWidth="1"/>
    <col min="10510" max="10510" width="8.75" style="2" customWidth="1"/>
    <col min="10511" max="10511" width="2.75" style="2" customWidth="1"/>
    <col min="10512" max="10512" width="8.75" style="2" customWidth="1"/>
    <col min="10513" max="10513" width="2.75" style="2" customWidth="1"/>
    <col min="10514" max="10514" width="8.75" style="2" customWidth="1"/>
    <col min="10515" max="10515" width="2.75" style="2" customWidth="1"/>
    <col min="10516" max="10516" width="8.75" style="2" customWidth="1"/>
    <col min="10517" max="10517" width="2.75" style="2" customWidth="1"/>
    <col min="10518" max="10518" width="8.75" style="2" customWidth="1"/>
    <col min="10519" max="10519" width="2.75" style="2" customWidth="1"/>
    <col min="10520" max="10520" width="8.75" style="2" customWidth="1"/>
    <col min="10521" max="10521" width="2.75" style="2" customWidth="1"/>
    <col min="10522" max="10522" width="8.75" style="2" customWidth="1"/>
    <col min="10523" max="10523" width="2.75" style="2" customWidth="1"/>
    <col min="10524" max="10524" width="8.75" style="2" customWidth="1"/>
    <col min="10525" max="10525" width="2.75" style="2" customWidth="1"/>
    <col min="10526" max="10528" width="8.75" style="2" customWidth="1"/>
    <col min="10529" max="10529" width="2.75" style="2" customWidth="1"/>
    <col min="10530" max="10530" width="8.75" style="2" customWidth="1"/>
    <col min="10531" max="10531" width="2.75" style="2" customWidth="1"/>
    <col min="10532" max="10532" width="8.75" style="2" customWidth="1"/>
    <col min="10533" max="10533" width="2.75" style="2" customWidth="1"/>
    <col min="10534" max="10534" width="8.75" style="2" customWidth="1"/>
    <col min="10535" max="10535" width="2.75" style="2" customWidth="1"/>
    <col min="10536" max="10536" width="8.75" style="2" customWidth="1"/>
    <col min="10537" max="10537" width="2.75" style="2" customWidth="1"/>
    <col min="10538" max="10538" width="8.75" style="2" customWidth="1"/>
    <col min="10539" max="10539" width="2.75" style="2" customWidth="1"/>
    <col min="10540" max="10540" width="8.75" style="2" customWidth="1"/>
    <col min="10541" max="10541" width="2.75" style="2" customWidth="1"/>
    <col min="10542" max="10542" width="8.75" style="2" customWidth="1"/>
    <col min="10543" max="10543" width="2.75" style="2" customWidth="1"/>
    <col min="10544" max="10544" width="8.75" style="2" customWidth="1"/>
    <col min="10545" max="10545" width="2.75" style="2" customWidth="1"/>
    <col min="10546" max="10546" width="8.75" style="2" customWidth="1"/>
    <col min="10547" max="10748" width="8.75" style="2"/>
    <col min="10749" max="10749" width="2.75" style="2" customWidth="1"/>
    <col min="10750" max="10750" width="40.75" style="2" customWidth="1"/>
    <col min="10751" max="10751" width="16" style="2" customWidth="1"/>
    <col min="10752" max="10752" width="4.75" style="2" customWidth="1"/>
    <col min="10753" max="10753" width="10.75" style="2" customWidth="1"/>
    <col min="10754" max="10754" width="2.75" style="2" customWidth="1"/>
    <col min="10755" max="10755" width="4.75" style="2" customWidth="1"/>
    <col min="10756" max="10756" width="35.75" style="2" customWidth="1"/>
    <col min="10757" max="10757" width="8.75" style="2" customWidth="1"/>
    <col min="10758" max="10758" width="2.75" style="2" customWidth="1"/>
    <col min="10759" max="10759" width="8.75" style="2" customWidth="1"/>
    <col min="10760" max="10760" width="2.75" style="2" customWidth="1"/>
    <col min="10761" max="10762" width="8.75" style="2" customWidth="1"/>
    <col min="10763" max="10763" width="45.75" style="2" customWidth="1"/>
    <col min="10764" max="10764" width="8.75" style="2" customWidth="1"/>
    <col min="10765" max="10765" width="2.75" style="2" customWidth="1"/>
    <col min="10766" max="10766" width="8.75" style="2" customWidth="1"/>
    <col min="10767" max="10767" width="2.75" style="2" customWidth="1"/>
    <col min="10768" max="10768" width="8.75" style="2" customWidth="1"/>
    <col min="10769" max="10769" width="2.75" style="2" customWidth="1"/>
    <col min="10770" max="10770" width="8.75" style="2" customWidth="1"/>
    <col min="10771" max="10771" width="2.75" style="2" customWidth="1"/>
    <col min="10772" max="10772" width="8.75" style="2" customWidth="1"/>
    <col min="10773" max="10773" width="2.75" style="2" customWidth="1"/>
    <col min="10774" max="10774" width="8.75" style="2" customWidth="1"/>
    <col min="10775" max="10775" width="2.75" style="2" customWidth="1"/>
    <col min="10776" max="10776" width="8.75" style="2" customWidth="1"/>
    <col min="10777" max="10777" width="2.75" style="2" customWidth="1"/>
    <col min="10778" max="10778" width="8.75" style="2" customWidth="1"/>
    <col min="10779" max="10779" width="2.75" style="2" customWidth="1"/>
    <col min="10780" max="10780" width="8.75" style="2" customWidth="1"/>
    <col min="10781" max="10781" width="2.75" style="2" customWidth="1"/>
    <col min="10782" max="10784" width="8.75" style="2" customWidth="1"/>
    <col min="10785" max="10785" width="2.75" style="2" customWidth="1"/>
    <col min="10786" max="10786" width="8.75" style="2" customWidth="1"/>
    <col min="10787" max="10787" width="2.75" style="2" customWidth="1"/>
    <col min="10788" max="10788" width="8.75" style="2" customWidth="1"/>
    <col min="10789" max="10789" width="2.75" style="2" customWidth="1"/>
    <col min="10790" max="10790" width="8.75" style="2" customWidth="1"/>
    <col min="10791" max="10791" width="2.75" style="2" customWidth="1"/>
    <col min="10792" max="10792" width="8.75" style="2" customWidth="1"/>
    <col min="10793" max="10793" width="2.75" style="2" customWidth="1"/>
    <col min="10794" max="10794" width="8.75" style="2" customWidth="1"/>
    <col min="10795" max="10795" width="2.75" style="2" customWidth="1"/>
    <col min="10796" max="10796" width="8.75" style="2" customWidth="1"/>
    <col min="10797" max="10797" width="2.75" style="2" customWidth="1"/>
    <col min="10798" max="10798" width="8.75" style="2" customWidth="1"/>
    <col min="10799" max="10799" width="2.75" style="2" customWidth="1"/>
    <col min="10800" max="10800" width="8.75" style="2" customWidth="1"/>
    <col min="10801" max="10801" width="2.75" style="2" customWidth="1"/>
    <col min="10802" max="10802" width="8.75" style="2" customWidth="1"/>
    <col min="10803" max="11004" width="8.75" style="2"/>
    <col min="11005" max="11005" width="2.75" style="2" customWidth="1"/>
    <col min="11006" max="11006" width="40.75" style="2" customWidth="1"/>
    <col min="11007" max="11007" width="16" style="2" customWidth="1"/>
    <col min="11008" max="11008" width="4.75" style="2" customWidth="1"/>
    <col min="11009" max="11009" width="10.75" style="2" customWidth="1"/>
    <col min="11010" max="11010" width="2.75" style="2" customWidth="1"/>
    <col min="11011" max="11011" width="4.75" style="2" customWidth="1"/>
    <col min="11012" max="11012" width="35.75" style="2" customWidth="1"/>
    <col min="11013" max="11013" width="8.75" style="2" customWidth="1"/>
    <col min="11014" max="11014" width="2.75" style="2" customWidth="1"/>
    <col min="11015" max="11015" width="8.75" style="2" customWidth="1"/>
    <col min="11016" max="11016" width="2.75" style="2" customWidth="1"/>
    <col min="11017" max="11018" width="8.75" style="2" customWidth="1"/>
    <col min="11019" max="11019" width="45.75" style="2" customWidth="1"/>
    <col min="11020" max="11020" width="8.75" style="2" customWidth="1"/>
    <col min="11021" max="11021" width="2.75" style="2" customWidth="1"/>
    <col min="11022" max="11022" width="8.75" style="2" customWidth="1"/>
    <col min="11023" max="11023" width="2.75" style="2" customWidth="1"/>
    <col min="11024" max="11024" width="8.75" style="2" customWidth="1"/>
    <col min="11025" max="11025" width="2.75" style="2" customWidth="1"/>
    <col min="11026" max="11026" width="8.75" style="2" customWidth="1"/>
    <col min="11027" max="11027" width="2.75" style="2" customWidth="1"/>
    <col min="11028" max="11028" width="8.75" style="2" customWidth="1"/>
    <col min="11029" max="11029" width="2.75" style="2" customWidth="1"/>
    <col min="11030" max="11030" width="8.75" style="2" customWidth="1"/>
    <col min="11031" max="11031" width="2.75" style="2" customWidth="1"/>
    <col min="11032" max="11032" width="8.75" style="2" customWidth="1"/>
    <col min="11033" max="11033" width="2.75" style="2" customWidth="1"/>
    <col min="11034" max="11034" width="8.75" style="2" customWidth="1"/>
    <col min="11035" max="11035" width="2.75" style="2" customWidth="1"/>
    <col min="11036" max="11036" width="8.75" style="2" customWidth="1"/>
    <col min="11037" max="11037" width="2.75" style="2" customWidth="1"/>
    <col min="11038" max="11040" width="8.75" style="2" customWidth="1"/>
    <col min="11041" max="11041" width="2.75" style="2" customWidth="1"/>
    <col min="11042" max="11042" width="8.75" style="2" customWidth="1"/>
    <col min="11043" max="11043" width="2.75" style="2" customWidth="1"/>
    <col min="11044" max="11044" width="8.75" style="2" customWidth="1"/>
    <col min="11045" max="11045" width="2.75" style="2" customWidth="1"/>
    <col min="11046" max="11046" width="8.75" style="2" customWidth="1"/>
    <col min="11047" max="11047" width="2.75" style="2" customWidth="1"/>
    <col min="11048" max="11048" width="8.75" style="2" customWidth="1"/>
    <col min="11049" max="11049" width="2.75" style="2" customWidth="1"/>
    <col min="11050" max="11050" width="8.75" style="2" customWidth="1"/>
    <col min="11051" max="11051" width="2.75" style="2" customWidth="1"/>
    <col min="11052" max="11052" width="8.75" style="2" customWidth="1"/>
    <col min="11053" max="11053" width="2.75" style="2" customWidth="1"/>
    <col min="11054" max="11054" width="8.75" style="2" customWidth="1"/>
    <col min="11055" max="11055" width="2.75" style="2" customWidth="1"/>
    <col min="11056" max="11056" width="8.75" style="2" customWidth="1"/>
    <col min="11057" max="11057" width="2.75" style="2" customWidth="1"/>
    <col min="11058" max="11058" width="8.75" style="2" customWidth="1"/>
    <col min="11059" max="11260" width="8.75" style="2"/>
    <col min="11261" max="11261" width="2.75" style="2" customWidth="1"/>
    <col min="11262" max="11262" width="40.75" style="2" customWidth="1"/>
    <col min="11263" max="11263" width="16" style="2" customWidth="1"/>
    <col min="11264" max="11264" width="4.75" style="2" customWidth="1"/>
    <col min="11265" max="11265" width="10.75" style="2" customWidth="1"/>
    <col min="11266" max="11266" width="2.75" style="2" customWidth="1"/>
    <col min="11267" max="11267" width="4.75" style="2" customWidth="1"/>
    <col min="11268" max="11268" width="35.75" style="2" customWidth="1"/>
    <col min="11269" max="11269" width="8.75" style="2" customWidth="1"/>
    <col min="11270" max="11270" width="2.75" style="2" customWidth="1"/>
    <col min="11271" max="11271" width="8.75" style="2" customWidth="1"/>
    <col min="11272" max="11272" width="2.75" style="2" customWidth="1"/>
    <col min="11273" max="11274" width="8.75" style="2" customWidth="1"/>
    <col min="11275" max="11275" width="45.75" style="2" customWidth="1"/>
    <col min="11276" max="11276" width="8.75" style="2" customWidth="1"/>
    <col min="11277" max="11277" width="2.75" style="2" customWidth="1"/>
    <col min="11278" max="11278" width="8.75" style="2" customWidth="1"/>
    <col min="11279" max="11279" width="2.75" style="2" customWidth="1"/>
    <col min="11280" max="11280" width="8.75" style="2" customWidth="1"/>
    <col min="11281" max="11281" width="2.75" style="2" customWidth="1"/>
    <col min="11282" max="11282" width="8.75" style="2" customWidth="1"/>
    <col min="11283" max="11283" width="2.75" style="2" customWidth="1"/>
    <col min="11284" max="11284" width="8.75" style="2" customWidth="1"/>
    <col min="11285" max="11285" width="2.75" style="2" customWidth="1"/>
    <col min="11286" max="11286" width="8.75" style="2" customWidth="1"/>
    <col min="11287" max="11287" width="2.75" style="2" customWidth="1"/>
    <col min="11288" max="11288" width="8.75" style="2" customWidth="1"/>
    <col min="11289" max="11289" width="2.75" style="2" customWidth="1"/>
    <col min="11290" max="11290" width="8.75" style="2" customWidth="1"/>
    <col min="11291" max="11291" width="2.75" style="2" customWidth="1"/>
    <col min="11292" max="11292" width="8.75" style="2" customWidth="1"/>
    <col min="11293" max="11293" width="2.75" style="2" customWidth="1"/>
    <col min="11294" max="11296" width="8.75" style="2" customWidth="1"/>
    <col min="11297" max="11297" width="2.75" style="2" customWidth="1"/>
    <col min="11298" max="11298" width="8.75" style="2" customWidth="1"/>
    <col min="11299" max="11299" width="2.75" style="2" customWidth="1"/>
    <col min="11300" max="11300" width="8.75" style="2" customWidth="1"/>
    <col min="11301" max="11301" width="2.75" style="2" customWidth="1"/>
    <col min="11302" max="11302" width="8.75" style="2" customWidth="1"/>
    <col min="11303" max="11303" width="2.75" style="2" customWidth="1"/>
    <col min="11304" max="11304" width="8.75" style="2" customWidth="1"/>
    <col min="11305" max="11305" width="2.75" style="2" customWidth="1"/>
    <col min="11306" max="11306" width="8.75" style="2" customWidth="1"/>
    <col min="11307" max="11307" width="2.75" style="2" customWidth="1"/>
    <col min="11308" max="11308" width="8.75" style="2" customWidth="1"/>
    <col min="11309" max="11309" width="2.75" style="2" customWidth="1"/>
    <col min="11310" max="11310" width="8.75" style="2" customWidth="1"/>
    <col min="11311" max="11311" width="2.75" style="2" customWidth="1"/>
    <col min="11312" max="11312" width="8.75" style="2" customWidth="1"/>
    <col min="11313" max="11313" width="2.75" style="2" customWidth="1"/>
    <col min="11314" max="11314" width="8.75" style="2" customWidth="1"/>
    <col min="11315" max="11516" width="8.75" style="2"/>
    <col min="11517" max="11517" width="2.75" style="2" customWidth="1"/>
    <col min="11518" max="11518" width="40.75" style="2" customWidth="1"/>
    <col min="11519" max="11519" width="16" style="2" customWidth="1"/>
    <col min="11520" max="11520" width="4.75" style="2" customWidth="1"/>
    <col min="11521" max="11521" width="10.75" style="2" customWidth="1"/>
    <col min="11522" max="11522" width="2.75" style="2" customWidth="1"/>
    <col min="11523" max="11523" width="4.75" style="2" customWidth="1"/>
    <col min="11524" max="11524" width="35.75" style="2" customWidth="1"/>
    <col min="11525" max="11525" width="8.75" style="2" customWidth="1"/>
    <col min="11526" max="11526" width="2.75" style="2" customWidth="1"/>
    <col min="11527" max="11527" width="8.75" style="2" customWidth="1"/>
    <col min="11528" max="11528" width="2.75" style="2" customWidth="1"/>
    <col min="11529" max="11530" width="8.75" style="2" customWidth="1"/>
    <col min="11531" max="11531" width="45.75" style="2" customWidth="1"/>
    <col min="11532" max="11532" width="8.75" style="2" customWidth="1"/>
    <col min="11533" max="11533" width="2.75" style="2" customWidth="1"/>
    <col min="11534" max="11534" width="8.75" style="2" customWidth="1"/>
    <col min="11535" max="11535" width="2.75" style="2" customWidth="1"/>
    <col min="11536" max="11536" width="8.75" style="2" customWidth="1"/>
    <col min="11537" max="11537" width="2.75" style="2" customWidth="1"/>
    <col min="11538" max="11538" width="8.75" style="2" customWidth="1"/>
    <col min="11539" max="11539" width="2.75" style="2" customWidth="1"/>
    <col min="11540" max="11540" width="8.75" style="2" customWidth="1"/>
    <col min="11541" max="11541" width="2.75" style="2" customWidth="1"/>
    <col min="11542" max="11542" width="8.75" style="2" customWidth="1"/>
    <col min="11543" max="11543" width="2.75" style="2" customWidth="1"/>
    <col min="11544" max="11544" width="8.75" style="2" customWidth="1"/>
    <col min="11545" max="11545" width="2.75" style="2" customWidth="1"/>
    <col min="11546" max="11546" width="8.75" style="2" customWidth="1"/>
    <col min="11547" max="11547" width="2.75" style="2" customWidth="1"/>
    <col min="11548" max="11548" width="8.75" style="2" customWidth="1"/>
    <col min="11549" max="11549" width="2.75" style="2" customWidth="1"/>
    <col min="11550" max="11552" width="8.75" style="2" customWidth="1"/>
    <col min="11553" max="11553" width="2.75" style="2" customWidth="1"/>
    <col min="11554" max="11554" width="8.75" style="2" customWidth="1"/>
    <col min="11555" max="11555" width="2.75" style="2" customWidth="1"/>
    <col min="11556" max="11556" width="8.75" style="2" customWidth="1"/>
    <col min="11557" max="11557" width="2.75" style="2" customWidth="1"/>
    <col min="11558" max="11558" width="8.75" style="2" customWidth="1"/>
    <col min="11559" max="11559" width="2.75" style="2" customWidth="1"/>
    <col min="11560" max="11560" width="8.75" style="2" customWidth="1"/>
    <col min="11561" max="11561" width="2.75" style="2" customWidth="1"/>
    <col min="11562" max="11562" width="8.75" style="2" customWidth="1"/>
    <col min="11563" max="11563" width="2.75" style="2" customWidth="1"/>
    <col min="11564" max="11564" width="8.75" style="2" customWidth="1"/>
    <col min="11565" max="11565" width="2.75" style="2" customWidth="1"/>
    <col min="11566" max="11566" width="8.75" style="2" customWidth="1"/>
    <col min="11567" max="11567" width="2.75" style="2" customWidth="1"/>
    <col min="11568" max="11568" width="8.75" style="2" customWidth="1"/>
    <col min="11569" max="11569" width="2.75" style="2" customWidth="1"/>
    <col min="11570" max="11570" width="8.75" style="2" customWidth="1"/>
    <col min="11571" max="11772" width="8.75" style="2"/>
    <col min="11773" max="11773" width="2.75" style="2" customWidth="1"/>
    <col min="11774" max="11774" width="40.75" style="2" customWidth="1"/>
    <col min="11775" max="11775" width="16" style="2" customWidth="1"/>
    <col min="11776" max="11776" width="4.75" style="2" customWidth="1"/>
    <col min="11777" max="11777" width="10.75" style="2" customWidth="1"/>
    <col min="11778" max="11778" width="2.75" style="2" customWidth="1"/>
    <col min="11779" max="11779" width="4.75" style="2" customWidth="1"/>
    <col min="11780" max="11780" width="35.75" style="2" customWidth="1"/>
    <col min="11781" max="11781" width="8.75" style="2" customWidth="1"/>
    <col min="11782" max="11782" width="2.75" style="2" customWidth="1"/>
    <col min="11783" max="11783" width="8.75" style="2" customWidth="1"/>
    <col min="11784" max="11784" width="2.75" style="2" customWidth="1"/>
    <col min="11785" max="11786" width="8.75" style="2" customWidth="1"/>
    <col min="11787" max="11787" width="45.75" style="2" customWidth="1"/>
    <col min="11788" max="11788" width="8.75" style="2" customWidth="1"/>
    <col min="11789" max="11789" width="2.75" style="2" customWidth="1"/>
    <col min="11790" max="11790" width="8.75" style="2" customWidth="1"/>
    <col min="11791" max="11791" width="2.75" style="2" customWidth="1"/>
    <col min="11792" max="11792" width="8.75" style="2" customWidth="1"/>
    <col min="11793" max="11793" width="2.75" style="2" customWidth="1"/>
    <col min="11794" max="11794" width="8.75" style="2" customWidth="1"/>
    <col min="11795" max="11795" width="2.75" style="2" customWidth="1"/>
    <col min="11796" max="11796" width="8.75" style="2" customWidth="1"/>
    <col min="11797" max="11797" width="2.75" style="2" customWidth="1"/>
    <col min="11798" max="11798" width="8.75" style="2" customWidth="1"/>
    <col min="11799" max="11799" width="2.75" style="2" customWidth="1"/>
    <col min="11800" max="11800" width="8.75" style="2" customWidth="1"/>
    <col min="11801" max="11801" width="2.75" style="2" customWidth="1"/>
    <col min="11802" max="11802" width="8.75" style="2" customWidth="1"/>
    <col min="11803" max="11803" width="2.75" style="2" customWidth="1"/>
    <col min="11804" max="11804" width="8.75" style="2" customWidth="1"/>
    <col min="11805" max="11805" width="2.75" style="2" customWidth="1"/>
    <col min="11806" max="11808" width="8.75" style="2" customWidth="1"/>
    <col min="11809" max="11809" width="2.75" style="2" customWidth="1"/>
    <col min="11810" max="11810" width="8.75" style="2" customWidth="1"/>
    <col min="11811" max="11811" width="2.75" style="2" customWidth="1"/>
    <col min="11812" max="11812" width="8.75" style="2" customWidth="1"/>
    <col min="11813" max="11813" width="2.75" style="2" customWidth="1"/>
    <col min="11814" max="11814" width="8.75" style="2" customWidth="1"/>
    <col min="11815" max="11815" width="2.75" style="2" customWidth="1"/>
    <col min="11816" max="11816" width="8.75" style="2" customWidth="1"/>
    <col min="11817" max="11817" width="2.75" style="2" customWidth="1"/>
    <col min="11818" max="11818" width="8.75" style="2" customWidth="1"/>
    <col min="11819" max="11819" width="2.75" style="2" customWidth="1"/>
    <col min="11820" max="11820" width="8.75" style="2" customWidth="1"/>
    <col min="11821" max="11821" width="2.75" style="2" customWidth="1"/>
    <col min="11822" max="11822" width="8.75" style="2" customWidth="1"/>
    <col min="11823" max="11823" width="2.75" style="2" customWidth="1"/>
    <col min="11824" max="11824" width="8.75" style="2" customWidth="1"/>
    <col min="11825" max="11825" width="2.75" style="2" customWidth="1"/>
    <col min="11826" max="11826" width="8.75" style="2" customWidth="1"/>
    <col min="11827" max="12028" width="8.75" style="2"/>
    <col min="12029" max="12029" width="2.75" style="2" customWidth="1"/>
    <col min="12030" max="12030" width="40.75" style="2" customWidth="1"/>
    <col min="12031" max="12031" width="16" style="2" customWidth="1"/>
    <col min="12032" max="12032" width="4.75" style="2" customWidth="1"/>
    <col min="12033" max="12033" width="10.75" style="2" customWidth="1"/>
    <col min="12034" max="12034" width="2.75" style="2" customWidth="1"/>
    <col min="12035" max="12035" width="4.75" style="2" customWidth="1"/>
    <col min="12036" max="12036" width="35.75" style="2" customWidth="1"/>
    <col min="12037" max="12037" width="8.75" style="2" customWidth="1"/>
    <col min="12038" max="12038" width="2.75" style="2" customWidth="1"/>
    <col min="12039" max="12039" width="8.75" style="2" customWidth="1"/>
    <col min="12040" max="12040" width="2.75" style="2" customWidth="1"/>
    <col min="12041" max="12042" width="8.75" style="2" customWidth="1"/>
    <col min="12043" max="12043" width="45.75" style="2" customWidth="1"/>
    <col min="12044" max="12044" width="8.75" style="2" customWidth="1"/>
    <col min="12045" max="12045" width="2.75" style="2" customWidth="1"/>
    <col min="12046" max="12046" width="8.75" style="2" customWidth="1"/>
    <col min="12047" max="12047" width="2.75" style="2" customWidth="1"/>
    <col min="12048" max="12048" width="8.75" style="2" customWidth="1"/>
    <col min="12049" max="12049" width="2.75" style="2" customWidth="1"/>
    <col min="12050" max="12050" width="8.75" style="2" customWidth="1"/>
    <col min="12051" max="12051" width="2.75" style="2" customWidth="1"/>
    <col min="12052" max="12052" width="8.75" style="2" customWidth="1"/>
    <col min="12053" max="12053" width="2.75" style="2" customWidth="1"/>
    <col min="12054" max="12054" width="8.75" style="2" customWidth="1"/>
    <col min="12055" max="12055" width="2.75" style="2" customWidth="1"/>
    <col min="12056" max="12056" width="8.75" style="2" customWidth="1"/>
    <col min="12057" max="12057" width="2.75" style="2" customWidth="1"/>
    <col min="12058" max="12058" width="8.75" style="2" customWidth="1"/>
    <col min="12059" max="12059" width="2.75" style="2" customWidth="1"/>
    <col min="12060" max="12060" width="8.75" style="2" customWidth="1"/>
    <col min="12061" max="12061" width="2.75" style="2" customWidth="1"/>
    <col min="12062" max="12064" width="8.75" style="2" customWidth="1"/>
    <col min="12065" max="12065" width="2.75" style="2" customWidth="1"/>
    <col min="12066" max="12066" width="8.75" style="2" customWidth="1"/>
    <col min="12067" max="12067" width="2.75" style="2" customWidth="1"/>
    <col min="12068" max="12068" width="8.75" style="2" customWidth="1"/>
    <col min="12069" max="12069" width="2.75" style="2" customWidth="1"/>
    <col min="12070" max="12070" width="8.75" style="2" customWidth="1"/>
    <col min="12071" max="12071" width="2.75" style="2" customWidth="1"/>
    <col min="12072" max="12072" width="8.75" style="2" customWidth="1"/>
    <col min="12073" max="12073" width="2.75" style="2" customWidth="1"/>
    <col min="12074" max="12074" width="8.75" style="2" customWidth="1"/>
    <col min="12075" max="12075" width="2.75" style="2" customWidth="1"/>
    <col min="12076" max="12076" width="8.75" style="2" customWidth="1"/>
    <col min="12077" max="12077" width="2.75" style="2" customWidth="1"/>
    <col min="12078" max="12078" width="8.75" style="2" customWidth="1"/>
    <col min="12079" max="12079" width="2.75" style="2" customWidth="1"/>
    <col min="12080" max="12080" width="8.75" style="2" customWidth="1"/>
    <col min="12081" max="12081" width="2.75" style="2" customWidth="1"/>
    <col min="12082" max="12082" width="8.75" style="2" customWidth="1"/>
    <col min="12083" max="12284" width="8.75" style="2"/>
    <col min="12285" max="12285" width="2.75" style="2" customWidth="1"/>
    <col min="12286" max="12286" width="40.75" style="2" customWidth="1"/>
    <col min="12287" max="12287" width="16" style="2" customWidth="1"/>
    <col min="12288" max="12288" width="4.75" style="2" customWidth="1"/>
    <col min="12289" max="12289" width="10.75" style="2" customWidth="1"/>
    <col min="12290" max="12290" width="2.75" style="2" customWidth="1"/>
    <col min="12291" max="12291" width="4.75" style="2" customWidth="1"/>
    <col min="12292" max="12292" width="35.75" style="2" customWidth="1"/>
    <col min="12293" max="12293" width="8.75" style="2" customWidth="1"/>
    <col min="12294" max="12294" width="2.75" style="2" customWidth="1"/>
    <col min="12295" max="12295" width="8.75" style="2" customWidth="1"/>
    <col min="12296" max="12296" width="2.75" style="2" customWidth="1"/>
    <col min="12297" max="12298" width="8.75" style="2" customWidth="1"/>
    <col min="12299" max="12299" width="45.75" style="2" customWidth="1"/>
    <col min="12300" max="12300" width="8.75" style="2" customWidth="1"/>
    <col min="12301" max="12301" width="2.75" style="2" customWidth="1"/>
    <col min="12302" max="12302" width="8.75" style="2" customWidth="1"/>
    <col min="12303" max="12303" width="2.75" style="2" customWidth="1"/>
    <col min="12304" max="12304" width="8.75" style="2" customWidth="1"/>
    <col min="12305" max="12305" width="2.75" style="2" customWidth="1"/>
    <col min="12306" max="12306" width="8.75" style="2" customWidth="1"/>
    <col min="12307" max="12307" width="2.75" style="2" customWidth="1"/>
    <col min="12308" max="12308" width="8.75" style="2" customWidth="1"/>
    <col min="12309" max="12309" width="2.75" style="2" customWidth="1"/>
    <col min="12310" max="12310" width="8.75" style="2" customWidth="1"/>
    <col min="12311" max="12311" width="2.75" style="2" customWidth="1"/>
    <col min="12312" max="12312" width="8.75" style="2" customWidth="1"/>
    <col min="12313" max="12313" width="2.75" style="2" customWidth="1"/>
    <col min="12314" max="12314" width="8.75" style="2" customWidth="1"/>
    <col min="12315" max="12315" width="2.75" style="2" customWidth="1"/>
    <col min="12316" max="12316" width="8.75" style="2" customWidth="1"/>
    <col min="12317" max="12317" width="2.75" style="2" customWidth="1"/>
    <col min="12318" max="12320" width="8.75" style="2" customWidth="1"/>
    <col min="12321" max="12321" width="2.75" style="2" customWidth="1"/>
    <col min="12322" max="12322" width="8.75" style="2" customWidth="1"/>
    <col min="12323" max="12323" width="2.75" style="2" customWidth="1"/>
    <col min="12324" max="12324" width="8.75" style="2" customWidth="1"/>
    <col min="12325" max="12325" width="2.75" style="2" customWidth="1"/>
    <col min="12326" max="12326" width="8.75" style="2" customWidth="1"/>
    <col min="12327" max="12327" width="2.75" style="2" customWidth="1"/>
    <col min="12328" max="12328" width="8.75" style="2" customWidth="1"/>
    <col min="12329" max="12329" width="2.75" style="2" customWidth="1"/>
    <col min="12330" max="12330" width="8.75" style="2" customWidth="1"/>
    <col min="12331" max="12331" width="2.75" style="2" customWidth="1"/>
    <col min="12332" max="12332" width="8.75" style="2" customWidth="1"/>
    <col min="12333" max="12333" width="2.75" style="2" customWidth="1"/>
    <col min="12334" max="12334" width="8.75" style="2" customWidth="1"/>
    <col min="12335" max="12335" width="2.75" style="2" customWidth="1"/>
    <col min="12336" max="12336" width="8.75" style="2" customWidth="1"/>
    <col min="12337" max="12337" width="2.75" style="2" customWidth="1"/>
    <col min="12338" max="12338" width="8.75" style="2" customWidth="1"/>
    <col min="12339" max="12540" width="8.75" style="2"/>
    <col min="12541" max="12541" width="2.75" style="2" customWidth="1"/>
    <col min="12542" max="12542" width="40.75" style="2" customWidth="1"/>
    <col min="12543" max="12543" width="16" style="2" customWidth="1"/>
    <col min="12544" max="12544" width="4.75" style="2" customWidth="1"/>
    <col min="12545" max="12545" width="10.75" style="2" customWidth="1"/>
    <col min="12546" max="12546" width="2.75" style="2" customWidth="1"/>
    <col min="12547" max="12547" width="4.75" style="2" customWidth="1"/>
    <col min="12548" max="12548" width="35.75" style="2" customWidth="1"/>
    <col min="12549" max="12549" width="8.75" style="2" customWidth="1"/>
    <col min="12550" max="12550" width="2.75" style="2" customWidth="1"/>
    <col min="12551" max="12551" width="8.75" style="2" customWidth="1"/>
    <col min="12552" max="12552" width="2.75" style="2" customWidth="1"/>
    <col min="12553" max="12554" width="8.75" style="2" customWidth="1"/>
    <col min="12555" max="12555" width="45.75" style="2" customWidth="1"/>
    <col min="12556" max="12556" width="8.75" style="2" customWidth="1"/>
    <col min="12557" max="12557" width="2.75" style="2" customWidth="1"/>
    <col min="12558" max="12558" width="8.75" style="2" customWidth="1"/>
    <col min="12559" max="12559" width="2.75" style="2" customWidth="1"/>
    <col min="12560" max="12560" width="8.75" style="2" customWidth="1"/>
    <col min="12561" max="12561" width="2.75" style="2" customWidth="1"/>
    <col min="12562" max="12562" width="8.75" style="2" customWidth="1"/>
    <col min="12563" max="12563" width="2.75" style="2" customWidth="1"/>
    <col min="12564" max="12564" width="8.75" style="2" customWidth="1"/>
    <col min="12565" max="12565" width="2.75" style="2" customWidth="1"/>
    <col min="12566" max="12566" width="8.75" style="2" customWidth="1"/>
    <col min="12567" max="12567" width="2.75" style="2" customWidth="1"/>
    <col min="12568" max="12568" width="8.75" style="2" customWidth="1"/>
    <col min="12569" max="12569" width="2.75" style="2" customWidth="1"/>
    <col min="12570" max="12570" width="8.75" style="2" customWidth="1"/>
    <col min="12571" max="12571" width="2.75" style="2" customWidth="1"/>
    <col min="12572" max="12572" width="8.75" style="2" customWidth="1"/>
    <col min="12573" max="12573" width="2.75" style="2" customWidth="1"/>
    <col min="12574" max="12576" width="8.75" style="2" customWidth="1"/>
    <col min="12577" max="12577" width="2.75" style="2" customWidth="1"/>
    <col min="12578" max="12578" width="8.75" style="2" customWidth="1"/>
    <col min="12579" max="12579" width="2.75" style="2" customWidth="1"/>
    <col min="12580" max="12580" width="8.75" style="2" customWidth="1"/>
    <col min="12581" max="12581" width="2.75" style="2" customWidth="1"/>
    <col min="12582" max="12582" width="8.75" style="2" customWidth="1"/>
    <col min="12583" max="12583" width="2.75" style="2" customWidth="1"/>
    <col min="12584" max="12584" width="8.75" style="2" customWidth="1"/>
    <col min="12585" max="12585" width="2.75" style="2" customWidth="1"/>
    <col min="12586" max="12586" width="8.75" style="2" customWidth="1"/>
    <col min="12587" max="12587" width="2.75" style="2" customWidth="1"/>
    <col min="12588" max="12588" width="8.75" style="2" customWidth="1"/>
    <col min="12589" max="12589" width="2.75" style="2" customWidth="1"/>
    <col min="12590" max="12590" width="8.75" style="2" customWidth="1"/>
    <col min="12591" max="12591" width="2.75" style="2" customWidth="1"/>
    <col min="12592" max="12592" width="8.75" style="2" customWidth="1"/>
    <col min="12593" max="12593" width="2.75" style="2" customWidth="1"/>
    <col min="12594" max="12594" width="8.75" style="2" customWidth="1"/>
    <col min="12595" max="12796" width="8.75" style="2"/>
    <col min="12797" max="12797" width="2.75" style="2" customWidth="1"/>
    <col min="12798" max="12798" width="40.75" style="2" customWidth="1"/>
    <col min="12799" max="12799" width="16" style="2" customWidth="1"/>
    <col min="12800" max="12800" width="4.75" style="2" customWidth="1"/>
    <col min="12801" max="12801" width="10.75" style="2" customWidth="1"/>
    <col min="12802" max="12802" width="2.75" style="2" customWidth="1"/>
    <col min="12803" max="12803" width="4.75" style="2" customWidth="1"/>
    <col min="12804" max="12804" width="35.75" style="2" customWidth="1"/>
    <col min="12805" max="12805" width="8.75" style="2" customWidth="1"/>
    <col min="12806" max="12806" width="2.75" style="2" customWidth="1"/>
    <col min="12807" max="12807" width="8.75" style="2" customWidth="1"/>
    <col min="12808" max="12808" width="2.75" style="2" customWidth="1"/>
    <col min="12809" max="12810" width="8.75" style="2" customWidth="1"/>
    <col min="12811" max="12811" width="45.75" style="2" customWidth="1"/>
    <col min="12812" max="12812" width="8.75" style="2" customWidth="1"/>
    <col min="12813" max="12813" width="2.75" style="2" customWidth="1"/>
    <col min="12814" max="12814" width="8.75" style="2" customWidth="1"/>
    <col min="12815" max="12815" width="2.75" style="2" customWidth="1"/>
    <col min="12816" max="12816" width="8.75" style="2" customWidth="1"/>
    <col min="12817" max="12817" width="2.75" style="2" customWidth="1"/>
    <col min="12818" max="12818" width="8.75" style="2" customWidth="1"/>
    <col min="12819" max="12819" width="2.75" style="2" customWidth="1"/>
    <col min="12820" max="12820" width="8.75" style="2" customWidth="1"/>
    <col min="12821" max="12821" width="2.75" style="2" customWidth="1"/>
    <col min="12822" max="12822" width="8.75" style="2" customWidth="1"/>
    <col min="12823" max="12823" width="2.75" style="2" customWidth="1"/>
    <col min="12824" max="12824" width="8.75" style="2" customWidth="1"/>
    <col min="12825" max="12825" width="2.75" style="2" customWidth="1"/>
    <col min="12826" max="12826" width="8.75" style="2" customWidth="1"/>
    <col min="12827" max="12827" width="2.75" style="2" customWidth="1"/>
    <col min="12828" max="12828" width="8.75" style="2" customWidth="1"/>
    <col min="12829" max="12829" width="2.75" style="2" customWidth="1"/>
    <col min="12830" max="12832" width="8.75" style="2" customWidth="1"/>
    <col min="12833" max="12833" width="2.75" style="2" customWidth="1"/>
    <col min="12834" max="12834" width="8.75" style="2" customWidth="1"/>
    <col min="12835" max="12835" width="2.75" style="2" customWidth="1"/>
    <col min="12836" max="12836" width="8.75" style="2" customWidth="1"/>
    <col min="12837" max="12837" width="2.75" style="2" customWidth="1"/>
    <col min="12838" max="12838" width="8.75" style="2" customWidth="1"/>
    <col min="12839" max="12839" width="2.75" style="2" customWidth="1"/>
    <col min="12840" max="12840" width="8.75" style="2" customWidth="1"/>
    <col min="12841" max="12841" width="2.75" style="2" customWidth="1"/>
    <col min="12842" max="12842" width="8.75" style="2" customWidth="1"/>
    <col min="12843" max="12843" width="2.75" style="2" customWidth="1"/>
    <col min="12844" max="12844" width="8.75" style="2" customWidth="1"/>
    <col min="12845" max="12845" width="2.75" style="2" customWidth="1"/>
    <col min="12846" max="12846" width="8.75" style="2" customWidth="1"/>
    <col min="12847" max="12847" width="2.75" style="2" customWidth="1"/>
    <col min="12848" max="12848" width="8.75" style="2" customWidth="1"/>
    <col min="12849" max="12849" width="2.75" style="2" customWidth="1"/>
    <col min="12850" max="12850" width="8.75" style="2" customWidth="1"/>
    <col min="12851" max="13052" width="8.75" style="2"/>
    <col min="13053" max="13053" width="2.75" style="2" customWidth="1"/>
    <col min="13054" max="13054" width="40.75" style="2" customWidth="1"/>
    <col min="13055" max="13055" width="16" style="2" customWidth="1"/>
    <col min="13056" max="13056" width="4.75" style="2" customWidth="1"/>
    <col min="13057" max="13057" width="10.75" style="2" customWidth="1"/>
    <col min="13058" max="13058" width="2.75" style="2" customWidth="1"/>
    <col min="13059" max="13059" width="4.75" style="2" customWidth="1"/>
    <col min="13060" max="13060" width="35.75" style="2" customWidth="1"/>
    <col min="13061" max="13061" width="8.75" style="2" customWidth="1"/>
    <col min="13062" max="13062" width="2.75" style="2" customWidth="1"/>
    <col min="13063" max="13063" width="8.75" style="2" customWidth="1"/>
    <col min="13064" max="13064" width="2.75" style="2" customWidth="1"/>
    <col min="13065" max="13066" width="8.75" style="2" customWidth="1"/>
    <col min="13067" max="13067" width="45.75" style="2" customWidth="1"/>
    <col min="13068" max="13068" width="8.75" style="2" customWidth="1"/>
    <col min="13069" max="13069" width="2.75" style="2" customWidth="1"/>
    <col min="13070" max="13070" width="8.75" style="2" customWidth="1"/>
    <col min="13071" max="13071" width="2.75" style="2" customWidth="1"/>
    <col min="13072" max="13072" width="8.75" style="2" customWidth="1"/>
    <col min="13073" max="13073" width="2.75" style="2" customWidth="1"/>
    <col min="13074" max="13074" width="8.75" style="2" customWidth="1"/>
    <col min="13075" max="13075" width="2.75" style="2" customWidth="1"/>
    <col min="13076" max="13076" width="8.75" style="2" customWidth="1"/>
    <col min="13077" max="13077" width="2.75" style="2" customWidth="1"/>
    <col min="13078" max="13078" width="8.75" style="2" customWidth="1"/>
    <col min="13079" max="13079" width="2.75" style="2" customWidth="1"/>
    <col min="13080" max="13080" width="8.75" style="2" customWidth="1"/>
    <col min="13081" max="13081" width="2.75" style="2" customWidth="1"/>
    <col min="13082" max="13082" width="8.75" style="2" customWidth="1"/>
    <col min="13083" max="13083" width="2.75" style="2" customWidth="1"/>
    <col min="13084" max="13084" width="8.75" style="2" customWidth="1"/>
    <col min="13085" max="13085" width="2.75" style="2" customWidth="1"/>
    <col min="13086" max="13088" width="8.75" style="2" customWidth="1"/>
    <col min="13089" max="13089" width="2.75" style="2" customWidth="1"/>
    <col min="13090" max="13090" width="8.75" style="2" customWidth="1"/>
    <col min="13091" max="13091" width="2.75" style="2" customWidth="1"/>
    <col min="13092" max="13092" width="8.75" style="2" customWidth="1"/>
    <col min="13093" max="13093" width="2.75" style="2" customWidth="1"/>
    <col min="13094" max="13094" width="8.75" style="2" customWidth="1"/>
    <col min="13095" max="13095" width="2.75" style="2" customWidth="1"/>
    <col min="13096" max="13096" width="8.75" style="2" customWidth="1"/>
    <col min="13097" max="13097" width="2.75" style="2" customWidth="1"/>
    <col min="13098" max="13098" width="8.75" style="2" customWidth="1"/>
    <col min="13099" max="13099" width="2.75" style="2" customWidth="1"/>
    <col min="13100" max="13100" width="8.75" style="2" customWidth="1"/>
    <col min="13101" max="13101" width="2.75" style="2" customWidth="1"/>
    <col min="13102" max="13102" width="8.75" style="2" customWidth="1"/>
    <col min="13103" max="13103" width="2.75" style="2" customWidth="1"/>
    <col min="13104" max="13104" width="8.75" style="2" customWidth="1"/>
    <col min="13105" max="13105" width="2.75" style="2" customWidth="1"/>
    <col min="13106" max="13106" width="8.75" style="2" customWidth="1"/>
    <col min="13107" max="13308" width="8.75" style="2"/>
    <col min="13309" max="13309" width="2.75" style="2" customWidth="1"/>
    <col min="13310" max="13310" width="40.75" style="2" customWidth="1"/>
    <col min="13311" max="13311" width="16" style="2" customWidth="1"/>
    <col min="13312" max="13312" width="4.75" style="2" customWidth="1"/>
    <col min="13313" max="13313" width="10.75" style="2" customWidth="1"/>
    <col min="13314" max="13314" width="2.75" style="2" customWidth="1"/>
    <col min="13315" max="13315" width="4.75" style="2" customWidth="1"/>
    <col min="13316" max="13316" width="35.75" style="2" customWidth="1"/>
    <col min="13317" max="13317" width="8.75" style="2" customWidth="1"/>
    <col min="13318" max="13318" width="2.75" style="2" customWidth="1"/>
    <col min="13319" max="13319" width="8.75" style="2" customWidth="1"/>
    <col min="13320" max="13320" width="2.75" style="2" customWidth="1"/>
    <col min="13321" max="13322" width="8.75" style="2" customWidth="1"/>
    <col min="13323" max="13323" width="45.75" style="2" customWidth="1"/>
    <col min="13324" max="13324" width="8.75" style="2" customWidth="1"/>
    <col min="13325" max="13325" width="2.75" style="2" customWidth="1"/>
    <col min="13326" max="13326" width="8.75" style="2" customWidth="1"/>
    <col min="13327" max="13327" width="2.75" style="2" customWidth="1"/>
    <col min="13328" max="13328" width="8.75" style="2" customWidth="1"/>
    <col min="13329" max="13329" width="2.75" style="2" customWidth="1"/>
    <col min="13330" max="13330" width="8.75" style="2" customWidth="1"/>
    <col min="13331" max="13331" width="2.75" style="2" customWidth="1"/>
    <col min="13332" max="13332" width="8.75" style="2" customWidth="1"/>
    <col min="13333" max="13333" width="2.75" style="2" customWidth="1"/>
    <col min="13334" max="13334" width="8.75" style="2" customWidth="1"/>
    <col min="13335" max="13335" width="2.75" style="2" customWidth="1"/>
    <col min="13336" max="13336" width="8.75" style="2" customWidth="1"/>
    <col min="13337" max="13337" width="2.75" style="2" customWidth="1"/>
    <col min="13338" max="13338" width="8.75" style="2" customWidth="1"/>
    <col min="13339" max="13339" width="2.75" style="2" customWidth="1"/>
    <col min="13340" max="13340" width="8.75" style="2" customWidth="1"/>
    <col min="13341" max="13341" width="2.75" style="2" customWidth="1"/>
    <col min="13342" max="13344" width="8.75" style="2" customWidth="1"/>
    <col min="13345" max="13345" width="2.75" style="2" customWidth="1"/>
    <col min="13346" max="13346" width="8.75" style="2" customWidth="1"/>
    <col min="13347" max="13347" width="2.75" style="2" customWidth="1"/>
    <col min="13348" max="13348" width="8.75" style="2" customWidth="1"/>
    <col min="13349" max="13349" width="2.75" style="2" customWidth="1"/>
    <col min="13350" max="13350" width="8.75" style="2" customWidth="1"/>
    <col min="13351" max="13351" width="2.75" style="2" customWidth="1"/>
    <col min="13352" max="13352" width="8.75" style="2" customWidth="1"/>
    <col min="13353" max="13353" width="2.75" style="2" customWidth="1"/>
    <col min="13354" max="13354" width="8.75" style="2" customWidth="1"/>
    <col min="13355" max="13355" width="2.75" style="2" customWidth="1"/>
    <col min="13356" max="13356" width="8.75" style="2" customWidth="1"/>
    <col min="13357" max="13357" width="2.75" style="2" customWidth="1"/>
    <col min="13358" max="13358" width="8.75" style="2" customWidth="1"/>
    <col min="13359" max="13359" width="2.75" style="2" customWidth="1"/>
    <col min="13360" max="13360" width="8.75" style="2" customWidth="1"/>
    <col min="13361" max="13361" width="2.75" style="2" customWidth="1"/>
    <col min="13362" max="13362" width="8.75" style="2" customWidth="1"/>
    <col min="13363" max="13564" width="8.75" style="2"/>
    <col min="13565" max="13565" width="2.75" style="2" customWidth="1"/>
    <col min="13566" max="13566" width="40.75" style="2" customWidth="1"/>
    <col min="13567" max="13567" width="16" style="2" customWidth="1"/>
    <col min="13568" max="13568" width="4.75" style="2" customWidth="1"/>
    <col min="13569" max="13569" width="10.75" style="2" customWidth="1"/>
    <col min="13570" max="13570" width="2.75" style="2" customWidth="1"/>
    <col min="13571" max="13571" width="4.75" style="2" customWidth="1"/>
    <col min="13572" max="13572" width="35.75" style="2" customWidth="1"/>
    <col min="13573" max="13573" width="8.75" style="2" customWidth="1"/>
    <col min="13574" max="13574" width="2.75" style="2" customWidth="1"/>
    <col min="13575" max="13575" width="8.75" style="2" customWidth="1"/>
    <col min="13576" max="13576" width="2.75" style="2" customWidth="1"/>
    <col min="13577" max="13578" width="8.75" style="2" customWidth="1"/>
    <col min="13579" max="13579" width="45.75" style="2" customWidth="1"/>
    <col min="13580" max="13580" width="8.75" style="2" customWidth="1"/>
    <col min="13581" max="13581" width="2.75" style="2" customWidth="1"/>
    <col min="13582" max="13582" width="8.75" style="2" customWidth="1"/>
    <col min="13583" max="13583" width="2.75" style="2" customWidth="1"/>
    <col min="13584" max="13584" width="8.75" style="2" customWidth="1"/>
    <col min="13585" max="13585" width="2.75" style="2" customWidth="1"/>
    <col min="13586" max="13586" width="8.75" style="2" customWidth="1"/>
    <col min="13587" max="13587" width="2.75" style="2" customWidth="1"/>
    <col min="13588" max="13588" width="8.75" style="2" customWidth="1"/>
    <col min="13589" max="13589" width="2.75" style="2" customWidth="1"/>
    <col min="13590" max="13590" width="8.75" style="2" customWidth="1"/>
    <col min="13591" max="13591" width="2.75" style="2" customWidth="1"/>
    <col min="13592" max="13592" width="8.75" style="2" customWidth="1"/>
    <col min="13593" max="13593" width="2.75" style="2" customWidth="1"/>
    <col min="13594" max="13594" width="8.75" style="2" customWidth="1"/>
    <col min="13595" max="13595" width="2.75" style="2" customWidth="1"/>
    <col min="13596" max="13596" width="8.75" style="2" customWidth="1"/>
    <col min="13597" max="13597" width="2.75" style="2" customWidth="1"/>
    <col min="13598" max="13600" width="8.75" style="2" customWidth="1"/>
    <col min="13601" max="13601" width="2.75" style="2" customWidth="1"/>
    <col min="13602" max="13602" width="8.75" style="2" customWidth="1"/>
    <col min="13603" max="13603" width="2.75" style="2" customWidth="1"/>
    <col min="13604" max="13604" width="8.75" style="2" customWidth="1"/>
    <col min="13605" max="13605" width="2.75" style="2" customWidth="1"/>
    <col min="13606" max="13606" width="8.75" style="2" customWidth="1"/>
    <col min="13607" max="13607" width="2.75" style="2" customWidth="1"/>
    <col min="13608" max="13608" width="8.75" style="2" customWidth="1"/>
    <col min="13609" max="13609" width="2.75" style="2" customWidth="1"/>
    <col min="13610" max="13610" width="8.75" style="2" customWidth="1"/>
    <col min="13611" max="13611" width="2.75" style="2" customWidth="1"/>
    <col min="13612" max="13612" width="8.75" style="2" customWidth="1"/>
    <col min="13613" max="13613" width="2.75" style="2" customWidth="1"/>
    <col min="13614" max="13614" width="8.75" style="2" customWidth="1"/>
    <col min="13615" max="13615" width="2.75" style="2" customWidth="1"/>
    <col min="13616" max="13616" width="8.75" style="2" customWidth="1"/>
    <col min="13617" max="13617" width="2.75" style="2" customWidth="1"/>
    <col min="13618" max="13618" width="8.75" style="2" customWidth="1"/>
    <col min="13619" max="13820" width="8.75" style="2"/>
    <col min="13821" max="13821" width="2.75" style="2" customWidth="1"/>
    <col min="13822" max="13822" width="40.75" style="2" customWidth="1"/>
    <col min="13823" max="13823" width="16" style="2" customWidth="1"/>
    <col min="13824" max="13824" width="4.75" style="2" customWidth="1"/>
    <col min="13825" max="13825" width="10.75" style="2" customWidth="1"/>
    <col min="13826" max="13826" width="2.75" style="2" customWidth="1"/>
    <col min="13827" max="13827" width="4.75" style="2" customWidth="1"/>
    <col min="13828" max="13828" width="35.75" style="2" customWidth="1"/>
    <col min="13829" max="13829" width="8.75" style="2" customWidth="1"/>
    <col min="13830" max="13830" width="2.75" style="2" customWidth="1"/>
    <col min="13831" max="13831" width="8.75" style="2" customWidth="1"/>
    <col min="13832" max="13832" width="2.75" style="2" customWidth="1"/>
    <col min="13833" max="13834" width="8.75" style="2" customWidth="1"/>
    <col min="13835" max="13835" width="45.75" style="2" customWidth="1"/>
    <col min="13836" max="13836" width="8.75" style="2" customWidth="1"/>
    <col min="13837" max="13837" width="2.75" style="2" customWidth="1"/>
    <col min="13838" max="13838" width="8.75" style="2" customWidth="1"/>
    <col min="13839" max="13839" width="2.75" style="2" customWidth="1"/>
    <col min="13840" max="13840" width="8.75" style="2" customWidth="1"/>
    <col min="13841" max="13841" width="2.75" style="2" customWidth="1"/>
    <col min="13842" max="13842" width="8.75" style="2" customWidth="1"/>
    <col min="13843" max="13843" width="2.75" style="2" customWidth="1"/>
    <col min="13844" max="13844" width="8.75" style="2" customWidth="1"/>
    <col min="13845" max="13845" width="2.75" style="2" customWidth="1"/>
    <col min="13846" max="13846" width="8.75" style="2" customWidth="1"/>
    <col min="13847" max="13847" width="2.75" style="2" customWidth="1"/>
    <col min="13848" max="13848" width="8.75" style="2" customWidth="1"/>
    <col min="13849" max="13849" width="2.75" style="2" customWidth="1"/>
    <col min="13850" max="13850" width="8.75" style="2" customWidth="1"/>
    <col min="13851" max="13851" width="2.75" style="2" customWidth="1"/>
    <col min="13852" max="13852" width="8.75" style="2" customWidth="1"/>
    <col min="13853" max="13853" width="2.75" style="2" customWidth="1"/>
    <col min="13854" max="13856" width="8.75" style="2" customWidth="1"/>
    <col min="13857" max="13857" width="2.75" style="2" customWidth="1"/>
    <col min="13858" max="13858" width="8.75" style="2" customWidth="1"/>
    <col min="13859" max="13859" width="2.75" style="2" customWidth="1"/>
    <col min="13860" max="13860" width="8.75" style="2" customWidth="1"/>
    <col min="13861" max="13861" width="2.75" style="2" customWidth="1"/>
    <col min="13862" max="13862" width="8.75" style="2" customWidth="1"/>
    <col min="13863" max="13863" width="2.75" style="2" customWidth="1"/>
    <col min="13864" max="13864" width="8.75" style="2" customWidth="1"/>
    <col min="13865" max="13865" width="2.75" style="2" customWidth="1"/>
    <col min="13866" max="13866" width="8.75" style="2" customWidth="1"/>
    <col min="13867" max="13867" width="2.75" style="2" customWidth="1"/>
    <col min="13868" max="13868" width="8.75" style="2" customWidth="1"/>
    <col min="13869" max="13869" width="2.75" style="2" customWidth="1"/>
    <col min="13870" max="13870" width="8.75" style="2" customWidth="1"/>
    <col min="13871" max="13871" width="2.75" style="2" customWidth="1"/>
    <col min="13872" max="13872" width="8.75" style="2" customWidth="1"/>
    <col min="13873" max="13873" width="2.75" style="2" customWidth="1"/>
    <col min="13874" max="13874" width="8.75" style="2" customWidth="1"/>
    <col min="13875" max="14076" width="8.75" style="2"/>
    <col min="14077" max="14077" width="2.75" style="2" customWidth="1"/>
    <col min="14078" max="14078" width="40.75" style="2" customWidth="1"/>
    <col min="14079" max="14079" width="16" style="2" customWidth="1"/>
    <col min="14080" max="14080" width="4.75" style="2" customWidth="1"/>
    <col min="14081" max="14081" width="10.75" style="2" customWidth="1"/>
    <col min="14082" max="14082" width="2.75" style="2" customWidth="1"/>
    <col min="14083" max="14083" width="4.75" style="2" customWidth="1"/>
    <col min="14084" max="14084" width="35.75" style="2" customWidth="1"/>
    <col min="14085" max="14085" width="8.75" style="2" customWidth="1"/>
    <col min="14086" max="14086" width="2.75" style="2" customWidth="1"/>
    <col min="14087" max="14087" width="8.75" style="2" customWidth="1"/>
    <col min="14088" max="14088" width="2.75" style="2" customWidth="1"/>
    <col min="14089" max="14090" width="8.75" style="2" customWidth="1"/>
    <col min="14091" max="14091" width="45.75" style="2" customWidth="1"/>
    <col min="14092" max="14092" width="8.75" style="2" customWidth="1"/>
    <col min="14093" max="14093" width="2.75" style="2" customWidth="1"/>
    <col min="14094" max="14094" width="8.75" style="2" customWidth="1"/>
    <col min="14095" max="14095" width="2.75" style="2" customWidth="1"/>
    <col min="14096" max="14096" width="8.75" style="2" customWidth="1"/>
    <col min="14097" max="14097" width="2.75" style="2" customWidth="1"/>
    <col min="14098" max="14098" width="8.75" style="2" customWidth="1"/>
    <col min="14099" max="14099" width="2.75" style="2" customWidth="1"/>
    <col min="14100" max="14100" width="8.75" style="2" customWidth="1"/>
    <col min="14101" max="14101" width="2.75" style="2" customWidth="1"/>
    <col min="14102" max="14102" width="8.75" style="2" customWidth="1"/>
    <col min="14103" max="14103" width="2.75" style="2" customWidth="1"/>
    <col min="14104" max="14104" width="8.75" style="2" customWidth="1"/>
    <col min="14105" max="14105" width="2.75" style="2" customWidth="1"/>
    <col min="14106" max="14106" width="8.75" style="2" customWidth="1"/>
    <col min="14107" max="14107" width="2.75" style="2" customWidth="1"/>
    <col min="14108" max="14108" width="8.75" style="2" customWidth="1"/>
    <col min="14109" max="14109" width="2.75" style="2" customWidth="1"/>
    <col min="14110" max="14112" width="8.75" style="2" customWidth="1"/>
    <col min="14113" max="14113" width="2.75" style="2" customWidth="1"/>
    <col min="14114" max="14114" width="8.75" style="2" customWidth="1"/>
    <col min="14115" max="14115" width="2.75" style="2" customWidth="1"/>
    <col min="14116" max="14116" width="8.75" style="2" customWidth="1"/>
    <col min="14117" max="14117" width="2.75" style="2" customWidth="1"/>
    <col min="14118" max="14118" width="8.75" style="2" customWidth="1"/>
    <col min="14119" max="14119" width="2.75" style="2" customWidth="1"/>
    <col min="14120" max="14120" width="8.75" style="2" customWidth="1"/>
    <col min="14121" max="14121" width="2.75" style="2" customWidth="1"/>
    <col min="14122" max="14122" width="8.75" style="2" customWidth="1"/>
    <col min="14123" max="14123" width="2.75" style="2" customWidth="1"/>
    <col min="14124" max="14124" width="8.75" style="2" customWidth="1"/>
    <col min="14125" max="14125" width="2.75" style="2" customWidth="1"/>
    <col min="14126" max="14126" width="8.75" style="2" customWidth="1"/>
    <col min="14127" max="14127" width="2.75" style="2" customWidth="1"/>
    <col min="14128" max="14128" width="8.75" style="2" customWidth="1"/>
    <col min="14129" max="14129" width="2.75" style="2" customWidth="1"/>
    <col min="14130" max="14130" width="8.75" style="2" customWidth="1"/>
    <col min="14131" max="14332" width="8.75" style="2"/>
    <col min="14333" max="14333" width="2.75" style="2" customWidth="1"/>
    <col min="14334" max="14334" width="40.75" style="2" customWidth="1"/>
    <col min="14335" max="14335" width="16" style="2" customWidth="1"/>
    <col min="14336" max="14336" width="4.75" style="2" customWidth="1"/>
    <col min="14337" max="14337" width="10.75" style="2" customWidth="1"/>
    <col min="14338" max="14338" width="2.75" style="2" customWidth="1"/>
    <col min="14339" max="14339" width="4.75" style="2" customWidth="1"/>
    <col min="14340" max="14340" width="35.75" style="2" customWidth="1"/>
    <col min="14341" max="14341" width="8.75" style="2" customWidth="1"/>
    <col min="14342" max="14342" width="2.75" style="2" customWidth="1"/>
    <col min="14343" max="14343" width="8.75" style="2" customWidth="1"/>
    <col min="14344" max="14344" width="2.75" style="2" customWidth="1"/>
    <col min="14345" max="14346" width="8.75" style="2" customWidth="1"/>
    <col min="14347" max="14347" width="45.75" style="2" customWidth="1"/>
    <col min="14348" max="14348" width="8.75" style="2" customWidth="1"/>
    <col min="14349" max="14349" width="2.75" style="2" customWidth="1"/>
    <col min="14350" max="14350" width="8.75" style="2" customWidth="1"/>
    <col min="14351" max="14351" width="2.75" style="2" customWidth="1"/>
    <col min="14352" max="14352" width="8.75" style="2" customWidth="1"/>
    <col min="14353" max="14353" width="2.75" style="2" customWidth="1"/>
    <col min="14354" max="14354" width="8.75" style="2" customWidth="1"/>
    <col min="14355" max="14355" width="2.75" style="2" customWidth="1"/>
    <col min="14356" max="14356" width="8.75" style="2" customWidth="1"/>
    <col min="14357" max="14357" width="2.75" style="2" customWidth="1"/>
    <col min="14358" max="14358" width="8.75" style="2" customWidth="1"/>
    <col min="14359" max="14359" width="2.75" style="2" customWidth="1"/>
    <col min="14360" max="14360" width="8.75" style="2" customWidth="1"/>
    <col min="14361" max="14361" width="2.75" style="2" customWidth="1"/>
    <col min="14362" max="14362" width="8.75" style="2" customWidth="1"/>
    <col min="14363" max="14363" width="2.75" style="2" customWidth="1"/>
    <col min="14364" max="14364" width="8.75" style="2" customWidth="1"/>
    <col min="14365" max="14365" width="2.75" style="2" customWidth="1"/>
    <col min="14366" max="14368" width="8.75" style="2" customWidth="1"/>
    <col min="14369" max="14369" width="2.75" style="2" customWidth="1"/>
    <col min="14370" max="14370" width="8.75" style="2" customWidth="1"/>
    <col min="14371" max="14371" width="2.75" style="2" customWidth="1"/>
    <col min="14372" max="14372" width="8.75" style="2" customWidth="1"/>
    <col min="14373" max="14373" width="2.75" style="2" customWidth="1"/>
    <col min="14374" max="14374" width="8.75" style="2" customWidth="1"/>
    <col min="14375" max="14375" width="2.75" style="2" customWidth="1"/>
    <col min="14376" max="14376" width="8.75" style="2" customWidth="1"/>
    <col min="14377" max="14377" width="2.75" style="2" customWidth="1"/>
    <col min="14378" max="14378" width="8.75" style="2" customWidth="1"/>
    <col min="14379" max="14379" width="2.75" style="2" customWidth="1"/>
    <col min="14380" max="14380" width="8.75" style="2" customWidth="1"/>
    <col min="14381" max="14381" width="2.75" style="2" customWidth="1"/>
    <col min="14382" max="14382" width="8.75" style="2" customWidth="1"/>
    <col min="14383" max="14383" width="2.75" style="2" customWidth="1"/>
    <col min="14384" max="14384" width="8.75" style="2" customWidth="1"/>
    <col min="14385" max="14385" width="2.75" style="2" customWidth="1"/>
    <col min="14386" max="14386" width="8.75" style="2" customWidth="1"/>
    <col min="14387" max="14588" width="8.75" style="2"/>
    <col min="14589" max="14589" width="2.75" style="2" customWidth="1"/>
    <col min="14590" max="14590" width="40.75" style="2" customWidth="1"/>
    <col min="14591" max="14591" width="16" style="2" customWidth="1"/>
    <col min="14592" max="14592" width="4.75" style="2" customWidth="1"/>
    <col min="14593" max="14593" width="10.75" style="2" customWidth="1"/>
    <col min="14594" max="14594" width="2.75" style="2" customWidth="1"/>
    <col min="14595" max="14595" width="4.75" style="2" customWidth="1"/>
    <col min="14596" max="14596" width="35.75" style="2" customWidth="1"/>
    <col min="14597" max="14597" width="8.75" style="2" customWidth="1"/>
    <col min="14598" max="14598" width="2.75" style="2" customWidth="1"/>
    <col min="14599" max="14599" width="8.75" style="2" customWidth="1"/>
    <col min="14600" max="14600" width="2.75" style="2" customWidth="1"/>
    <col min="14601" max="14602" width="8.75" style="2" customWidth="1"/>
    <col min="14603" max="14603" width="45.75" style="2" customWidth="1"/>
    <col min="14604" max="14604" width="8.75" style="2" customWidth="1"/>
    <col min="14605" max="14605" width="2.75" style="2" customWidth="1"/>
    <col min="14606" max="14606" width="8.75" style="2" customWidth="1"/>
    <col min="14607" max="14607" width="2.75" style="2" customWidth="1"/>
    <col min="14608" max="14608" width="8.75" style="2" customWidth="1"/>
    <col min="14609" max="14609" width="2.75" style="2" customWidth="1"/>
    <col min="14610" max="14610" width="8.75" style="2" customWidth="1"/>
    <col min="14611" max="14611" width="2.75" style="2" customWidth="1"/>
    <col min="14612" max="14612" width="8.75" style="2" customWidth="1"/>
    <col min="14613" max="14613" width="2.75" style="2" customWidth="1"/>
    <col min="14614" max="14614" width="8.75" style="2" customWidth="1"/>
    <col min="14615" max="14615" width="2.75" style="2" customWidth="1"/>
    <col min="14616" max="14616" width="8.75" style="2" customWidth="1"/>
    <col min="14617" max="14617" width="2.75" style="2" customWidth="1"/>
    <col min="14618" max="14618" width="8.75" style="2" customWidth="1"/>
    <col min="14619" max="14619" width="2.75" style="2" customWidth="1"/>
    <col min="14620" max="14620" width="8.75" style="2" customWidth="1"/>
    <col min="14621" max="14621" width="2.75" style="2" customWidth="1"/>
    <col min="14622" max="14624" width="8.75" style="2" customWidth="1"/>
    <col min="14625" max="14625" width="2.75" style="2" customWidth="1"/>
    <col min="14626" max="14626" width="8.75" style="2" customWidth="1"/>
    <col min="14627" max="14627" width="2.75" style="2" customWidth="1"/>
    <col min="14628" max="14628" width="8.75" style="2" customWidth="1"/>
    <col min="14629" max="14629" width="2.75" style="2" customWidth="1"/>
    <col min="14630" max="14630" width="8.75" style="2" customWidth="1"/>
    <col min="14631" max="14631" width="2.75" style="2" customWidth="1"/>
    <col min="14632" max="14632" width="8.75" style="2" customWidth="1"/>
    <col min="14633" max="14633" width="2.75" style="2" customWidth="1"/>
    <col min="14634" max="14634" width="8.75" style="2" customWidth="1"/>
    <col min="14635" max="14635" width="2.75" style="2" customWidth="1"/>
    <col min="14636" max="14636" width="8.75" style="2" customWidth="1"/>
    <col min="14637" max="14637" width="2.75" style="2" customWidth="1"/>
    <col min="14638" max="14638" width="8.75" style="2" customWidth="1"/>
    <col min="14639" max="14639" width="2.75" style="2" customWidth="1"/>
    <col min="14640" max="14640" width="8.75" style="2" customWidth="1"/>
    <col min="14641" max="14641" width="2.75" style="2" customWidth="1"/>
    <col min="14642" max="14642" width="8.75" style="2" customWidth="1"/>
    <col min="14643" max="14844" width="8.75" style="2"/>
    <col min="14845" max="14845" width="2.75" style="2" customWidth="1"/>
    <col min="14846" max="14846" width="40.75" style="2" customWidth="1"/>
    <col min="14847" max="14847" width="16" style="2" customWidth="1"/>
    <col min="14848" max="14848" width="4.75" style="2" customWidth="1"/>
    <col min="14849" max="14849" width="10.75" style="2" customWidth="1"/>
    <col min="14850" max="14850" width="2.75" style="2" customWidth="1"/>
    <col min="14851" max="14851" width="4.75" style="2" customWidth="1"/>
    <col min="14852" max="14852" width="35.75" style="2" customWidth="1"/>
    <col min="14853" max="14853" width="8.75" style="2" customWidth="1"/>
    <col min="14854" max="14854" width="2.75" style="2" customWidth="1"/>
    <col min="14855" max="14855" width="8.75" style="2" customWidth="1"/>
    <col min="14856" max="14856" width="2.75" style="2" customWidth="1"/>
    <col min="14857" max="14858" width="8.75" style="2" customWidth="1"/>
    <col min="14859" max="14859" width="45.75" style="2" customWidth="1"/>
    <col min="14860" max="14860" width="8.75" style="2" customWidth="1"/>
    <col min="14861" max="14861" width="2.75" style="2" customWidth="1"/>
    <col min="14862" max="14862" width="8.75" style="2" customWidth="1"/>
    <col min="14863" max="14863" width="2.75" style="2" customWidth="1"/>
    <col min="14864" max="14864" width="8.75" style="2" customWidth="1"/>
    <col min="14865" max="14865" width="2.75" style="2" customWidth="1"/>
    <col min="14866" max="14866" width="8.75" style="2" customWidth="1"/>
    <col min="14867" max="14867" width="2.75" style="2" customWidth="1"/>
    <col min="14868" max="14868" width="8.75" style="2" customWidth="1"/>
    <col min="14869" max="14869" width="2.75" style="2" customWidth="1"/>
    <col min="14870" max="14870" width="8.75" style="2" customWidth="1"/>
    <col min="14871" max="14871" width="2.75" style="2" customWidth="1"/>
    <col min="14872" max="14872" width="8.75" style="2" customWidth="1"/>
    <col min="14873" max="14873" width="2.75" style="2" customWidth="1"/>
    <col min="14874" max="14874" width="8.75" style="2" customWidth="1"/>
    <col min="14875" max="14875" width="2.75" style="2" customWidth="1"/>
    <col min="14876" max="14876" width="8.75" style="2" customWidth="1"/>
    <col min="14877" max="14877" width="2.75" style="2" customWidth="1"/>
    <col min="14878" max="14880" width="8.75" style="2" customWidth="1"/>
    <col min="14881" max="14881" width="2.75" style="2" customWidth="1"/>
    <col min="14882" max="14882" width="8.75" style="2" customWidth="1"/>
    <col min="14883" max="14883" width="2.75" style="2" customWidth="1"/>
    <col min="14884" max="14884" width="8.75" style="2" customWidth="1"/>
    <col min="14885" max="14885" width="2.75" style="2" customWidth="1"/>
    <col min="14886" max="14886" width="8.75" style="2" customWidth="1"/>
    <col min="14887" max="14887" width="2.75" style="2" customWidth="1"/>
    <col min="14888" max="14888" width="8.75" style="2" customWidth="1"/>
    <col min="14889" max="14889" width="2.75" style="2" customWidth="1"/>
    <col min="14890" max="14890" width="8.75" style="2" customWidth="1"/>
    <col min="14891" max="14891" width="2.75" style="2" customWidth="1"/>
    <col min="14892" max="14892" width="8.75" style="2" customWidth="1"/>
    <col min="14893" max="14893" width="2.75" style="2" customWidth="1"/>
    <col min="14894" max="14894" width="8.75" style="2" customWidth="1"/>
    <col min="14895" max="14895" width="2.75" style="2" customWidth="1"/>
    <col min="14896" max="14896" width="8.75" style="2" customWidth="1"/>
    <col min="14897" max="14897" width="2.75" style="2" customWidth="1"/>
    <col min="14898" max="14898" width="8.75" style="2" customWidth="1"/>
    <col min="14899" max="15100" width="8.75" style="2"/>
    <col min="15101" max="15101" width="2.75" style="2" customWidth="1"/>
    <col min="15102" max="15102" width="40.75" style="2" customWidth="1"/>
    <col min="15103" max="15103" width="16" style="2" customWidth="1"/>
    <col min="15104" max="15104" width="4.75" style="2" customWidth="1"/>
    <col min="15105" max="15105" width="10.75" style="2" customWidth="1"/>
    <col min="15106" max="15106" width="2.75" style="2" customWidth="1"/>
    <col min="15107" max="15107" width="4.75" style="2" customWidth="1"/>
    <col min="15108" max="15108" width="35.75" style="2" customWidth="1"/>
    <col min="15109" max="15109" width="8.75" style="2" customWidth="1"/>
    <col min="15110" max="15110" width="2.75" style="2" customWidth="1"/>
    <col min="15111" max="15111" width="8.75" style="2" customWidth="1"/>
    <col min="15112" max="15112" width="2.75" style="2" customWidth="1"/>
    <col min="15113" max="15114" width="8.75" style="2" customWidth="1"/>
    <col min="15115" max="15115" width="45.75" style="2" customWidth="1"/>
    <col min="15116" max="15116" width="8.75" style="2" customWidth="1"/>
    <col min="15117" max="15117" width="2.75" style="2" customWidth="1"/>
    <col min="15118" max="15118" width="8.75" style="2" customWidth="1"/>
    <col min="15119" max="15119" width="2.75" style="2" customWidth="1"/>
    <col min="15120" max="15120" width="8.75" style="2" customWidth="1"/>
    <col min="15121" max="15121" width="2.75" style="2" customWidth="1"/>
    <col min="15122" max="15122" width="8.75" style="2" customWidth="1"/>
    <col min="15123" max="15123" width="2.75" style="2" customWidth="1"/>
    <col min="15124" max="15124" width="8.75" style="2" customWidth="1"/>
    <col min="15125" max="15125" width="2.75" style="2" customWidth="1"/>
    <col min="15126" max="15126" width="8.75" style="2" customWidth="1"/>
    <col min="15127" max="15127" width="2.75" style="2" customWidth="1"/>
    <col min="15128" max="15128" width="8.75" style="2" customWidth="1"/>
    <col min="15129" max="15129" width="2.75" style="2" customWidth="1"/>
    <col min="15130" max="15130" width="8.75" style="2" customWidth="1"/>
    <col min="15131" max="15131" width="2.75" style="2" customWidth="1"/>
    <col min="15132" max="15132" width="8.75" style="2" customWidth="1"/>
    <col min="15133" max="15133" width="2.75" style="2" customWidth="1"/>
    <col min="15134" max="15136" width="8.75" style="2" customWidth="1"/>
    <col min="15137" max="15137" width="2.75" style="2" customWidth="1"/>
    <col min="15138" max="15138" width="8.75" style="2" customWidth="1"/>
    <col min="15139" max="15139" width="2.75" style="2" customWidth="1"/>
    <col min="15140" max="15140" width="8.75" style="2" customWidth="1"/>
    <col min="15141" max="15141" width="2.75" style="2" customWidth="1"/>
    <col min="15142" max="15142" width="8.75" style="2" customWidth="1"/>
    <col min="15143" max="15143" width="2.75" style="2" customWidth="1"/>
    <col min="15144" max="15144" width="8.75" style="2" customWidth="1"/>
    <col min="15145" max="15145" width="2.75" style="2" customWidth="1"/>
    <col min="15146" max="15146" width="8.75" style="2" customWidth="1"/>
    <col min="15147" max="15147" width="2.75" style="2" customWidth="1"/>
    <col min="15148" max="15148" width="8.75" style="2" customWidth="1"/>
    <col min="15149" max="15149" width="2.75" style="2" customWidth="1"/>
    <col min="15150" max="15150" width="8.75" style="2" customWidth="1"/>
    <col min="15151" max="15151" width="2.75" style="2" customWidth="1"/>
    <col min="15152" max="15152" width="8.75" style="2" customWidth="1"/>
    <col min="15153" max="15153" width="2.75" style="2" customWidth="1"/>
    <col min="15154" max="15154" width="8.75" style="2" customWidth="1"/>
    <col min="15155" max="15356" width="8.75" style="2"/>
    <col min="15357" max="15357" width="2.75" style="2" customWidth="1"/>
    <col min="15358" max="15358" width="40.75" style="2" customWidth="1"/>
    <col min="15359" max="15359" width="16" style="2" customWidth="1"/>
    <col min="15360" max="15360" width="4.75" style="2" customWidth="1"/>
    <col min="15361" max="15361" width="10.75" style="2" customWidth="1"/>
    <col min="15362" max="15362" width="2.75" style="2" customWidth="1"/>
    <col min="15363" max="15363" width="4.75" style="2" customWidth="1"/>
    <col min="15364" max="15364" width="35.75" style="2" customWidth="1"/>
    <col min="15365" max="15365" width="8.75" style="2" customWidth="1"/>
    <col min="15366" max="15366" width="2.75" style="2" customWidth="1"/>
    <col min="15367" max="15367" width="8.75" style="2" customWidth="1"/>
    <col min="15368" max="15368" width="2.75" style="2" customWidth="1"/>
    <col min="15369" max="15370" width="8.75" style="2" customWidth="1"/>
    <col min="15371" max="15371" width="45.75" style="2" customWidth="1"/>
    <col min="15372" max="15372" width="8.75" style="2" customWidth="1"/>
    <col min="15373" max="15373" width="2.75" style="2" customWidth="1"/>
    <col min="15374" max="15374" width="8.75" style="2" customWidth="1"/>
    <col min="15375" max="15375" width="2.75" style="2" customWidth="1"/>
    <col min="15376" max="15376" width="8.75" style="2" customWidth="1"/>
    <col min="15377" max="15377" width="2.75" style="2" customWidth="1"/>
    <col min="15378" max="15378" width="8.75" style="2" customWidth="1"/>
    <col min="15379" max="15379" width="2.75" style="2" customWidth="1"/>
    <col min="15380" max="15380" width="8.75" style="2" customWidth="1"/>
    <col min="15381" max="15381" width="2.75" style="2" customWidth="1"/>
    <col min="15382" max="15382" width="8.75" style="2" customWidth="1"/>
    <col min="15383" max="15383" width="2.75" style="2" customWidth="1"/>
    <col min="15384" max="15384" width="8.75" style="2" customWidth="1"/>
    <col min="15385" max="15385" width="2.75" style="2" customWidth="1"/>
    <col min="15386" max="15386" width="8.75" style="2" customWidth="1"/>
    <col min="15387" max="15387" width="2.75" style="2" customWidth="1"/>
    <col min="15388" max="15388" width="8.75" style="2" customWidth="1"/>
    <col min="15389" max="15389" width="2.75" style="2" customWidth="1"/>
    <col min="15390" max="15392" width="8.75" style="2" customWidth="1"/>
    <col min="15393" max="15393" width="2.75" style="2" customWidth="1"/>
    <col min="15394" max="15394" width="8.75" style="2" customWidth="1"/>
    <col min="15395" max="15395" width="2.75" style="2" customWidth="1"/>
    <col min="15396" max="15396" width="8.75" style="2" customWidth="1"/>
    <col min="15397" max="15397" width="2.75" style="2" customWidth="1"/>
    <col min="15398" max="15398" width="8.75" style="2" customWidth="1"/>
    <col min="15399" max="15399" width="2.75" style="2" customWidth="1"/>
    <col min="15400" max="15400" width="8.75" style="2" customWidth="1"/>
    <col min="15401" max="15401" width="2.75" style="2" customWidth="1"/>
    <col min="15402" max="15402" width="8.75" style="2" customWidth="1"/>
    <col min="15403" max="15403" width="2.75" style="2" customWidth="1"/>
    <col min="15404" max="15404" width="8.75" style="2" customWidth="1"/>
    <col min="15405" max="15405" width="2.75" style="2" customWidth="1"/>
    <col min="15406" max="15406" width="8.75" style="2" customWidth="1"/>
    <col min="15407" max="15407" width="2.75" style="2" customWidth="1"/>
    <col min="15408" max="15408" width="8.75" style="2" customWidth="1"/>
    <col min="15409" max="15409" width="2.75" style="2" customWidth="1"/>
    <col min="15410" max="15410" width="8.75" style="2" customWidth="1"/>
    <col min="15411" max="15612" width="8.75" style="2"/>
    <col min="15613" max="15613" width="2.75" style="2" customWidth="1"/>
    <col min="15614" max="15614" width="40.75" style="2" customWidth="1"/>
    <col min="15615" max="15615" width="16" style="2" customWidth="1"/>
    <col min="15616" max="15616" width="4.75" style="2" customWidth="1"/>
    <col min="15617" max="15617" width="10.75" style="2" customWidth="1"/>
    <col min="15618" max="15618" width="2.75" style="2" customWidth="1"/>
    <col min="15619" max="15619" width="4.75" style="2" customWidth="1"/>
    <col min="15620" max="15620" width="35.75" style="2" customWidth="1"/>
    <col min="15621" max="15621" width="8.75" style="2" customWidth="1"/>
    <col min="15622" max="15622" width="2.75" style="2" customWidth="1"/>
    <col min="15623" max="15623" width="8.75" style="2" customWidth="1"/>
    <col min="15624" max="15624" width="2.75" style="2" customWidth="1"/>
    <col min="15625" max="15626" width="8.75" style="2" customWidth="1"/>
    <col min="15627" max="15627" width="45.75" style="2" customWidth="1"/>
    <col min="15628" max="15628" width="8.75" style="2" customWidth="1"/>
    <col min="15629" max="15629" width="2.75" style="2" customWidth="1"/>
    <col min="15630" max="15630" width="8.75" style="2" customWidth="1"/>
    <col min="15631" max="15631" width="2.75" style="2" customWidth="1"/>
    <col min="15632" max="15632" width="8.75" style="2" customWidth="1"/>
    <col min="15633" max="15633" width="2.75" style="2" customWidth="1"/>
    <col min="15634" max="15634" width="8.75" style="2" customWidth="1"/>
    <col min="15635" max="15635" width="2.75" style="2" customWidth="1"/>
    <col min="15636" max="15636" width="8.75" style="2" customWidth="1"/>
    <col min="15637" max="15637" width="2.75" style="2" customWidth="1"/>
    <col min="15638" max="15638" width="8.75" style="2" customWidth="1"/>
    <col min="15639" max="15639" width="2.75" style="2" customWidth="1"/>
    <col min="15640" max="15640" width="8.75" style="2" customWidth="1"/>
    <col min="15641" max="15641" width="2.75" style="2" customWidth="1"/>
    <col min="15642" max="15642" width="8.75" style="2" customWidth="1"/>
    <col min="15643" max="15643" width="2.75" style="2" customWidth="1"/>
    <col min="15644" max="15644" width="8.75" style="2" customWidth="1"/>
    <col min="15645" max="15645" width="2.75" style="2" customWidth="1"/>
    <col min="15646" max="15648" width="8.75" style="2" customWidth="1"/>
    <col min="15649" max="15649" width="2.75" style="2" customWidth="1"/>
    <col min="15650" max="15650" width="8.75" style="2" customWidth="1"/>
    <col min="15651" max="15651" width="2.75" style="2" customWidth="1"/>
    <col min="15652" max="15652" width="8.75" style="2" customWidth="1"/>
    <col min="15653" max="15653" width="2.75" style="2" customWidth="1"/>
    <col min="15654" max="15654" width="8.75" style="2" customWidth="1"/>
    <col min="15655" max="15655" width="2.75" style="2" customWidth="1"/>
    <col min="15656" max="15656" width="8.75" style="2" customWidth="1"/>
    <col min="15657" max="15657" width="2.75" style="2" customWidth="1"/>
    <col min="15658" max="15658" width="8.75" style="2" customWidth="1"/>
    <col min="15659" max="15659" width="2.75" style="2" customWidth="1"/>
    <col min="15660" max="15660" width="8.75" style="2" customWidth="1"/>
    <col min="15661" max="15661" width="2.75" style="2" customWidth="1"/>
    <col min="15662" max="15662" width="8.75" style="2" customWidth="1"/>
    <col min="15663" max="15663" width="2.75" style="2" customWidth="1"/>
    <col min="15664" max="15664" width="8.75" style="2" customWidth="1"/>
    <col min="15665" max="15665" width="2.75" style="2" customWidth="1"/>
    <col min="15666" max="15666" width="8.75" style="2" customWidth="1"/>
    <col min="15667" max="15868" width="8.75" style="2"/>
    <col min="15869" max="15869" width="2.75" style="2" customWidth="1"/>
    <col min="15870" max="15870" width="40.75" style="2" customWidth="1"/>
    <col min="15871" max="15871" width="16" style="2" customWidth="1"/>
    <col min="15872" max="15872" width="4.75" style="2" customWidth="1"/>
    <col min="15873" max="15873" width="10.75" style="2" customWidth="1"/>
    <col min="15874" max="15874" width="2.75" style="2" customWidth="1"/>
    <col min="15875" max="15875" width="4.75" style="2" customWidth="1"/>
    <col min="15876" max="15876" width="35.75" style="2" customWidth="1"/>
    <col min="15877" max="15877" width="8.75" style="2" customWidth="1"/>
    <col min="15878" max="15878" width="2.75" style="2" customWidth="1"/>
    <col min="15879" max="15879" width="8.75" style="2" customWidth="1"/>
    <col min="15880" max="15880" width="2.75" style="2" customWidth="1"/>
    <col min="15881" max="15882" width="8.75" style="2" customWidth="1"/>
    <col min="15883" max="15883" width="45.75" style="2" customWidth="1"/>
    <col min="15884" max="15884" width="8.75" style="2" customWidth="1"/>
    <col min="15885" max="15885" width="2.75" style="2" customWidth="1"/>
    <col min="15886" max="15886" width="8.75" style="2" customWidth="1"/>
    <col min="15887" max="15887" width="2.75" style="2" customWidth="1"/>
    <col min="15888" max="15888" width="8.75" style="2" customWidth="1"/>
    <col min="15889" max="15889" width="2.75" style="2" customWidth="1"/>
    <col min="15890" max="15890" width="8.75" style="2" customWidth="1"/>
    <col min="15891" max="15891" width="2.75" style="2" customWidth="1"/>
    <col min="15892" max="15892" width="8.75" style="2" customWidth="1"/>
    <col min="15893" max="15893" width="2.75" style="2" customWidth="1"/>
    <col min="15894" max="15894" width="8.75" style="2" customWidth="1"/>
    <col min="15895" max="15895" width="2.75" style="2" customWidth="1"/>
    <col min="15896" max="15896" width="8.75" style="2" customWidth="1"/>
    <col min="15897" max="15897" width="2.75" style="2" customWidth="1"/>
    <col min="15898" max="15898" width="8.75" style="2" customWidth="1"/>
    <col min="15899" max="15899" width="2.75" style="2" customWidth="1"/>
    <col min="15900" max="15900" width="8.75" style="2" customWidth="1"/>
    <col min="15901" max="15901" width="2.75" style="2" customWidth="1"/>
    <col min="15902" max="15904" width="8.75" style="2" customWidth="1"/>
    <col min="15905" max="15905" width="2.75" style="2" customWidth="1"/>
    <col min="15906" max="15906" width="8.75" style="2" customWidth="1"/>
    <col min="15907" max="15907" width="2.75" style="2" customWidth="1"/>
    <col min="15908" max="15908" width="8.75" style="2" customWidth="1"/>
    <col min="15909" max="15909" width="2.75" style="2" customWidth="1"/>
    <col min="15910" max="15910" width="8.75" style="2" customWidth="1"/>
    <col min="15911" max="15911" width="2.75" style="2" customWidth="1"/>
    <col min="15912" max="15912" width="8.75" style="2" customWidth="1"/>
    <col min="15913" max="15913" width="2.75" style="2" customWidth="1"/>
    <col min="15914" max="15914" width="8.75" style="2" customWidth="1"/>
    <col min="15915" max="15915" width="2.75" style="2" customWidth="1"/>
    <col min="15916" max="15916" width="8.75" style="2" customWidth="1"/>
    <col min="15917" max="15917" width="2.75" style="2" customWidth="1"/>
    <col min="15918" max="15918" width="8.75" style="2" customWidth="1"/>
    <col min="15919" max="15919" width="2.75" style="2" customWidth="1"/>
    <col min="15920" max="15920" width="8.75" style="2" customWidth="1"/>
    <col min="15921" max="15921" width="2.75" style="2" customWidth="1"/>
    <col min="15922" max="15922" width="8.75" style="2" customWidth="1"/>
    <col min="15923" max="16124" width="8.75" style="2"/>
    <col min="16125" max="16125" width="2.75" style="2" customWidth="1"/>
    <col min="16126" max="16126" width="40.75" style="2" customWidth="1"/>
    <col min="16127" max="16127" width="16" style="2" customWidth="1"/>
    <col min="16128" max="16128" width="4.75" style="2" customWidth="1"/>
    <col min="16129" max="16129" width="10.75" style="2" customWidth="1"/>
    <col min="16130" max="16130" width="2.75" style="2" customWidth="1"/>
    <col min="16131" max="16131" width="4.75" style="2" customWidth="1"/>
    <col min="16132" max="16132" width="35.75" style="2" customWidth="1"/>
    <col min="16133" max="16133" width="8.75" style="2" customWidth="1"/>
    <col min="16134" max="16134" width="2.75" style="2" customWidth="1"/>
    <col min="16135" max="16135" width="8.75" style="2" customWidth="1"/>
    <col min="16136" max="16136" width="2.75" style="2" customWidth="1"/>
    <col min="16137" max="16138" width="8.75" style="2" customWidth="1"/>
    <col min="16139" max="16139" width="45.75" style="2" customWidth="1"/>
    <col min="16140" max="16140" width="8.75" style="2" customWidth="1"/>
    <col min="16141" max="16141" width="2.75" style="2" customWidth="1"/>
    <col min="16142" max="16142" width="8.75" style="2" customWidth="1"/>
    <col min="16143" max="16143" width="2.75" style="2" customWidth="1"/>
    <col min="16144" max="16144" width="8.75" style="2" customWidth="1"/>
    <col min="16145" max="16145" width="2.75" style="2" customWidth="1"/>
    <col min="16146" max="16146" width="8.75" style="2" customWidth="1"/>
    <col min="16147" max="16147" width="2.75" style="2" customWidth="1"/>
    <col min="16148" max="16148" width="8.75" style="2" customWidth="1"/>
    <col min="16149" max="16149" width="2.75" style="2" customWidth="1"/>
    <col min="16150" max="16150" width="8.75" style="2" customWidth="1"/>
    <col min="16151" max="16151" width="2.75" style="2" customWidth="1"/>
    <col min="16152" max="16152" width="8.75" style="2" customWidth="1"/>
    <col min="16153" max="16153" width="2.75" style="2" customWidth="1"/>
    <col min="16154" max="16154" width="8.75" style="2" customWidth="1"/>
    <col min="16155" max="16155" width="2.75" style="2" customWidth="1"/>
    <col min="16156" max="16156" width="8.75" style="2" customWidth="1"/>
    <col min="16157" max="16157" width="2.75" style="2" customWidth="1"/>
    <col min="16158" max="16160" width="8.75" style="2" customWidth="1"/>
    <col min="16161" max="16161" width="2.75" style="2" customWidth="1"/>
    <col min="16162" max="16162" width="8.75" style="2" customWidth="1"/>
    <col min="16163" max="16163" width="2.75" style="2" customWidth="1"/>
    <col min="16164" max="16164" width="8.75" style="2" customWidth="1"/>
    <col min="16165" max="16165" width="2.75" style="2" customWidth="1"/>
    <col min="16166" max="16166" width="8.75" style="2" customWidth="1"/>
    <col min="16167" max="16167" width="2.75" style="2" customWidth="1"/>
    <col min="16168" max="16168" width="8.75" style="2" customWidth="1"/>
    <col min="16169" max="16169" width="2.75" style="2" customWidth="1"/>
    <col min="16170" max="16170" width="8.75" style="2" customWidth="1"/>
    <col min="16171" max="16171" width="2.75" style="2" customWidth="1"/>
    <col min="16172" max="16172" width="8.75" style="2" customWidth="1"/>
    <col min="16173" max="16173" width="2.75" style="2" customWidth="1"/>
    <col min="16174" max="16174" width="8.75" style="2" customWidth="1"/>
    <col min="16175" max="16175" width="2.75" style="2" customWidth="1"/>
    <col min="16176" max="16176" width="8.75" style="2" customWidth="1"/>
    <col min="16177" max="16177" width="2.75" style="2" customWidth="1"/>
    <col min="16178" max="16178" width="8.75" style="2" customWidth="1"/>
    <col min="16179" max="16384" width="8.75" style="2"/>
  </cols>
  <sheetData>
    <row r="1" spans="2:50" ht="13.15" customHeight="1" x14ac:dyDescent="0.2">
      <c r="B1" s="1" t="s">
        <v>0</v>
      </c>
      <c r="H1" s="3"/>
    </row>
    <row r="2" spans="2:50" ht="12" customHeight="1" x14ac:dyDescent="0.2">
      <c r="B2" s="4" t="s">
        <v>1</v>
      </c>
      <c r="H2" s="2" t="s">
        <v>75</v>
      </c>
      <c r="I2" s="2">
        <v>1</v>
      </c>
      <c r="K2" s="5" t="s">
        <v>2</v>
      </c>
      <c r="L2" s="6">
        <f>C8*C10</f>
        <v>25</v>
      </c>
    </row>
    <row r="3" spans="2:50" s="7" customFormat="1" ht="12" customHeight="1" x14ac:dyDescent="0.2">
      <c r="B3" s="7" t="s">
        <v>3</v>
      </c>
      <c r="D3" s="8"/>
      <c r="H3" s="7" t="s">
        <v>71</v>
      </c>
      <c r="I3" s="7">
        <v>1.1850000000000001</v>
      </c>
      <c r="K3" s="9"/>
      <c r="L3" s="10"/>
    </row>
    <row r="4" spans="2:50" ht="12" customHeight="1" x14ac:dyDescent="0.2">
      <c r="B4" s="11" t="s">
        <v>4</v>
      </c>
      <c r="H4" s="2" t="s">
        <v>68</v>
      </c>
      <c r="I4" s="2">
        <v>1.256</v>
      </c>
      <c r="K4" s="5"/>
      <c r="L4" s="6"/>
    </row>
    <row r="5" spans="2:50" x14ac:dyDescent="0.15">
      <c r="C5" s="12"/>
      <c r="H5" s="2" t="s">
        <v>69</v>
      </c>
      <c r="I5" s="2">
        <v>1.4810000000000001</v>
      </c>
    </row>
    <row r="6" spans="2:50" ht="15" x14ac:dyDescent="0.2">
      <c r="B6" s="13" t="s">
        <v>5</v>
      </c>
      <c r="C6" s="14"/>
      <c r="D6" s="14"/>
      <c r="E6" s="14"/>
      <c r="H6" s="2" t="s">
        <v>70</v>
      </c>
      <c r="I6" s="2">
        <v>1.1479999999999999</v>
      </c>
    </row>
    <row r="7" spans="2:50" ht="15.75" x14ac:dyDescent="0.25">
      <c r="B7" s="15" t="s">
        <v>66</v>
      </c>
      <c r="C7" s="28">
        <v>25</v>
      </c>
      <c r="D7" s="14"/>
      <c r="E7" s="14"/>
      <c r="H7" s="2" t="s">
        <v>72</v>
      </c>
      <c r="I7" s="2">
        <v>1.25</v>
      </c>
    </row>
    <row r="8" spans="2:50" ht="15.75" x14ac:dyDescent="0.25">
      <c r="B8" s="15" t="s">
        <v>6</v>
      </c>
      <c r="C8" s="29">
        <v>25</v>
      </c>
      <c r="D8" s="14"/>
      <c r="E8" s="14"/>
      <c r="H8" s="2" t="s">
        <v>73</v>
      </c>
      <c r="I8" s="2">
        <v>0.6</v>
      </c>
    </row>
    <row r="9" spans="2:50" ht="15.75" x14ac:dyDescent="0.25">
      <c r="B9" s="15" t="s">
        <v>67</v>
      </c>
      <c r="C9" s="29" t="s">
        <v>74</v>
      </c>
      <c r="D9" s="14"/>
      <c r="E9" s="14"/>
      <c r="K9" s="5" t="s">
        <v>7</v>
      </c>
      <c r="L9" s="6">
        <f>C7/L2^(1/3)</f>
        <v>8.5498797333834862</v>
      </c>
    </row>
    <row r="10" spans="2:50" ht="15.75" x14ac:dyDescent="0.25">
      <c r="B10" s="15" t="s">
        <v>65</v>
      </c>
      <c r="C10" s="30">
        <f>VLOOKUP(C9,H2:I8,2,FALSE)</f>
        <v>1</v>
      </c>
      <c r="D10" s="14"/>
      <c r="E10" s="14"/>
      <c r="K10" s="5" t="s">
        <v>8</v>
      </c>
      <c r="L10" s="6">
        <f>LOG(L9)</f>
        <v>0.93196000578135851</v>
      </c>
    </row>
    <row r="11" spans="2:50" ht="15" x14ac:dyDescent="0.2">
      <c r="B11" s="14"/>
      <c r="C11" s="14"/>
      <c r="D11" s="14"/>
      <c r="E11" s="14"/>
    </row>
    <row r="12" spans="2:50" ht="15" x14ac:dyDescent="0.2">
      <c r="B12" s="13" t="s">
        <v>9</v>
      </c>
    </row>
    <row r="13" spans="2:50" ht="15" x14ac:dyDescent="0.2">
      <c r="B13" s="14"/>
      <c r="C13" s="16" t="s">
        <v>10</v>
      </c>
      <c r="D13" s="14"/>
      <c r="E13" s="16" t="s">
        <v>11</v>
      </c>
      <c r="K13" s="6">
        <v>4</v>
      </c>
      <c r="L13" s="17" t="s">
        <v>12</v>
      </c>
      <c r="AF13" s="17" t="s">
        <v>13</v>
      </c>
    </row>
    <row r="14" spans="2:50" ht="15.75" x14ac:dyDescent="0.25">
      <c r="B14" s="15" t="s">
        <v>14</v>
      </c>
      <c r="C14" s="18">
        <f>L40</f>
        <v>13.7351648697881</v>
      </c>
      <c r="D14" s="19"/>
      <c r="E14" s="36">
        <f>AF40</f>
        <v>18.464308399187036</v>
      </c>
      <c r="L14" s="3" t="s">
        <v>15</v>
      </c>
      <c r="N14" s="3" t="s">
        <v>16</v>
      </c>
      <c r="P14" s="3" t="s">
        <v>17</v>
      </c>
      <c r="R14" s="3" t="s">
        <v>18</v>
      </c>
      <c r="T14" s="3" t="s">
        <v>19</v>
      </c>
      <c r="V14" s="3" t="s">
        <v>20</v>
      </c>
      <c r="X14" s="3" t="s">
        <v>21</v>
      </c>
      <c r="Z14" s="3" t="s">
        <v>22</v>
      </c>
      <c r="AB14" s="3" t="s">
        <v>23</v>
      </c>
      <c r="AD14" s="3" t="s">
        <v>24</v>
      </c>
      <c r="AF14" s="3" t="s">
        <v>15</v>
      </c>
      <c r="AH14" s="3" t="s">
        <v>16</v>
      </c>
      <c r="AJ14" s="3" t="s">
        <v>17</v>
      </c>
      <c r="AL14" s="3" t="s">
        <v>18</v>
      </c>
      <c r="AN14" s="3" t="s">
        <v>19</v>
      </c>
      <c r="AP14" s="3" t="s">
        <v>20</v>
      </c>
      <c r="AR14" s="3" t="s">
        <v>21</v>
      </c>
      <c r="AT14" s="3" t="s">
        <v>22</v>
      </c>
      <c r="AV14" s="3" t="s">
        <v>23</v>
      </c>
      <c r="AX14" s="3" t="s">
        <v>24</v>
      </c>
    </row>
    <row r="15" spans="2:50" ht="15.75" x14ac:dyDescent="0.25">
      <c r="B15" s="15" t="s">
        <v>25</v>
      </c>
      <c r="C15" s="18">
        <f>P40</f>
        <v>71.752214648623351</v>
      </c>
      <c r="D15" s="19"/>
      <c r="E15" s="18">
        <f>AJ40</f>
        <v>105.41347913970874</v>
      </c>
      <c r="H15" s="5"/>
      <c r="I15" s="6"/>
      <c r="J15" s="17"/>
      <c r="K15" s="5" t="s">
        <v>27</v>
      </c>
    </row>
    <row r="16" spans="2:50" ht="15.75" x14ac:dyDescent="0.25">
      <c r="B16" s="15" t="s">
        <v>26</v>
      </c>
      <c r="C16" s="18">
        <f>R40</f>
        <v>29.067140331622408</v>
      </c>
      <c r="D16" s="20"/>
      <c r="E16" s="18">
        <f>AL40</f>
        <v>39.8104577710059</v>
      </c>
      <c r="H16" s="5"/>
      <c r="I16" s="6"/>
      <c r="J16" s="17"/>
      <c r="L16" s="6">
        <f>-0.214362789151+(1.35034249993*L10)</f>
        <v>1.0441024148905769</v>
      </c>
      <c r="N16" s="6">
        <f>2.34723921354+3.24299066475*L10</f>
        <v>5.3695768122093019</v>
      </c>
      <c r="P16" s="6">
        <f>-1.75305660315+2.30629231803*L10</f>
        <v>0.39631559889474155</v>
      </c>
      <c r="R16" s="6">
        <f>-0.214362789151+1.35034249993*L10</f>
        <v>1.0441024148905769</v>
      </c>
      <c r="T16" s="6">
        <f>-0.204004553231+1.37882996018*L10</f>
        <v>1.0810098244298632</v>
      </c>
      <c r="V16" s="6">
        <f>-0.214362789151+1.35034249993*L10</f>
        <v>1.0441024148905769</v>
      </c>
      <c r="X16" s="6">
        <f>-0.253273111999+1.37407043777*L10</f>
        <v>1.027305581129123</v>
      </c>
      <c r="Z16" s="6">
        <f>2.26367268496+5.11588554305*L10</f>
        <v>7.0314734052376462</v>
      </c>
      <c r="AB16" s="6">
        <f>-1.33361206714+(9.2996288611*L10)</f>
        <v>7.3332701000152456</v>
      </c>
      <c r="AD16" s="6">
        <f>-3.13005805346+3.1524725364*L10</f>
        <v>-0.19207973021108193</v>
      </c>
      <c r="AF16" s="6">
        <f>-0.214362789151+1.35034249993*L10</f>
        <v>1.0441024148905769</v>
      </c>
      <c r="AH16" s="6">
        <f>2.06761908721+3.0760329666*L10</f>
        <v>4.9343587885461861</v>
      </c>
      <c r="AJ16" s="6">
        <f>-1.94708846747+2.40697745406*L10</f>
        <v>0.29611825453135721</v>
      </c>
      <c r="AL16" s="6">
        <f>-0.240657322658+1.3663771922*L10</f>
        <v>1.0327515732842285</v>
      </c>
      <c r="AN16" s="6">
        <f>-0.246208804814+1.33422049854*L10</f>
        <v>0.99723133871894543</v>
      </c>
      <c r="AP16" s="6">
        <f>-0.2024225716178+1.37784223635*L10</f>
        <v>1.081671286936746</v>
      </c>
      <c r="AR16" s="6">
        <f>-0.202425716178+1.37784223635*L10</f>
        <v>1.081668142376546</v>
      </c>
      <c r="AT16" s="6">
        <f>1.92946154068+5.25099193925*L10</f>
        <v>6.8231760187412975</v>
      </c>
      <c r="AV16" s="6">
        <f>-2.12492525216+9.2996288611*L10</f>
        <v>6.5419569149952448</v>
      </c>
      <c r="AX16" s="6">
        <f>-3.53626218091+3.46349745571*L10</f>
        <v>-0.30842107206278824</v>
      </c>
    </row>
    <row r="17" spans="2:50" ht="15.75" x14ac:dyDescent="0.25">
      <c r="B17" s="15" t="s">
        <v>28</v>
      </c>
      <c r="C17" s="18">
        <f>T40</f>
        <v>137.02403445949153</v>
      </c>
      <c r="D17" s="19"/>
      <c r="E17" s="18">
        <f>AN40</f>
        <v>204.94207394402696</v>
      </c>
      <c r="H17" s="5"/>
      <c r="I17" s="21"/>
      <c r="J17" s="17"/>
    </row>
    <row r="18" spans="2:50" ht="15.75" x14ac:dyDescent="0.25">
      <c r="B18" s="15" t="s">
        <v>29</v>
      </c>
      <c r="C18" s="22">
        <f>V40</f>
        <v>0.36977651691480756</v>
      </c>
      <c r="D18" s="19"/>
      <c r="E18" s="22">
        <f>AP40</f>
        <v>0.36564782962098752</v>
      </c>
      <c r="K18" s="5" t="s">
        <v>30</v>
      </c>
      <c r="L18" s="6">
        <f>1.69012801396*L16</f>
        <v>1.7646667408498504</v>
      </c>
      <c r="N18" s="6">
        <f>-0.443749377691*N16</f>
        <v>-2.3827463688819011</v>
      </c>
      <c r="P18" s="6">
        <f>-0.40463292088*P16</f>
        <v>-0.16036233837108579</v>
      </c>
      <c r="R18" s="6">
        <f>-2.21400538997*R16</f>
        <v>-2.3116483742484304</v>
      </c>
      <c r="T18" s="6">
        <f>-0.903118886091*T16</f>
        <v>-0.97628038849252552</v>
      </c>
      <c r="V18" s="6">
        <f>-0.650507560471*V16</f>
        <v>-0.6791965147923491</v>
      </c>
      <c r="X18" s="6">
        <f>1.36456871214*X16</f>
        <v>1.4018290538156017</v>
      </c>
      <c r="Z18" s="6">
        <f>0.164953518069*Z16</f>
        <v>1.159866275402561</v>
      </c>
      <c r="AB18" s="6">
        <f>-0.0297944268969*AB16</f>
        <v>-0.2184905799101268</v>
      </c>
      <c r="AD18" s="6">
        <f>0.0967031995552*AD16</f>
        <v>-1.8574724481111235E-2</v>
      </c>
      <c r="AF18" s="6">
        <f>-1.6958988741*AF16</f>
        <v>-1.7706921098580204</v>
      </c>
      <c r="AH18" s="6">
        <f>-0.502992763686*AH16</f>
        <v>-2.481946764069149</v>
      </c>
      <c r="AJ18" s="6">
        <f>-0.384519026965*AJ16</f>
        <v>-0.11386310309897167</v>
      </c>
      <c r="AL18" s="6">
        <f>-2.21030870597*AL16</f>
        <v>-2.2826997935343449</v>
      </c>
      <c r="AN18" s="6">
        <f>-0.949516092853*AN16</f>
        <v>-0.94688720441097962</v>
      </c>
      <c r="AP18" s="6">
        <f>-0.698029762594*AP16</f>
        <v>-0.75503875162520317</v>
      </c>
      <c r="AR18" s="6">
        <f>1.35706496258*AR16</f>
        <v>1.4678939371582054</v>
      </c>
      <c r="AT18" s="6">
        <f>0.130143717675*AT16</f>
        <v>0.88799349342989786</v>
      </c>
      <c r="AV18" s="6">
        <f>-0.0297944268976*AV16</f>
        <v>-0.19491385707107464</v>
      </c>
      <c r="AX18" s="6">
        <f>0.0933035304009*AX16</f>
        <v>-2.8776774873488533E-2</v>
      </c>
    </row>
    <row r="19" spans="2:50" ht="15.75" x14ac:dyDescent="0.25">
      <c r="B19" s="15" t="s">
        <v>31</v>
      </c>
      <c r="C19" s="18">
        <f>X40</f>
        <v>54.705842278852344</v>
      </c>
      <c r="D19" s="19"/>
      <c r="E19" s="18">
        <f>AR40</f>
        <v>51.666823024200504</v>
      </c>
      <c r="K19" s="5" t="s">
        <v>32</v>
      </c>
      <c r="L19" s="6">
        <f>0.00804973591951*L16^2</f>
        <v>8.7754184275743961E-3</v>
      </c>
      <c r="N19" s="6">
        <f>0.168825414684*N16^2</f>
        <v>4.8676343132009441</v>
      </c>
      <c r="P19" s="6">
        <f>-0.0142721946082*P16^2</f>
        <v>-2.2416772879924282E-3</v>
      </c>
      <c r="R19" s="6">
        <f>0.035119031446*(R16^2)</f>
        <v>3.8285006960644838E-2</v>
      </c>
      <c r="T19" s="6">
        <f>0.101771877942*T16^2</f>
        <v>0.11892880914676784</v>
      </c>
      <c r="V19" s="6">
        <f>0.291320654009*V16^2</f>
        <v>0.31758316807978204</v>
      </c>
      <c r="X19" s="6">
        <f>-0.0570035692784*X16^2</f>
        <v>-6.0159102012162687E-2</v>
      </c>
      <c r="Z19" s="6">
        <f>0.127788499497*Z16^2</f>
        <v>6.3180702086875247</v>
      </c>
      <c r="AB19" s="6">
        <f>0.0306329542941*AB16^2</f>
        <v>1.6473437991517228</v>
      </c>
      <c r="AD19" s="6">
        <f>-0.00801302059667*AD16^2</f>
        <v>-2.9563737206591943E-4</v>
      </c>
      <c r="AF19" s="6">
        <f>-0.154159376846*AF16^2</f>
        <v>-0.16805682197337499</v>
      </c>
      <c r="AH19" s="6">
        <f>0.171335645235*AH16^2</f>
        <v>4.1716625833458325</v>
      </c>
      <c r="AJ19" s="6">
        <f>-0.0260816706301*AJ16^2</f>
        <v>-2.2869979098929499E-3</v>
      </c>
      <c r="AL19" s="6">
        <f>-0.218536586295*AL16^2</f>
        <v>-0.23308583700575136</v>
      </c>
      <c r="AN19" s="6">
        <f>0.112136118689*AN16^2</f>
        <v>0.11151604440672425</v>
      </c>
      <c r="AP19" s="6">
        <f>0.158916781906*AP16^2</f>
        <v>0.18593466467143668</v>
      </c>
      <c r="AR19" s="6">
        <f>0.052492798645*AR16^2</f>
        <v>6.1416887808853446E-2</v>
      </c>
      <c r="AT19" s="6">
        <f>0.134872511954*AT16^2</f>
        <v>6.2790883834949671</v>
      </c>
      <c r="AV19" s="6">
        <f>0.030632954288*AV16^2</f>
        <v>1.311004679759759</v>
      </c>
      <c r="AX19" s="6">
        <f>-0.0005849420883*AX16^2</f>
        <v>-5.5641772483094362E-5</v>
      </c>
    </row>
    <row r="20" spans="2:50" ht="15.75" x14ac:dyDescent="0.25">
      <c r="B20" s="15" t="s">
        <v>33</v>
      </c>
      <c r="C20" s="23">
        <f>AD40</f>
        <v>11.698087349987233</v>
      </c>
      <c r="D20" s="19"/>
      <c r="E20" s="23">
        <f>AX40</f>
        <v>13.307298109142165</v>
      </c>
      <c r="K20" s="5" t="s">
        <v>34</v>
      </c>
      <c r="L20" s="6">
        <f>0.336743114941*L16^3</f>
        <v>0.38329047384669473</v>
      </c>
      <c r="N20" s="6">
        <f>0.0348138030308*N16^3</f>
        <v>5.3897875386837697</v>
      </c>
      <c r="P20" s="6">
        <f>0.00912366316617*P16^3</f>
        <v>5.6792729609000633E-4</v>
      </c>
      <c r="R20" s="6">
        <f>0.657599992109*(R16^3)</f>
        <v>0.74849878555409444</v>
      </c>
      <c r="T20" s="6">
        <f>-0.0242139751146*T16^3</f>
        <v>-3.0588277008027766E-2</v>
      </c>
      <c r="V20" s="6">
        <f>0.307916322787*V16^3</f>
        <v>0.35047900916055641</v>
      </c>
      <c r="X20" s="6">
        <f>-0.182832224796*X16^3</f>
        <v>-0.19822192374695297</v>
      </c>
      <c r="Z20" s="6">
        <f>0.00291430135946*Z16^3</f>
        <v>1.0131493598708958</v>
      </c>
      <c r="AB20" s="6">
        <f>0.018340557407*AB16^3</f>
        <v>7.2327853152105019</v>
      </c>
      <c r="AD20" s="6">
        <f>0.00482705779732*AD16^3</f>
        <v>-3.4207954831636595E-5</v>
      </c>
      <c r="AF20" s="6">
        <f>0.514060730593*AF16^3</f>
        <v>0.58511836552171537</v>
      </c>
      <c r="AH20" s="6">
        <f>0.0450176963051*AH16^3</f>
        <v>5.4084826590542256</v>
      </c>
      <c r="AJ20" s="6">
        <f>0.00595798753822*AJ16^3</f>
        <v>1.5470171662600646E-4</v>
      </c>
      <c r="AL20" s="6">
        <f>0.895319589372*AL16^3</f>
        <v>0.98620155415684463</v>
      </c>
      <c r="AN20" s="6">
        <f>-0.0250659183287*AN16^3</f>
        <v>-2.4858297111355083E-2</v>
      </c>
      <c r="AP20" s="6">
        <f>0.4438112098136*AP16^3</f>
        <v>0.56167380746780726</v>
      </c>
      <c r="AR20" s="6">
        <f>-0.196563954086*AR16^3</f>
        <v>-0.24876312084972924</v>
      </c>
      <c r="AT20" s="6">
        <f>0.0391574276906*AT16^3</f>
        <v>12.438668096900779</v>
      </c>
      <c r="AV20" s="6">
        <f>0.0183405574086*AV16^3</f>
        <v>5.1349423169136745</v>
      </c>
      <c r="AX20" s="6">
        <f>-0.0022688499501*AX16^3</f>
        <v>6.6563768597062303E-5</v>
      </c>
    </row>
    <row r="21" spans="2:50" x14ac:dyDescent="0.15">
      <c r="K21" s="5" t="s">
        <v>35</v>
      </c>
      <c r="L21" s="6">
        <f>0.00516226351334*L16^4</f>
        <v>6.1349717995201371E-3</v>
      </c>
      <c r="N21" s="6">
        <f>-0.010435192824*N16^4</f>
        <v>-8.674824871792028</v>
      </c>
      <c r="P21" s="6">
        <f>-0.0006750681404*P16^4</f>
        <v>-1.6653759081310014E-5</v>
      </c>
      <c r="R21" s="6">
        <f>0.0141818951887*R16^4</f>
        <v>1.6854142920366338E-2</v>
      </c>
      <c r="V21" s="6">
        <f>-0.183361123489*V16^4</f>
        <v>-0.21791125517448076</v>
      </c>
      <c r="X21" s="6">
        <f>0.0118851436014*X16^4</f>
        <v>1.323741009836522E-2</v>
      </c>
      <c r="Z21" s="6">
        <f>0.0018795744922*Z16^4</f>
        <v>4.594570253679028</v>
      </c>
      <c r="AB21" s="6">
        <f>-0.0173964666286*AB16^4</f>
        <v>-50.309705310222498</v>
      </c>
      <c r="AD21" s="6">
        <f>0.00187587272287*AD16^4</f>
        <v>2.553462690228625E-6</v>
      </c>
      <c r="AF21" s="6">
        <f>0.0988534365274*AF16^4</f>
        <v>0.1174800635058766</v>
      </c>
      <c r="AH21" s="6">
        <f>-0.0118964626402*AH16^4</f>
        <v>-7.0524618327091826</v>
      </c>
      <c r="AJ21" s="6">
        <f>0.0145445261077*AJ16^4</f>
        <v>1.1183050823391533E-4</v>
      </c>
      <c r="AL21" s="6">
        <f>0.24989009775*AL16^4</f>
        <v>0.28427096771332111</v>
      </c>
      <c r="AP21" s="6">
        <f>-0.113402023921*AP16^4</f>
        <v>-0.15523942001223295</v>
      </c>
      <c r="AR21" s="6">
        <f>-0.0601770052288*AR16^4</f>
        <v>-8.2377143153291948E-2</v>
      </c>
      <c r="AT21" s="6">
        <f>-0.00475933664702*AT16^4</f>
        <v>-10.315558000531798</v>
      </c>
      <c r="AV21" s="6">
        <f>-0.0173964666211*AV16^4</f>
        <v>-31.863374379902471</v>
      </c>
      <c r="AX21" s="6">
        <f>-0.00295908591505*AX16^4</f>
        <v>-2.6775262945381164E-5</v>
      </c>
    </row>
    <row r="22" spans="2:50" x14ac:dyDescent="0.15">
      <c r="K22" s="5" t="s">
        <v>36</v>
      </c>
      <c r="L22" s="6">
        <f>0.0809228619888*L16^5</f>
        <v>0.10041225843966393</v>
      </c>
      <c r="P22" s="6">
        <f>-0.00800863718901*P16^5</f>
        <v>-7.8300484892562821E-5</v>
      </c>
      <c r="R22" s="6">
        <f>-0.243076636231*R16^5</f>
        <v>-0.30161901615948145</v>
      </c>
      <c r="V22" s="6">
        <f>-0.197740454538*V16^5</f>
        <v>-0.24536410523634658</v>
      </c>
      <c r="X22" s="6">
        <f>0.0432648687627*X16^5</f>
        <v>4.9503240442205297E-2</v>
      </c>
      <c r="Z22" s="6">
        <f>0.017341396254*Z16^5</f>
        <v>298.06827521416329</v>
      </c>
      <c r="AB22" s="6">
        <f>-0.00106321963576*AB16^5</f>
        <v>-22.548174910742258</v>
      </c>
      <c r="AD22" s="6">
        <f>-0.00246738509321*AD16^5</f>
        <v>6.4512611378199314E-7</v>
      </c>
      <c r="AF22" s="6">
        <f>-0.293912623038*AF16^5</f>
        <v>-0.36469830079978882</v>
      </c>
      <c r="AJ22" s="6">
        <f>-0.00663289334734*AJ16^5</f>
        <v>-1.5101807080343124E-5</v>
      </c>
      <c r="AL22" s="6">
        <f>-0.569249436807*AL16^5</f>
        <v>-0.66877793481051573</v>
      </c>
      <c r="AP22" s="6">
        <f>-0.369887075049*AP16^5</f>
        <v>-0.54770368563319116</v>
      </c>
      <c r="AR22" s="6">
        <f>0.0696360270891*AR16^5</f>
        <v>0.10311080564022672</v>
      </c>
      <c r="AT22" s="6">
        <f>-0.00428144598008*AT16^5</f>
        <v>-63.317439461594404</v>
      </c>
      <c r="AV22" s="6">
        <f>-0.00106321963633*AV16^5</f>
        <v>-12.739764110136729</v>
      </c>
      <c r="AX22" s="6">
        <f>0.00148029868929*AX16^5</f>
        <v>-4.1311367061091911E-6</v>
      </c>
    </row>
    <row r="23" spans="2:50" x14ac:dyDescent="0.15">
      <c r="K23" s="5" t="s">
        <v>37</v>
      </c>
      <c r="L23" s="6">
        <f>0.00478507266747*L16^6</f>
        <v>6.1993640271490319E-3</v>
      </c>
      <c r="P23" s="6">
        <f>0.00314819515931*P16^6</f>
        <v>1.219856220721495E-5</v>
      </c>
      <c r="R23" s="6">
        <f>-0.0158699803158*R16^6</f>
        <v>-2.0560562381877468E-2</v>
      </c>
      <c r="V23" s="6">
        <f>0.0909119559768*V16^6</f>
        <v>0.11778218403072221</v>
      </c>
      <c r="X23" s="6">
        <f>-0.0007997367834*X16^6</f>
        <v>-9.4003701957068178E-4</v>
      </c>
      <c r="Z23" s="6">
        <f>0.0026973975804*Z16^6</f>
        <v>326.00404936085755</v>
      </c>
      <c r="AB23" s="6">
        <f>0.0056206003128*AB16^6</f>
        <v>874.11543886088668</v>
      </c>
      <c r="AD23" s="6">
        <f>-0.000841116668*AD16^6</f>
        <v>-4.2242096231002699E-8</v>
      </c>
      <c r="AF23" s="6">
        <f>-0.0268112345019*AF16^6</f>
        <v>-3.4735648598293291E-2</v>
      </c>
      <c r="AJ23" s="6">
        <f>-0.00284189327204*AJ16^6</f>
        <v>-1.9160147518217789E-6</v>
      </c>
      <c r="AL23" s="6">
        <f>-0.11791682383*AL16^6</f>
        <v>-0.14307078635268208</v>
      </c>
      <c r="AP23" s="6">
        <f>0.129230567449*AP16^6</f>
        <v>0.20698413566267956</v>
      </c>
      <c r="AR23" s="6">
        <f>0.0215297490092*AR16^6</f>
        <v>3.4482853767941891E-2</v>
      </c>
      <c r="AV23" s="6">
        <f>0.00562060030977*AV16^6</f>
        <v>440.58405967103943</v>
      </c>
    </row>
    <row r="24" spans="2:50" ht="12.75" x14ac:dyDescent="0.2">
      <c r="B24" s="24" t="s">
        <v>38</v>
      </c>
      <c r="C24" s="25"/>
      <c r="K24" s="5" t="s">
        <v>39</v>
      </c>
      <c r="L24" s="6">
        <f>0.00793030472242*L16^7</f>
        <v>1.0727328425550945E-2</v>
      </c>
      <c r="P24" s="6">
        <f>0.00152044783382*P16^7</f>
        <v>2.3348537850563385E-6</v>
      </c>
      <c r="R24" s="6">
        <f>0.0492741184234*R16^7</f>
        <v>6.6653132472064933E-2</v>
      </c>
      <c r="V24" s="6">
        <f>0.098926178054*V16^7</f>
        <v>0.13381750626424227</v>
      </c>
      <c r="X24" s="6">
        <f>-0.00436073555033*X16^7</f>
        <v>-5.2657141931443541E-3</v>
      </c>
      <c r="Z24" s="6">
        <f>-0.00361976502798*Z16^7</f>
        <v>-3076.1304539284934</v>
      </c>
      <c r="AB24" s="6">
        <f>0.0001618217499*AB16^7</f>
        <v>184.5528100245493</v>
      </c>
      <c r="AD24" s="6">
        <f>0.0006193291052*AD16^7</f>
        <v>-5.9743718423609851E-9</v>
      </c>
      <c r="AF24" s="6">
        <f>0.109097496421*AF16^7</f>
        <v>0.14757625532405788</v>
      </c>
      <c r="AJ24" s="6">
        <f>0.0013644816227*AJ16^7</f>
        <v>2.7241057079285481E-7</v>
      </c>
      <c r="AL24" s="6">
        <f>0.224131161411*AL16^7</f>
        <v>0.28084926932303256</v>
      </c>
      <c r="AP24" s="6">
        <f>0.19857981197*AP16^7</f>
        <v>0.34403466585719905</v>
      </c>
      <c r="AR24" s="6">
        <f>-0.0161658930785*AR16^7</f>
        <v>-2.8006444314234616E-2</v>
      </c>
      <c r="AV24" s="6">
        <f>0.0001618217499*AV16^7</f>
        <v>82.983290191589163</v>
      </c>
    </row>
    <row r="25" spans="2:50" ht="12.75" x14ac:dyDescent="0.2">
      <c r="B25" s="25"/>
      <c r="C25" s="25"/>
      <c r="K25" s="5" t="s">
        <v>40</v>
      </c>
      <c r="L25" s="6">
        <f>0.0007684469735*L16^8</f>
        <v>1.0853222497163521E-3</v>
      </c>
      <c r="P25" s="6">
        <f>-0.0007470265899*P16^8</f>
        <v>-4.5463764325465222E-7</v>
      </c>
      <c r="R25" s="6">
        <f>0.00227639644004*R16^8</f>
        <v>3.2150867798954349E-3</v>
      </c>
      <c r="V25" s="6">
        <f>-0.0287370990248*V16^8</f>
        <v>-4.0587072419405554E-2</v>
      </c>
      <c r="Z25" s="6">
        <f>-0.00100926577934*Z16^8</f>
        <v>-6030.8184673930673</v>
      </c>
      <c r="AB25" s="6">
        <f>-0.0006860188944*AB16^8</f>
        <v>-5737.431685677283</v>
      </c>
      <c r="AF25" s="6">
        <f>0.00162846756311*AF16^8</f>
        <v>2.2999792310128093E-3</v>
      </c>
      <c r="AL25" s="6">
        <f>0.0245620259375*AL16^8</f>
        <v>3.1785650782092126E-2</v>
      </c>
      <c r="AP25" s="6">
        <f>-0.0867636217397*AP16^8</f>
        <v>-0.16259234101178774</v>
      </c>
      <c r="AR25" s="6">
        <f>-0.00232531970294*AR16^8</f>
        <v>-4.3574757900249148E-3</v>
      </c>
      <c r="AV25" s="6">
        <f>-0.0006860188944*AV16^8</f>
        <v>-2301.428641903768</v>
      </c>
    </row>
    <row r="26" spans="2:50" ht="12.75" x14ac:dyDescent="0.2">
      <c r="B26" s="24" t="s">
        <v>41</v>
      </c>
      <c r="C26" s="25"/>
      <c r="K26" s="5" t="s">
        <v>42</v>
      </c>
      <c r="R26" s="6">
        <f>-0.00397126276058*R16^9</f>
        <v>-5.8562084305033568E-3</v>
      </c>
      <c r="V26" s="6">
        <f>-0.0248730221702*V16^9</f>
        <v>-3.6678913208943245E-2</v>
      </c>
      <c r="AF26" s="6">
        <f>-0.0214631030242*AF16^9</f>
        <v>-3.1650488132576968E-2</v>
      </c>
      <c r="AL26" s="6">
        <f>-0.0455116002694*AL16^9</f>
        <v>-6.08253887915279E-2</v>
      </c>
      <c r="AP26" s="6">
        <f>-0.0620391900135*AP16^9</f>
        <v>-0.12575458613614965</v>
      </c>
      <c r="AR26" s="6">
        <f>0.00147752067524*AR16^9</f>
        <v>2.9948833890819124E-3</v>
      </c>
    </row>
    <row r="27" spans="2:50" ht="12.75" x14ac:dyDescent="0.2">
      <c r="B27" s="24" t="s">
        <v>43</v>
      </c>
      <c r="C27" s="25"/>
      <c r="K27" s="5" t="s">
        <v>44</v>
      </c>
      <c r="V27" s="6">
        <f>0.00496311705671*V16^10</f>
        <v>7.6416214645320573E-3</v>
      </c>
      <c r="AF27" s="6">
        <f>0.0001456723382*AF16^10</f>
        <v>2.2428906142213864E-4</v>
      </c>
      <c r="AL27" s="6">
        <f>-0.0019093073888*AL16^10</f>
        <v>-2.6353269645050868E-3</v>
      </c>
      <c r="AP27" s="6">
        <f>0.0307482926566*AP16^10</f>
        <v>6.7417713738381943E-2</v>
      </c>
    </row>
    <row r="28" spans="2:50" ht="12.75" x14ac:dyDescent="0.2">
      <c r="B28" s="25"/>
      <c r="C28" s="25"/>
      <c r="K28" s="5" t="s">
        <v>45</v>
      </c>
      <c r="V28" s="6">
        <f>0.00372242076361*V16^11</f>
        <v>5.9841099517061467E-3</v>
      </c>
      <c r="AF28" s="6">
        <f>0.00167847752266*AF16^11</f>
        <v>2.6982962660362809E-3</v>
      </c>
      <c r="AL28" s="6">
        <f>0.00361471193389*AL16^11</f>
        <v>5.1526211360246451E-3</v>
      </c>
      <c r="AP28" s="6">
        <f>0.0102657234407*AP16^11</f>
        <v>2.4346575096046034E-2</v>
      </c>
    </row>
    <row r="29" spans="2:50" ht="12.75" x14ac:dyDescent="0.2">
      <c r="B29" s="24" t="s">
        <v>46</v>
      </c>
      <c r="C29" s="25"/>
      <c r="K29" s="5" t="s">
        <v>47</v>
      </c>
      <c r="V29" s="6">
        <f>-0.0003533736952*V16^12</f>
        <v>-5.9313208948012547E-4</v>
      </c>
      <c r="AP29" s="6">
        <f>-0.00546533250772*AP16^12</f>
        <v>-1.4020393635017045E-2</v>
      </c>
    </row>
    <row r="30" spans="2:50" ht="12.75" x14ac:dyDescent="0.2">
      <c r="B30" s="25"/>
      <c r="C30" s="25"/>
      <c r="K30" s="5" t="s">
        <v>48</v>
      </c>
      <c r="V30" s="6">
        <f>-0.0002292913709*V16^13</f>
        <v>-4.0183523380297374E-4</v>
      </c>
      <c r="AP30" s="6">
        <f>-0.000693180974*AP16^13</f>
        <v>-1.9234706024940178E-3</v>
      </c>
    </row>
    <row r="31" spans="2:50" ht="12.75" x14ac:dyDescent="0.2">
      <c r="B31" s="26" t="s">
        <v>49</v>
      </c>
      <c r="C31" s="25"/>
      <c r="AP31" s="6">
        <f>0.0003847494916*AP16^14</f>
        <v>1.1548146248968234E-3</v>
      </c>
    </row>
    <row r="32" spans="2:50" ht="12.75" x14ac:dyDescent="0.2">
      <c r="B32" s="25"/>
      <c r="C32" s="25"/>
    </row>
    <row r="33" spans="2:50" ht="12.75" x14ac:dyDescent="0.2">
      <c r="B33" s="24" t="s">
        <v>50</v>
      </c>
      <c r="C33" s="25"/>
      <c r="K33" s="5" t="s">
        <v>51</v>
      </c>
      <c r="L33" s="6">
        <f>2.611368669-L18+L19+L20-L21-L22-L23+L24+L25</f>
        <v>1.1378338768333529</v>
      </c>
      <c r="N33" s="6">
        <f>2.38830516757+N18+N19+N20+N21</f>
        <v>1.5881557787807843</v>
      </c>
      <c r="P33" s="6">
        <f>1.55197227115+P18+P19+P20+P21+P22+P23+P24+P25</f>
        <v>1.3898553073213866</v>
      </c>
      <c r="R33" s="6">
        <f>3.22958031387+R18+R19+R20+R21+R22+R23+R24+R25+R26</f>
        <v>1.4634023073367737</v>
      </c>
      <c r="T33" s="6">
        <f>2.55875660396+T18+T19+T20</f>
        <v>1.6708167476062148</v>
      </c>
      <c r="V33" s="6">
        <f>-0.144615443471+V18+V19+V20+V21+V22+V23+V24+V25+V26+V27+V28+V29+V30</f>
        <v>-0.43206067267426707</v>
      </c>
      <c r="X33" s="6">
        <f>0.0720707787637+X18+X19+X20+X21+X22+X23+X24</f>
        <v>1.2720537061480417</v>
      </c>
      <c r="Z33" s="6">
        <f>-0.686608550419+Z18+Z19+Z20+Z21+Z22+Z23+Z24+Z25</f>
        <v>-8470.4775491993187</v>
      </c>
      <c r="AB33" s="6">
        <f>0.23031841078+AB18+AB19+AB20+AB21+AB22+AB23+AB24+AB25</f>
        <v>-4742.7293600675794</v>
      </c>
      <c r="AD33" s="6">
        <f>0.621036276475+AD18+AD19+AD20+AD21+AD22+AD23+AD24</f>
        <v>0.60213485703932701</v>
      </c>
      <c r="AF33" s="6">
        <f>SUM(2.78076916577,AF18:AF28)</f>
        <v>1.2663330453180668</v>
      </c>
      <c r="AH33" s="6">
        <f>SUM(2.52455620925,AH18:AH21)</f>
        <v>2.5702928548717257</v>
      </c>
      <c r="AJ33" s="6">
        <f>SUM(1.67281645863,AJ18:AJ24)</f>
        <v>1.5569161444347339</v>
      </c>
      <c r="AL33" s="6">
        <f>SUM(3.40283217581,AL18:AL28)</f>
        <v>1.5999971714619881</v>
      </c>
      <c r="AN33" s="6">
        <f>SUM(2.70588058103,AN18:AN20)</f>
        <v>1.8456511239143898</v>
      </c>
      <c r="AP33" s="6">
        <f>SUM(-0.06621072854,AP18:AP31)</f>
        <v>-0.43693700007762837</v>
      </c>
      <c r="AR33" s="6">
        <f>SUM(-0.0591634288046,AR18:AR26)</f>
        <v>1.2472317548524285</v>
      </c>
      <c r="AT33" s="6">
        <f>SUM(-0.614227603559,AT18:AT22)</f>
        <v>-54.641475091859562</v>
      </c>
      <c r="AV33" s="6">
        <f>SUM(0.315409245784,AV18:AV25)</f>
        <v>-1815.8979881457922</v>
      </c>
      <c r="AX33" s="6">
        <f>SUM(0.686906642409,AX18:AX22)</f>
        <v>0.65810988313197405</v>
      </c>
    </row>
    <row r="34" spans="2:50" ht="12.75" x14ac:dyDescent="0.2">
      <c r="B34" s="24" t="s">
        <v>52</v>
      </c>
      <c r="C34" s="25"/>
      <c r="K34" s="5" t="s">
        <v>53</v>
      </c>
      <c r="L34" s="27">
        <f>IF(L9&lt;0.0531,0,L33)</f>
        <v>1.1378338768333529</v>
      </c>
      <c r="N34" s="6">
        <f>IF(L9&lt;0.0531,0,N33)</f>
        <v>1.5881557787807843</v>
      </c>
      <c r="P34" s="6">
        <f>IF(L9&lt;0.792,0,P33)</f>
        <v>1.3898553073213866</v>
      </c>
      <c r="R34" s="6">
        <f>IF(L9&lt;0.0531,0,R33)</f>
        <v>1.4634023073367737</v>
      </c>
      <c r="T34" s="6">
        <f>IF(L9&lt;0.0531,0,T33)</f>
        <v>1.6708167476062148</v>
      </c>
      <c r="V34" s="6">
        <f>IF(L9&lt;0.0531,0,V33)</f>
        <v>-0.43206067267426707</v>
      </c>
      <c r="X34" s="6">
        <f>IF(L9&lt;0.0531,0,X33)</f>
        <v>1.2720537061480417</v>
      </c>
      <c r="Z34" s="6">
        <f>IF(L9&lt;0.147,0,Z33)</f>
        <v>-8470.4775491993187</v>
      </c>
      <c r="AB34" s="6">
        <f>IF(L9&lt;0.888,0,AB33)</f>
        <v>-4742.7293600675794</v>
      </c>
      <c r="AD34" s="6">
        <f>IF(L9&lt;=2.28,0,AD33)</f>
        <v>0.60213485703932701</v>
      </c>
      <c r="AF34" s="6">
        <f>IF(L9&lt;0.064,0,AF33)</f>
        <v>1.2663330453180668</v>
      </c>
      <c r="AH34" s="6">
        <f>IF(L9&lt;0.0674,0,AH33)</f>
        <v>2.5702928548717257</v>
      </c>
      <c r="AJ34" s="6">
        <f>IF(L9&lt;0.955,0,AJ33)</f>
        <v>1.5569161444347339</v>
      </c>
      <c r="AL34" s="6">
        <f>IF(L9&lt;0.0674,0,AL33)</f>
        <v>1.5999971714619881</v>
      </c>
      <c r="AN34" s="6">
        <f>IF(L9&lt;0.0674,0,AN33)</f>
        <v>1.8456511239143898</v>
      </c>
      <c r="AP34" s="6">
        <f>IF(L9&lt;0.0674,0,AP33)</f>
        <v>-0.43693700007762837</v>
      </c>
      <c r="AR34" s="6">
        <f>IF(L9&lt;0.0674,0,AR33)</f>
        <v>1.2472317548524285</v>
      </c>
      <c r="AT34" s="6">
        <f>IF(L9&lt;0.178,0,AT33)</f>
        <v>-54.641475091859562</v>
      </c>
      <c r="AV34" s="6">
        <f>IF(L9&lt;1.01,0,AV33)</f>
        <v>-1815.8979881457922</v>
      </c>
      <c r="AX34" s="6">
        <f>IF(L9&lt;2.78,0,AX33)</f>
        <v>0.65810988313197405</v>
      </c>
    </row>
    <row r="35" spans="2:50" ht="12.75" x14ac:dyDescent="0.2">
      <c r="B35" s="24" t="s">
        <v>54</v>
      </c>
      <c r="C35" s="25"/>
      <c r="K35" s="5" t="s">
        <v>55</v>
      </c>
      <c r="L35" s="6">
        <f>IF(L9&gt;40,0,L33)</f>
        <v>1.1378338768333529</v>
      </c>
      <c r="N35" s="6">
        <f>IF(L9&gt;0.792,0,N33)</f>
        <v>0</v>
      </c>
      <c r="P35" s="6">
        <f>IF(L9&gt;40,0,P33)</f>
        <v>1.3898553073213866</v>
      </c>
      <c r="R35" s="6">
        <f>IF(L9&gt;40,0,R33)</f>
        <v>1.4634023073367737</v>
      </c>
      <c r="T35" s="6">
        <f>IF(L9&gt;40,0,T33)</f>
        <v>1.6708167476062148</v>
      </c>
      <c r="V35" s="6">
        <f>IF(L9&gt;40,0,V33)</f>
        <v>-0.43206067267426707</v>
      </c>
      <c r="X35" s="6">
        <f>IF(L9&gt;40,0,X33)</f>
        <v>1.2720537061480417</v>
      </c>
      <c r="Z35" s="6">
        <f>IF(L9&gt;=0.888,0,Z33)</f>
        <v>0</v>
      </c>
      <c r="AB35" s="6">
        <f>IF(L9&gt;2.28,0,AB33)</f>
        <v>0</v>
      </c>
      <c r="AD35" s="6">
        <f>IF(L9&gt;40,0,AD33)</f>
        <v>0.60213485703932701</v>
      </c>
      <c r="AF35" s="6">
        <f>IF(L9&gt;40,0,AF33)</f>
        <v>1.2663330453180668</v>
      </c>
      <c r="AH35" s="6">
        <f>IF(L9&gt;=0.955,0,AH33)</f>
        <v>0</v>
      </c>
      <c r="AJ35" s="6">
        <f>IF(L9&gt;40,0,AJ33)</f>
        <v>1.5569161444347339</v>
      </c>
      <c r="AL35" s="6">
        <f>IF(L9&gt;40,0,AL33)</f>
        <v>1.5999971714619881</v>
      </c>
      <c r="AN35" s="6">
        <f>IF(L9&gt;40,0,AN33)</f>
        <v>1.8456511239143898</v>
      </c>
      <c r="AP35" s="6">
        <f>IF(L9&gt;40,0,AP33)</f>
        <v>-0.43693700007762837</v>
      </c>
      <c r="AR35" s="6">
        <f>IF(L9&gt;40,0,AR33)</f>
        <v>1.2472317548524285</v>
      </c>
      <c r="AT35" s="6">
        <f>IF(L9&gt;=1.01,0,AT33)</f>
        <v>0</v>
      </c>
      <c r="AV35" s="6">
        <f>IF(L9&gt;=2.78,0,AV33)</f>
        <v>0</v>
      </c>
      <c r="AX35" s="6">
        <f>IF(L9&gt;40,0,AX33)</f>
        <v>0.65810988313197405</v>
      </c>
    </row>
    <row r="36" spans="2:50" ht="12.75" x14ac:dyDescent="0.2">
      <c r="B36" s="24" t="s">
        <v>56</v>
      </c>
      <c r="C36" s="25"/>
      <c r="K36" s="5" t="s">
        <v>57</v>
      </c>
      <c r="L36" s="6">
        <f>SUM(L34,L35)</f>
        <v>2.2756677536667058</v>
      </c>
      <c r="N36" s="6">
        <f>SUM(N34,N35)</f>
        <v>1.5881557787807843</v>
      </c>
      <c r="P36" s="6">
        <f>SUM(P34,P35)</f>
        <v>2.7797106146427732</v>
      </c>
      <c r="R36" s="6">
        <f>SUM(R34,R35)</f>
        <v>2.9268046146735474</v>
      </c>
      <c r="T36" s="6">
        <f>SUM(T34,T35)</f>
        <v>3.3416334952124296</v>
      </c>
      <c r="V36" s="6">
        <f>SUM(V34,V35)</f>
        <v>-0.86412134534853413</v>
      </c>
      <c r="X36" s="6">
        <f>SUM(X34,X35)</f>
        <v>2.5441074122960834</v>
      </c>
      <c r="Z36" s="6">
        <f>Z35+Z34</f>
        <v>-8470.4775491993187</v>
      </c>
      <c r="AB36" s="6">
        <f>AB34+AB35</f>
        <v>-4742.7293600675794</v>
      </c>
      <c r="AD36" s="6">
        <f>AD34+AD35</f>
        <v>1.204269714078654</v>
      </c>
      <c r="AF36" s="6">
        <f>AF34+AF35</f>
        <v>2.5326660906361336</v>
      </c>
      <c r="AH36" s="6">
        <f>AH34+AH35</f>
        <v>2.5702928548717257</v>
      </c>
      <c r="AJ36" s="6">
        <f>AJ34+AJ35</f>
        <v>3.1138322888694678</v>
      </c>
      <c r="AL36" s="6">
        <f>AL34+AL35</f>
        <v>3.1999943429239761</v>
      </c>
      <c r="AN36" s="6">
        <f>AN34+AN35</f>
        <v>3.6913022478287796</v>
      </c>
      <c r="AP36" s="6">
        <f>AP34+AP35</f>
        <v>-0.87387400015525674</v>
      </c>
      <c r="AR36" s="6">
        <f>AR34+AR35</f>
        <v>2.4944635097048571</v>
      </c>
      <c r="AT36" s="6">
        <f>AT34+AT35</f>
        <v>-54.641475091859562</v>
      </c>
      <c r="AV36" s="6">
        <f>AV34+AV35</f>
        <v>-1815.8979881457922</v>
      </c>
      <c r="AX36" s="6">
        <f>AX34+AX35</f>
        <v>1.3162197662639481</v>
      </c>
    </row>
    <row r="37" spans="2:50" ht="12.75" x14ac:dyDescent="0.2">
      <c r="B37" s="25"/>
      <c r="C37" s="25"/>
      <c r="K37" s="5" t="s">
        <v>58</v>
      </c>
      <c r="L37" s="6">
        <f>IF(L36=2*L33,L33,0)</f>
        <v>1.1378338768333529</v>
      </c>
      <c r="N37" s="6">
        <f>IF(N36=2*N33,N33,0)</f>
        <v>0</v>
      </c>
      <c r="P37" s="6">
        <f>IF(P36=2*P33,P33,0)</f>
        <v>1.3898553073213866</v>
      </c>
      <c r="R37" s="6">
        <f>IF(R36=2*R33,R33,0)</f>
        <v>1.4634023073367737</v>
      </c>
      <c r="T37" s="6">
        <f>IF(T36=2*T33,T33,0)</f>
        <v>1.6708167476062148</v>
      </c>
      <c r="V37" s="6">
        <f>IF(V36=2*V33,V33,0)</f>
        <v>-0.43206067267426707</v>
      </c>
      <c r="X37" s="6">
        <f>IF(X36=2*X33,X33,0)</f>
        <v>1.2720537061480417</v>
      </c>
      <c r="Z37" s="6">
        <f>IF(Z36=2*Z33,Z33,0)</f>
        <v>0</v>
      </c>
      <c r="AB37" s="6">
        <f>IF(AB36=2*AB33,AB33,0)</f>
        <v>0</v>
      </c>
      <c r="AD37" s="6">
        <f>IF(AD36=2*AD33,AD33,0)</f>
        <v>0.60213485703932701</v>
      </c>
      <c r="AF37" s="6">
        <f>IF(AF36=2*AF33,AF33,0)</f>
        <v>1.2663330453180668</v>
      </c>
      <c r="AH37" s="6">
        <f>IF(AH36=2*AH33,AH33,0)</f>
        <v>0</v>
      </c>
      <c r="AJ37" s="6">
        <f>IF(AJ36=2*AJ33,AJ33,0)</f>
        <v>1.5569161444347339</v>
      </c>
      <c r="AL37" s="6">
        <f>IF(AL36=2*AL33,AL33,0)</f>
        <v>1.5999971714619881</v>
      </c>
      <c r="AN37" s="6">
        <f>IF(AN36=2*AN33,AN33,0)</f>
        <v>1.8456511239143898</v>
      </c>
      <c r="AP37" s="6">
        <f>IF(AP36=2*AP33,AP33,0)</f>
        <v>-0.43693700007762837</v>
      </c>
      <c r="AR37" s="6">
        <f>IF(AR36=2*AR33,AR33,0)</f>
        <v>1.2472317548524285</v>
      </c>
      <c r="AT37" s="6">
        <f>IF(AT36=2*AT33,AT33,0)</f>
        <v>0</v>
      </c>
      <c r="AV37" s="6">
        <f>IF(AV36=2*AV33,AT33,0)</f>
        <v>0</v>
      </c>
      <c r="AX37" s="6">
        <f>IF(AX36=2*AX33,AX33,0)</f>
        <v>0.65810988313197405</v>
      </c>
    </row>
    <row r="38" spans="2:50" ht="12.75" x14ac:dyDescent="0.2">
      <c r="B38" s="24" t="s">
        <v>59</v>
      </c>
      <c r="C38" s="25"/>
      <c r="K38" s="5" t="s">
        <v>60</v>
      </c>
      <c r="L38" s="6">
        <f>IF(L37=0,0,10^L33)</f>
        <v>13.7351648697881</v>
      </c>
      <c r="N38" s="6">
        <f>IF(N37=0,0,10^N33)</f>
        <v>0</v>
      </c>
      <c r="P38" s="6">
        <f>IF(P37=0,0,10^P33)</f>
        <v>24.538912233985862</v>
      </c>
      <c r="R38" s="6">
        <f>IF(R37=0,0,10^R33)</f>
        <v>29.067140331622408</v>
      </c>
      <c r="T38" s="6">
        <f>IF(T37=0,0,10^T33)</f>
        <v>46.861560608465879</v>
      </c>
      <c r="V38" s="6">
        <f>IF(V37=0,0,10^V33)</f>
        <v>0.36977651691480756</v>
      </c>
      <c r="X38" s="6">
        <f>IF(X37=0,0,10^X33)</f>
        <v>18.709134887905325</v>
      </c>
      <c r="Z38" s="6">
        <f>IF(Z37=0,0,10^Z33)</f>
        <v>0</v>
      </c>
      <c r="AB38" s="6">
        <f>IF(AB37=0,0,10^AB33)</f>
        <v>0</v>
      </c>
      <c r="AD38" s="6">
        <f>IF(AD37=0,0,10^AD33)</f>
        <v>4.0006895981202231</v>
      </c>
      <c r="AF38" s="6">
        <f>IF(AF37=0,0,10^AF33)</f>
        <v>18.464308399187036</v>
      </c>
      <c r="AH38" s="6">
        <f>IF(AH37=0,0,10^AH33)</f>
        <v>0</v>
      </c>
      <c r="AJ38" s="6">
        <f>IF(AJ37=0,0,10^AJ33)</f>
        <v>36.050902756881548</v>
      </c>
      <c r="AL38" s="6">
        <f>IF(AL37=0,0,10^AL33)</f>
        <v>39.8104577710059</v>
      </c>
      <c r="AN38" s="6">
        <f>IF(AN37=0,0,10^AN33)</f>
        <v>70.089203381264639</v>
      </c>
      <c r="AP38" s="6">
        <f>IF(AP37=0,0,10^AP33)</f>
        <v>0.36564782962098752</v>
      </c>
      <c r="AR38" s="6">
        <f>IF(AR37=0,0,10^AR33)</f>
        <v>17.669804922516928</v>
      </c>
      <c r="AT38" s="6">
        <f>IF(AT37=0,0,10^AT33)</f>
        <v>0</v>
      </c>
      <c r="AV38" s="6">
        <f>IF(AV37=0,0,10^AV33)</f>
        <v>0</v>
      </c>
      <c r="AX38" s="6">
        <f>IF(AX37=0,0,10^AX33)</f>
        <v>4.5510319363778793</v>
      </c>
    </row>
    <row r="39" spans="2:50" ht="12.75" x14ac:dyDescent="0.2">
      <c r="B39" s="25"/>
      <c r="C39" s="25"/>
      <c r="K39" s="5" t="s">
        <v>61</v>
      </c>
      <c r="P39" s="6">
        <f>SUM(N38,P38)</f>
        <v>24.538912233985862</v>
      </c>
      <c r="AD39" s="6">
        <f>Z38+AB38+AD38</f>
        <v>4.0006895981202231</v>
      </c>
      <c r="AJ39" s="6">
        <f>AH38+AJ38</f>
        <v>36.050902756881548</v>
      </c>
      <c r="AX39" s="6">
        <f>SUM(AT38:AX38)</f>
        <v>4.5510319363778793</v>
      </c>
    </row>
    <row r="40" spans="2:50" ht="12.75" x14ac:dyDescent="0.2">
      <c r="B40" s="24" t="s">
        <v>62</v>
      </c>
      <c r="C40" s="25"/>
      <c r="K40" s="5" t="s">
        <v>63</v>
      </c>
      <c r="L40" s="6">
        <f>IF(L37=0,#REF!,L38)</f>
        <v>13.7351648697881</v>
      </c>
      <c r="P40" s="6">
        <f>IF(P39=0,#REF!,P39*L2^(1/3))</f>
        <v>71.752214648623351</v>
      </c>
      <c r="R40" s="6">
        <f>IF(R38=0,#REF!,R38)</f>
        <v>29.067140331622408</v>
      </c>
      <c r="T40" s="6">
        <f>IF(T38=0,#REF!,T38*L2^(1/3))</f>
        <v>137.02403445949153</v>
      </c>
      <c r="V40" s="6">
        <f>IF(V38=0,#REF!,V38)</f>
        <v>0.36977651691480756</v>
      </c>
      <c r="X40" s="6">
        <f>IF(X38=0,#REF!,X38*L2^(1/3))</f>
        <v>54.705842278852344</v>
      </c>
      <c r="AD40" s="27">
        <f>IF(AD39=0,#REF!,AD39*L2^(1/3))</f>
        <v>11.698087349987233</v>
      </c>
      <c r="AF40" s="6">
        <f>IF(AF38=0,#REF!,AF38)</f>
        <v>18.464308399187036</v>
      </c>
      <c r="AJ40" s="6">
        <f>IF(AJ39=0,#REF!,AJ39*L2^(1/3))</f>
        <v>105.41347913970874</v>
      </c>
      <c r="AL40" s="6">
        <f>IF(AL38=0,#REF!,AL38)</f>
        <v>39.8104577710059</v>
      </c>
      <c r="AN40" s="6">
        <f>IF(AN38=0,#REF!,AN38*L2^(1/3))</f>
        <v>204.94207394402696</v>
      </c>
      <c r="AP40" s="6">
        <f>IF(AP38=0,#REF!,AP38)</f>
        <v>0.36564782962098752</v>
      </c>
      <c r="AR40" s="6">
        <f>IF(AR38=0,#REF!,AR38*L2^(1/3))</f>
        <v>51.666823024200504</v>
      </c>
      <c r="AX40" s="6">
        <f>IF(AX39=0,#REF!,AX39*L2^(1/3))</f>
        <v>13.307298109142165</v>
      </c>
    </row>
    <row r="41" spans="2:50" ht="12.75" x14ac:dyDescent="0.2">
      <c r="B41" s="24" t="s">
        <v>64</v>
      </c>
      <c r="C41" s="25"/>
    </row>
  </sheetData>
  <phoneticPr fontId="1" type="noConversion"/>
  <dataValidations count="1">
    <dataValidation type="list" allowBlank="1" showInputMessage="1" showErrorMessage="1" sqref="C9">
      <formula1>$H$2:$H$8</formula1>
    </dataValidation>
  </dataValidations>
  <printOptions gridLinesSet="0"/>
  <pageMargins left="0.25" right="0.25" top="0.75" bottom="0.75" header="0.3" footer="0.3"/>
  <pageSetup paperSize="9" fitToHeight="0" orientation="landscape" r:id="rId1"/>
  <headerFooter alignWithMargins="0">
    <oddHeader>&amp;A</oddHeader>
    <oddFooter>Page &amp;P</oddFooter>
  </headerFooter>
  <ignoredErrors>
    <ignoredError sqref="E14 E15:E20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77"/>
  <sheetViews>
    <sheetView tabSelected="1" view="pageBreakPreview" topLeftCell="A40" zoomScale="115" zoomScaleNormal="70" zoomScaleSheetLayoutView="115" workbookViewId="0">
      <selection activeCell="G58" sqref="G58"/>
    </sheetView>
  </sheetViews>
  <sheetFormatPr defaultRowHeight="13.5" x14ac:dyDescent="0.3"/>
  <cols>
    <col min="1" max="1" width="9" style="42"/>
    <col min="2" max="2" width="9" style="42" customWidth="1"/>
    <col min="3" max="3" width="9.25" style="42" customWidth="1"/>
    <col min="4" max="4" width="6" style="42" customWidth="1"/>
    <col min="5" max="5" width="6.5" style="42" customWidth="1"/>
    <col min="6" max="6" width="7" style="42" customWidth="1"/>
    <col min="7" max="7" width="9.125" style="42" customWidth="1"/>
    <col min="8" max="8" width="6.875" style="42" customWidth="1"/>
    <col min="9" max="9" width="7" style="42" customWidth="1"/>
    <col min="10" max="10" width="8.875" style="42" customWidth="1"/>
    <col min="11" max="11" width="6.75" style="42" customWidth="1"/>
    <col min="12" max="12" width="6.25" style="42" customWidth="1"/>
    <col min="13" max="16384" width="9" style="42"/>
  </cols>
  <sheetData>
    <row r="2" spans="2:15" x14ac:dyDescent="0.3">
      <c r="B2" s="48" t="s">
        <v>107</v>
      </c>
    </row>
    <row r="4" spans="2:15" x14ac:dyDescent="0.3">
      <c r="B4" s="100" t="s">
        <v>175</v>
      </c>
      <c r="C4" s="100"/>
      <c r="D4" s="96" t="s">
        <v>10</v>
      </c>
      <c r="E4" s="42" t="s">
        <v>166</v>
      </c>
    </row>
    <row r="5" spans="2:15" x14ac:dyDescent="0.3">
      <c r="B5" s="100" t="s">
        <v>174</v>
      </c>
      <c r="C5" s="43" t="s">
        <v>109</v>
      </c>
      <c r="D5" s="44">
        <v>1</v>
      </c>
      <c r="E5" s="42" t="s">
        <v>85</v>
      </c>
    </row>
    <row r="6" spans="2:15" x14ac:dyDescent="0.3">
      <c r="B6" s="100"/>
      <c r="C6" s="43" t="s">
        <v>112</v>
      </c>
      <c r="D6" s="44">
        <v>1</v>
      </c>
      <c r="E6" s="42" t="s">
        <v>85</v>
      </c>
    </row>
    <row r="7" spans="2:15" x14ac:dyDescent="0.3">
      <c r="B7" s="100"/>
      <c r="C7" s="43" t="s">
        <v>113</v>
      </c>
      <c r="D7" s="44">
        <v>3.6</v>
      </c>
      <c r="E7" s="42" t="s">
        <v>85</v>
      </c>
    </row>
    <row r="8" spans="2:15" x14ac:dyDescent="0.3">
      <c r="B8" s="43"/>
    </row>
    <row r="9" spans="2:15" x14ac:dyDescent="0.3">
      <c r="B9" s="103" t="s">
        <v>173</v>
      </c>
      <c r="C9" s="103"/>
      <c r="D9" s="103"/>
      <c r="I9" s="99"/>
      <c r="J9" s="99"/>
      <c r="K9" s="99"/>
    </row>
    <row r="10" spans="2:15" x14ac:dyDescent="0.3">
      <c r="B10" s="43" t="s">
        <v>108</v>
      </c>
      <c r="C10" s="81">
        <f>IF($D$4="Air",'폭압 파라메터 산정'!C14,'폭압 파라메터 산정'!E14)</f>
        <v>13.7351648697881</v>
      </c>
      <c r="D10" s="42" t="s">
        <v>101</v>
      </c>
      <c r="M10" s="49">
        <f>D5/2</f>
        <v>0.5</v>
      </c>
      <c r="O10" s="42" t="s">
        <v>164</v>
      </c>
    </row>
    <row r="11" spans="2:15" x14ac:dyDescent="0.3">
      <c r="B11" s="43" t="s">
        <v>171</v>
      </c>
      <c r="C11" s="81">
        <f>IF($D$4="Air",'폭압 파라메터 산정'!C16,'폭압 파라메터 산정'!E16)</f>
        <v>29.067140331622408</v>
      </c>
      <c r="D11" s="42" t="s">
        <v>172</v>
      </c>
      <c r="M11" s="49"/>
    </row>
    <row r="12" spans="2:15" x14ac:dyDescent="0.3">
      <c r="B12" s="43" t="s">
        <v>110</v>
      </c>
      <c r="C12" s="81">
        <f>IF($D$4="Air",'폭압 파라메터 산정'!C20,'폭압 파라메터 산정'!E20)</f>
        <v>11.698087349987233</v>
      </c>
      <c r="D12" s="42" t="s">
        <v>169</v>
      </c>
      <c r="M12" s="49"/>
      <c r="O12" s="42" t="s">
        <v>165</v>
      </c>
    </row>
    <row r="13" spans="2:15" x14ac:dyDescent="0.3">
      <c r="B13" s="43" t="s">
        <v>167</v>
      </c>
      <c r="C13" s="98">
        <f>IF($D$4="Air",'폭압 파라메터 산정'!C18,'폭압 파라메터 산정'!E18)</f>
        <v>0.36977651691480756</v>
      </c>
      <c r="D13" s="42" t="s">
        <v>168</v>
      </c>
      <c r="I13" s="43"/>
      <c r="M13" s="49"/>
    </row>
    <row r="14" spans="2:15" x14ac:dyDescent="0.3">
      <c r="M14" s="49">
        <f>D7</f>
        <v>3.6</v>
      </c>
    </row>
    <row r="15" spans="2:15" x14ac:dyDescent="0.3">
      <c r="C15" s="43" t="s">
        <v>114</v>
      </c>
      <c r="D15" s="50"/>
      <c r="E15" s="51"/>
      <c r="F15" s="51"/>
      <c r="G15" s="51"/>
    </row>
    <row r="16" spans="2:15" x14ac:dyDescent="0.3">
      <c r="C16" s="46">
        <f>C10</f>
        <v>13.7351648697881</v>
      </c>
      <c r="D16" s="50"/>
      <c r="E16" s="51"/>
      <c r="F16" s="51"/>
      <c r="G16" s="51"/>
    </row>
    <row r="17" spans="2:8" x14ac:dyDescent="0.3">
      <c r="D17" s="50"/>
      <c r="E17" s="51"/>
      <c r="F17" s="51"/>
      <c r="G17" s="51"/>
    </row>
    <row r="18" spans="2:8" x14ac:dyDescent="0.3">
      <c r="D18" s="50"/>
      <c r="E18" s="51"/>
      <c r="F18" s="51"/>
      <c r="G18" s="51"/>
    </row>
    <row r="19" spans="2:8" x14ac:dyDescent="0.3">
      <c r="D19" s="50"/>
      <c r="E19" s="51"/>
      <c r="F19" s="51"/>
      <c r="G19" s="51"/>
    </row>
    <row r="20" spans="2:8" x14ac:dyDescent="0.3">
      <c r="D20" s="50"/>
      <c r="E20" s="51"/>
      <c r="F20" s="51"/>
      <c r="G20" s="51"/>
    </row>
    <row r="21" spans="2:8" x14ac:dyDescent="0.3">
      <c r="D21" s="52"/>
      <c r="E21" s="53"/>
      <c r="F21" s="53"/>
      <c r="G21" s="53"/>
      <c r="H21" s="53"/>
    </row>
    <row r="22" spans="2:8" x14ac:dyDescent="0.3">
      <c r="G22" s="43" t="s">
        <v>110</v>
      </c>
      <c r="H22" s="54">
        <f>C12</f>
        <v>11.698087349987233</v>
      </c>
    </row>
    <row r="24" spans="2:8" x14ac:dyDescent="0.3">
      <c r="B24" s="42" t="s">
        <v>115</v>
      </c>
    </row>
    <row r="25" spans="2:8" x14ac:dyDescent="0.3">
      <c r="B25" s="43" t="s">
        <v>116</v>
      </c>
      <c r="C25" s="43" t="s">
        <v>117</v>
      </c>
      <c r="D25" s="47" t="s">
        <v>118</v>
      </c>
      <c r="E25" s="42" t="s">
        <v>119</v>
      </c>
    </row>
    <row r="26" spans="2:8" x14ac:dyDescent="0.3">
      <c r="C26" s="55">
        <f>C13</f>
        <v>0.36977651691480756</v>
      </c>
      <c r="D26" s="47" t="s">
        <v>118</v>
      </c>
      <c r="E26" s="56">
        <f>C12</f>
        <v>11.698087349987233</v>
      </c>
      <c r="F26" s="46">
        <f>C26*E26</f>
        <v>4.3256779948434501</v>
      </c>
      <c r="G26" s="42" t="s">
        <v>85</v>
      </c>
    </row>
    <row r="28" spans="2:8" x14ac:dyDescent="0.3">
      <c r="B28" s="42" t="s">
        <v>120</v>
      </c>
    </row>
    <row r="29" spans="2:8" x14ac:dyDescent="0.3">
      <c r="B29" s="43" t="s">
        <v>121</v>
      </c>
      <c r="C29" s="42">
        <v>3.2000000000000002E-3</v>
      </c>
      <c r="D29" s="47" t="s">
        <v>118</v>
      </c>
      <c r="E29" s="42" t="s">
        <v>122</v>
      </c>
    </row>
    <row r="30" spans="2:8" x14ac:dyDescent="0.3">
      <c r="C30" s="42">
        <v>3.2000000000000002E-3</v>
      </c>
      <c r="D30" s="47" t="s">
        <v>118</v>
      </c>
      <c r="E30" s="55">
        <f>C10</f>
        <v>13.7351648697881</v>
      </c>
      <c r="F30" s="57" t="s">
        <v>123</v>
      </c>
      <c r="G30" s="54">
        <f>0.0032*E30^2</f>
        <v>0.60369521280083571</v>
      </c>
      <c r="H30" s="42" t="s">
        <v>101</v>
      </c>
    </row>
    <row r="32" spans="2:8" x14ac:dyDescent="0.3">
      <c r="B32" s="58" t="s">
        <v>124</v>
      </c>
      <c r="C32" s="59"/>
      <c r="D32" s="59"/>
    </row>
    <row r="33" spans="2:13" x14ac:dyDescent="0.3">
      <c r="C33" s="47"/>
      <c r="D33" s="47"/>
      <c r="E33" s="60"/>
      <c r="F33" s="56"/>
      <c r="G33" s="46"/>
    </row>
    <row r="34" spans="2:13" x14ac:dyDescent="0.3">
      <c r="B34" s="42" t="s">
        <v>125</v>
      </c>
    </row>
    <row r="35" spans="2:13" x14ac:dyDescent="0.3">
      <c r="B35" s="43" t="s">
        <v>126</v>
      </c>
      <c r="C35" s="42" t="s">
        <v>127</v>
      </c>
      <c r="G35" s="49">
        <f>MIN(M10:M14)</f>
        <v>0.5</v>
      </c>
    </row>
    <row r="37" spans="2:13" x14ac:dyDescent="0.3">
      <c r="B37" s="42" t="s">
        <v>128</v>
      </c>
    </row>
    <row r="38" spans="2:13" x14ac:dyDescent="0.3">
      <c r="B38" s="43" t="s">
        <v>129</v>
      </c>
      <c r="C38" s="42" t="s">
        <v>170</v>
      </c>
      <c r="E38" s="42">
        <v>3</v>
      </c>
      <c r="F38" s="61">
        <f>G35</f>
        <v>0.5</v>
      </c>
      <c r="G38" s="62">
        <f>C13</f>
        <v>0.36977651691480756</v>
      </c>
      <c r="H38" s="46">
        <f>3*G35/C13</f>
        <v>4.0565042164253589</v>
      </c>
      <c r="I38" s="42" t="s">
        <v>169</v>
      </c>
    </row>
    <row r="40" spans="2:13" x14ac:dyDescent="0.3">
      <c r="B40" s="42" t="s">
        <v>130</v>
      </c>
    </row>
    <row r="41" spans="2:13" x14ac:dyDescent="0.3">
      <c r="B41" s="43" t="s">
        <v>131</v>
      </c>
      <c r="C41" s="64">
        <v>1</v>
      </c>
      <c r="D41" s="42" t="s">
        <v>132</v>
      </c>
    </row>
    <row r="42" spans="2:13" x14ac:dyDescent="0.3">
      <c r="M42" s="65"/>
    </row>
    <row r="43" spans="2:13" x14ac:dyDescent="0.3">
      <c r="B43" s="42" t="s">
        <v>133</v>
      </c>
    </row>
    <row r="44" spans="2:13" x14ac:dyDescent="0.3">
      <c r="B44" s="43" t="s">
        <v>134</v>
      </c>
      <c r="C44" s="100" t="s">
        <v>135</v>
      </c>
      <c r="D44" s="100"/>
    </row>
    <row r="45" spans="2:13" x14ac:dyDescent="0.3">
      <c r="C45" s="66">
        <f>C10</f>
        <v>13.7351648697881</v>
      </c>
      <c r="D45" s="67">
        <f>C41</f>
        <v>1</v>
      </c>
      <c r="E45" s="68">
        <f>G30</f>
        <v>0.60369521280083571</v>
      </c>
      <c r="F45" s="46">
        <f>C10+C41*G30</f>
        <v>14.338860082588937</v>
      </c>
      <c r="G45" s="42" t="s">
        <v>101</v>
      </c>
    </row>
    <row r="47" spans="2:13" x14ac:dyDescent="0.3">
      <c r="B47" s="42" t="s">
        <v>136</v>
      </c>
    </row>
    <row r="48" spans="2:13" x14ac:dyDescent="0.3">
      <c r="B48" s="43" t="s">
        <v>137</v>
      </c>
      <c r="C48" s="42" t="s">
        <v>138</v>
      </c>
    </row>
    <row r="49" spans="2:13" x14ac:dyDescent="0.3">
      <c r="C49" s="104">
        <f>C11</f>
        <v>29.067140331622408</v>
      </c>
      <c r="D49" s="104"/>
      <c r="E49" s="69">
        <f>F45</f>
        <v>14.338860082588937</v>
      </c>
      <c r="F49" s="70">
        <f>H38</f>
        <v>4.0565042164253589</v>
      </c>
      <c r="G49" s="105">
        <f>F45</f>
        <v>14.338860082588937</v>
      </c>
      <c r="H49" s="105"/>
      <c r="I49" s="71">
        <f>C12</f>
        <v>11.698087349987233</v>
      </c>
      <c r="J49" s="72">
        <f>0.5*(C11-F45)*H38+0.5*F45*C12</f>
        <v>113.74128433813458</v>
      </c>
      <c r="K49" s="42" t="s">
        <v>139</v>
      </c>
    </row>
    <row r="50" spans="2:13" x14ac:dyDescent="0.3">
      <c r="B50" s="43" t="s">
        <v>140</v>
      </c>
      <c r="C50" s="73">
        <f>J49</f>
        <v>113.74128433813458</v>
      </c>
      <c r="D50" s="74">
        <f>C11</f>
        <v>29.067140331622408</v>
      </c>
      <c r="E50" s="97">
        <f>2*J49/C11</f>
        <v>7.8261076280967616</v>
      </c>
      <c r="F50" s="42" t="s">
        <v>111</v>
      </c>
    </row>
    <row r="52" spans="2:13" x14ac:dyDescent="0.3">
      <c r="B52" s="43" t="s">
        <v>141</v>
      </c>
      <c r="C52" s="50"/>
      <c r="D52" s="51"/>
      <c r="E52" s="51"/>
      <c r="F52" s="51"/>
      <c r="G52" s="51"/>
      <c r="H52" s="43" t="s">
        <v>141</v>
      </c>
      <c r="I52" s="50"/>
      <c r="J52" s="51"/>
      <c r="K52" s="51"/>
      <c r="M52" s="51"/>
    </row>
    <row r="53" spans="2:13" x14ac:dyDescent="0.3">
      <c r="B53" s="75">
        <f>C11</f>
        <v>29.067140331622408</v>
      </c>
      <c r="C53" s="50"/>
      <c r="D53" s="51"/>
      <c r="E53" s="51"/>
      <c r="F53" s="51"/>
      <c r="G53" s="51"/>
      <c r="H53" s="75">
        <f>B53</f>
        <v>29.067140331622408</v>
      </c>
      <c r="I53" s="50"/>
      <c r="J53" s="51"/>
      <c r="K53" s="51"/>
      <c r="M53" s="51"/>
    </row>
    <row r="54" spans="2:13" x14ac:dyDescent="0.3">
      <c r="B54" s="43" t="s">
        <v>142</v>
      </c>
      <c r="C54" s="50"/>
      <c r="D54" s="51"/>
      <c r="E54" s="76" t="s">
        <v>124</v>
      </c>
      <c r="F54" s="77"/>
      <c r="G54" s="51"/>
      <c r="I54" s="50"/>
      <c r="J54" s="77" t="s">
        <v>143</v>
      </c>
      <c r="K54" s="51"/>
      <c r="M54" s="51"/>
    </row>
    <row r="55" spans="2:13" x14ac:dyDescent="0.3">
      <c r="B55" s="75">
        <f>F45</f>
        <v>14.338860082588937</v>
      </c>
      <c r="C55" s="50"/>
      <c r="D55" s="51"/>
      <c r="E55" s="51"/>
      <c r="F55" s="51"/>
      <c r="G55" s="51"/>
      <c r="I55" s="50"/>
      <c r="J55" s="51"/>
      <c r="K55" s="51"/>
      <c r="M55" s="51"/>
    </row>
    <row r="56" spans="2:13" x14ac:dyDescent="0.3">
      <c r="B56" s="46"/>
      <c r="C56" s="50"/>
      <c r="D56" s="51"/>
      <c r="E56" s="51"/>
      <c r="F56" s="51"/>
      <c r="G56" s="51"/>
      <c r="I56" s="50"/>
      <c r="J56" s="51"/>
      <c r="K56" s="51"/>
      <c r="M56" s="51"/>
    </row>
    <row r="57" spans="2:13" x14ac:dyDescent="0.3">
      <c r="C57" s="52"/>
      <c r="D57" s="53"/>
      <c r="E57" s="53"/>
      <c r="F57" s="53"/>
      <c r="G57" s="53"/>
      <c r="I57" s="52"/>
      <c r="J57" s="53"/>
      <c r="K57" s="53"/>
      <c r="M57" s="51"/>
    </row>
    <row r="58" spans="2:13" x14ac:dyDescent="0.3">
      <c r="B58" s="42">
        <v>0</v>
      </c>
      <c r="D58" s="43" t="s">
        <v>129</v>
      </c>
      <c r="E58" s="54">
        <f>H38</f>
        <v>4.0565042164253589</v>
      </c>
      <c r="F58" s="43" t="s">
        <v>110</v>
      </c>
      <c r="G58" s="54">
        <f>C12</f>
        <v>11.698087349987233</v>
      </c>
      <c r="J58" s="43" t="s">
        <v>140</v>
      </c>
      <c r="K58" s="54">
        <f>E50</f>
        <v>7.8261076280967616</v>
      </c>
    </row>
    <row r="60" spans="2:13" x14ac:dyDescent="0.3">
      <c r="B60" s="48" t="s">
        <v>144</v>
      </c>
      <c r="C60" s="78"/>
      <c r="D60" s="78"/>
      <c r="E60" s="78"/>
    </row>
    <row r="62" spans="2:13" x14ac:dyDescent="0.3">
      <c r="B62" s="59" t="s">
        <v>124</v>
      </c>
      <c r="C62" s="59"/>
    </row>
    <row r="64" spans="2:13" x14ac:dyDescent="0.3">
      <c r="B64" s="43" t="s">
        <v>145</v>
      </c>
      <c r="C64" s="46">
        <f>C11</f>
        <v>29.067140331622408</v>
      </c>
      <c r="D64" s="42" t="s">
        <v>101</v>
      </c>
    </row>
    <row r="65" spans="2:15" x14ac:dyDescent="0.3">
      <c r="B65" s="42" t="s">
        <v>146</v>
      </c>
      <c r="C65" s="46">
        <f>E50</f>
        <v>7.8261076280967616</v>
      </c>
      <c r="D65" s="42" t="s">
        <v>111</v>
      </c>
    </row>
    <row r="66" spans="2:15" x14ac:dyDescent="0.3">
      <c r="B66" s="79" t="s">
        <v>147</v>
      </c>
      <c r="C66" s="45">
        <v>1.3</v>
      </c>
      <c r="D66" s="42" t="s">
        <v>163</v>
      </c>
    </row>
    <row r="67" spans="2:15" x14ac:dyDescent="0.3">
      <c r="B67" s="43" t="s">
        <v>148</v>
      </c>
      <c r="C67" s="63">
        <f>0.049*D7^0.75</f>
        <v>0.12806278893597017</v>
      </c>
      <c r="D67" s="42" t="s">
        <v>149</v>
      </c>
    </row>
    <row r="68" spans="2:15" x14ac:dyDescent="0.3">
      <c r="B68" s="80" t="s">
        <v>150</v>
      </c>
      <c r="C68" s="42" t="s">
        <v>151</v>
      </c>
      <c r="D68" s="81">
        <f>C65/C67</f>
        <v>61.11148830289585</v>
      </c>
    </row>
    <row r="70" spans="2:15" x14ac:dyDescent="0.3">
      <c r="B70" s="80" t="s">
        <v>152</v>
      </c>
      <c r="C70" s="53"/>
      <c r="D70" s="82" t="s">
        <v>153</v>
      </c>
      <c r="E70" s="53"/>
      <c r="F70" s="51"/>
    </row>
    <row r="71" spans="2:15" x14ac:dyDescent="0.3">
      <c r="C71" s="83" t="s">
        <v>154</v>
      </c>
      <c r="D71" s="101" t="s">
        <v>155</v>
      </c>
      <c r="E71" s="84" t="s">
        <v>156</v>
      </c>
    </row>
    <row r="72" spans="2:15" x14ac:dyDescent="0.3">
      <c r="C72" s="85" t="s">
        <v>157</v>
      </c>
      <c r="D72" s="100"/>
      <c r="E72" s="42" t="s">
        <v>158</v>
      </c>
    </row>
    <row r="74" spans="2:15" x14ac:dyDescent="0.3">
      <c r="C74" s="53"/>
      <c r="D74" s="86"/>
      <c r="E74" s="87">
        <f>C64</f>
        <v>29.067140331622408</v>
      </c>
      <c r="F74" s="53"/>
      <c r="G74" s="53"/>
      <c r="H74" s="100" t="s">
        <v>159</v>
      </c>
      <c r="I74" s="102">
        <f>C64/((SQRT(M75)/M76)+(O75/O76))</f>
        <v>47.263331897048431</v>
      </c>
      <c r="J74" s="102"/>
    </row>
    <row r="75" spans="2:15" x14ac:dyDescent="0.3">
      <c r="C75" s="88" t="s">
        <v>160</v>
      </c>
      <c r="D75" s="89">
        <f>C66</f>
        <v>1.3</v>
      </c>
      <c r="E75" s="100" t="s">
        <v>155</v>
      </c>
      <c r="F75" s="90">
        <f>C66</f>
        <v>1.3</v>
      </c>
      <c r="G75" s="91" t="s">
        <v>161</v>
      </c>
      <c r="H75" s="100"/>
      <c r="I75" s="102"/>
      <c r="J75" s="102"/>
      <c r="M75" s="42">
        <f>2*C66-1</f>
        <v>1.6</v>
      </c>
      <c r="O75" s="42">
        <f>(2*C66-1)*D68</f>
        <v>97.778381284633369</v>
      </c>
    </row>
    <row r="76" spans="2:15" x14ac:dyDescent="0.3">
      <c r="C76" s="92" t="s">
        <v>162</v>
      </c>
      <c r="D76" s="93">
        <f>D68</f>
        <v>61.11148830289585</v>
      </c>
      <c r="E76" s="100"/>
      <c r="F76" s="94">
        <f>C66</f>
        <v>1.3</v>
      </c>
      <c r="G76" s="95">
        <f>D68</f>
        <v>61.11148830289585</v>
      </c>
      <c r="M76" s="42">
        <f>PI()*D68</f>
        <v>191.98740270231619</v>
      </c>
      <c r="O76" s="42">
        <f>2*C66*(D68+0.7)</f>
        <v>160.70986958752923</v>
      </c>
    </row>
    <row r="77" spans="2:15" x14ac:dyDescent="0.3">
      <c r="F77" s="51"/>
    </row>
  </sheetData>
  <mergeCells count="10">
    <mergeCell ref="B5:B7"/>
    <mergeCell ref="B4:C4"/>
    <mergeCell ref="D71:D72"/>
    <mergeCell ref="H74:H75"/>
    <mergeCell ref="I74:J75"/>
    <mergeCell ref="E75:E76"/>
    <mergeCell ref="B9:D9"/>
    <mergeCell ref="C44:D44"/>
    <mergeCell ref="C49:D49"/>
    <mergeCell ref="G49:H49"/>
  </mergeCells>
  <phoneticPr fontId="1" type="noConversion"/>
  <dataValidations count="1">
    <dataValidation type="list" allowBlank="1" showInputMessage="1" showErrorMessage="1" sqref="D4 C8">
      <formula1>$O$10:$O$12</formula1>
    </dataValidation>
  </dataValidations>
  <pageMargins left="0.7" right="0.7" top="0.75" bottom="0.75" header="0.3" footer="0.3"/>
  <pageSetup paperSize="9" scale="87" fitToHeight="0" orientation="portrait" r:id="rId1"/>
  <rowBreaks count="1" manualBreakCount="1">
    <brk id="31" max="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8"/>
  <sheetViews>
    <sheetView zoomScaleNormal="100" workbookViewId="0">
      <selection activeCell="I1" sqref="I1"/>
    </sheetView>
  </sheetViews>
  <sheetFormatPr defaultRowHeight="16.5" x14ac:dyDescent="0.3"/>
  <cols>
    <col min="2" max="2" width="13.375" customWidth="1"/>
    <col min="3" max="3" width="11" customWidth="1"/>
    <col min="7" max="7" width="8.5" customWidth="1"/>
    <col min="8" max="8" width="9.625" bestFit="1" customWidth="1"/>
  </cols>
  <sheetData>
    <row r="2" spans="2:10" x14ac:dyDescent="0.3">
      <c r="B2" s="106" t="s">
        <v>79</v>
      </c>
      <c r="C2" s="106"/>
      <c r="D2" t="s">
        <v>76</v>
      </c>
    </row>
    <row r="3" spans="2:10" x14ac:dyDescent="0.3">
      <c r="B3" s="106" t="s">
        <v>78</v>
      </c>
      <c r="C3" s="106"/>
      <c r="D3">
        <v>2</v>
      </c>
      <c r="J3" t="s">
        <v>77</v>
      </c>
    </row>
    <row r="4" spans="2:10" x14ac:dyDescent="0.3">
      <c r="B4" s="33"/>
      <c r="C4" s="33"/>
    </row>
    <row r="5" spans="2:10" x14ac:dyDescent="0.3">
      <c r="B5" s="33"/>
      <c r="C5" s="106" t="s">
        <v>84</v>
      </c>
      <c r="D5" s="106"/>
      <c r="E5" s="106"/>
      <c r="F5" s="106" t="s">
        <v>83</v>
      </c>
      <c r="G5" s="106"/>
      <c r="H5" s="106"/>
    </row>
    <row r="6" spans="2:10" x14ac:dyDescent="0.3">
      <c r="B6" t="s">
        <v>80</v>
      </c>
      <c r="D6" s="35" t="s">
        <v>81</v>
      </c>
      <c r="E6" s="35" t="s">
        <v>82</v>
      </c>
      <c r="G6" s="35" t="s">
        <v>81</v>
      </c>
      <c r="H6" s="35" t="s">
        <v>82</v>
      </c>
    </row>
    <row r="7" spans="2:10" x14ac:dyDescent="0.3">
      <c r="B7">
        <v>0</v>
      </c>
      <c r="C7" s="33" t="str">
        <f>IF(B7-'폭압 파라메터 산정'!$C$19&gt;0,B7-'폭압 파라메터 산정'!$C$19, IF(B7-'폭압 파라메터 산정'!$C$19&lt;-0.25,"none",0))</f>
        <v>none</v>
      </c>
      <c r="D7" s="32">
        <f>IF(B7-'폭압 파라메터 산정'!$C$19&gt;-0.25,'폭압 파라메터 산정'!$C$14*(1-Graph!C7/'폭압 파라메터 산정'!$C$20)*EXP(-Graph!$D$3*Graph!C7/'폭압 파라메터 산정'!$C$20),0)</f>
        <v>0</v>
      </c>
      <c r="E7" s="32">
        <f>IF(B7-'폭압 파라메터 산정'!$C$19&gt;-0.25,'폭압 파라메터 산정'!$C$16*(1-Graph!C7/'폭압 파라메터 산정'!$C$20)*EXP(-Graph!$D$3*Graph!C7/'폭압 파라메터 산정'!$C$20),0)</f>
        <v>0</v>
      </c>
      <c r="F7" s="34" t="str">
        <f>IF(B7-'폭압 파라메터 산정'!$E$19&gt;0,B7-'폭압 파라메터 산정'!$E$19, IF(B7-'폭압 파라메터 산정'!$E$19&lt;-0.25,"none",0))</f>
        <v>none</v>
      </c>
      <c r="G7" s="32">
        <f>IF(B7-'폭압 파라메터 산정'!$E$19&gt;-0.25,'폭압 파라메터 산정'!$E$14*(1-F7/'폭압 파라메터 산정'!$E$20)*EXP(-Graph!$D$3*F7/'폭압 파라메터 산정'!$E$20),0)</f>
        <v>0</v>
      </c>
      <c r="H7" s="32">
        <f>IF(B7-'폭압 파라메터 산정'!$E$19&gt;-0.25,'폭압 파라메터 산정'!$E$16*(1-F7/'폭압 파라메터 산정'!$E$20)*EXP(-Graph!$D$3*F7/'폭압 파라메터 산정'!$E$20),0)</f>
        <v>0</v>
      </c>
    </row>
    <row r="8" spans="2:10" x14ac:dyDescent="0.3">
      <c r="B8">
        <f>B7+0.25</f>
        <v>0.25</v>
      </c>
      <c r="C8" s="33" t="str">
        <f>IF(B8-'폭압 파라메터 산정'!$C$19&gt;0,B8-'폭압 파라메터 산정'!$C$19, IF(B8-'폭압 파라메터 산정'!$C$19&lt;-0.25,"none",0))</f>
        <v>none</v>
      </c>
      <c r="D8" s="32">
        <f>IF(B8-'폭압 파라메터 산정'!$C$19&gt;-0.25,'폭압 파라메터 산정'!$C$14*(1-Graph!C8/'폭압 파라메터 산정'!$C$20)*EXP(-Graph!$D$3*Graph!C8/'폭압 파라메터 산정'!$C$20),0)</f>
        <v>0</v>
      </c>
      <c r="E8" s="32">
        <f>IF(B8-'폭압 파라메터 산정'!$C$19&gt;-0.25,'폭압 파라메터 산정'!$C$16*(1-Graph!C8/'폭압 파라메터 산정'!$C$20)*EXP(-Graph!$D$3*Graph!C8/'폭압 파라메터 산정'!$C$20),0)</f>
        <v>0</v>
      </c>
      <c r="F8" s="34" t="str">
        <f>IF(B8-'폭압 파라메터 산정'!$E$19&gt;0,B8-'폭압 파라메터 산정'!$E$19, IF(B8-'폭압 파라메터 산정'!$E$19&lt;-0.25,"none",0))</f>
        <v>none</v>
      </c>
      <c r="G8" s="32">
        <f>IF(B8-'폭압 파라메터 산정'!$E$19&gt;-0.25,'폭압 파라메터 산정'!$E$14*(1-F8/'폭압 파라메터 산정'!$E$20)*EXP(-Graph!$D$3*F8/'폭압 파라메터 산정'!$E$20),0)</f>
        <v>0</v>
      </c>
      <c r="H8" s="32">
        <f>IF(B8-'폭압 파라메터 산정'!$E$19&gt;-0.25,'폭압 파라메터 산정'!$E$16*(1-F8/'폭압 파라메터 산정'!$E$20)*EXP(-Graph!$D$3*F8/'폭압 파라메터 산정'!$E$20),0)</f>
        <v>0</v>
      </c>
    </row>
    <row r="9" spans="2:10" x14ac:dyDescent="0.3">
      <c r="B9">
        <f t="shared" ref="B9:B72" si="0">B8+0.25</f>
        <v>0.5</v>
      </c>
      <c r="C9" s="33" t="str">
        <f>IF(B9-'폭압 파라메터 산정'!$C$19&gt;0,B9-'폭압 파라메터 산정'!$C$19, IF(B9-'폭압 파라메터 산정'!$C$19&lt;-0.25,"none",0))</f>
        <v>none</v>
      </c>
      <c r="D9" s="32">
        <f>IF(B9-'폭압 파라메터 산정'!$C$19&gt;-0.25,'폭압 파라메터 산정'!$C$14*(1-Graph!C9/'폭압 파라메터 산정'!$C$20)*EXP(-Graph!$D$3*Graph!C9/'폭압 파라메터 산정'!$C$20),0)</f>
        <v>0</v>
      </c>
      <c r="E9" s="32">
        <f>IF(B9-'폭압 파라메터 산정'!$C$19&gt;-0.25,'폭압 파라메터 산정'!$C$16*(1-Graph!C9/'폭압 파라메터 산정'!$C$20)*EXP(-Graph!$D$3*Graph!C9/'폭압 파라메터 산정'!$C$20),0)</f>
        <v>0</v>
      </c>
      <c r="F9" s="34" t="str">
        <f>IF(B9-'폭압 파라메터 산정'!$E$19&gt;0,B9-'폭압 파라메터 산정'!$E$19, IF(B9-'폭압 파라메터 산정'!$E$19&lt;-0.25,"none",0))</f>
        <v>none</v>
      </c>
      <c r="G9" s="32">
        <f>IF(B9-'폭압 파라메터 산정'!$E$19&gt;-0.25,'폭압 파라메터 산정'!$E$14*(1-F9/'폭압 파라메터 산정'!$E$20)*EXP(-Graph!$D$3*F9/'폭압 파라메터 산정'!$E$20),0)</f>
        <v>0</v>
      </c>
      <c r="H9" s="32">
        <f>IF(B9-'폭압 파라메터 산정'!$E$19&gt;-0.25,'폭압 파라메터 산정'!$E$16*(1-F9/'폭압 파라메터 산정'!$E$20)*EXP(-Graph!$D$3*F9/'폭압 파라메터 산정'!$E$20),0)</f>
        <v>0</v>
      </c>
    </row>
    <row r="10" spans="2:10" x14ac:dyDescent="0.3">
      <c r="B10">
        <f t="shared" si="0"/>
        <v>0.75</v>
      </c>
      <c r="C10" s="33" t="str">
        <f>IF(B10-'폭압 파라메터 산정'!$C$19&gt;0,B10-'폭압 파라메터 산정'!$C$19, IF(B10-'폭압 파라메터 산정'!$C$19&lt;-0.25,"none",0))</f>
        <v>none</v>
      </c>
      <c r="D10" s="32">
        <f>IF(B10-'폭압 파라메터 산정'!$C$19&gt;-0.25,'폭압 파라메터 산정'!$C$14*(1-Graph!C10/'폭압 파라메터 산정'!$C$20)*EXP(-Graph!$D$3*Graph!C10/'폭압 파라메터 산정'!$C$20),0)</f>
        <v>0</v>
      </c>
      <c r="E10" s="32">
        <f>IF(B10-'폭압 파라메터 산정'!$C$19&gt;-0.25,'폭압 파라메터 산정'!$C$16*(1-Graph!C10/'폭압 파라메터 산정'!$C$20)*EXP(-Graph!$D$3*Graph!C10/'폭압 파라메터 산정'!$C$20),0)</f>
        <v>0</v>
      </c>
      <c r="F10" s="34" t="str">
        <f>IF(B10-'폭압 파라메터 산정'!$E$19&gt;0,B10-'폭압 파라메터 산정'!$E$19, IF(B10-'폭압 파라메터 산정'!$E$19&lt;-0.25,"none",0))</f>
        <v>none</v>
      </c>
      <c r="G10" s="32">
        <f>IF(B10-'폭압 파라메터 산정'!$E$19&gt;-0.25,'폭압 파라메터 산정'!$E$14*(1-F10/'폭압 파라메터 산정'!$E$20)*EXP(-Graph!$D$3*F10/'폭압 파라메터 산정'!$E$20),0)</f>
        <v>0</v>
      </c>
      <c r="H10" s="32">
        <f>IF(B10-'폭압 파라메터 산정'!$E$19&gt;-0.25,'폭압 파라메터 산정'!$E$16*(1-F10/'폭압 파라메터 산정'!$E$20)*EXP(-Graph!$D$3*F10/'폭압 파라메터 산정'!$E$20),0)</f>
        <v>0</v>
      </c>
    </row>
    <row r="11" spans="2:10" x14ac:dyDescent="0.3">
      <c r="B11">
        <f t="shared" si="0"/>
        <v>1</v>
      </c>
      <c r="C11" s="33" t="str">
        <f>IF(B11-'폭압 파라메터 산정'!$C$19&gt;0,B11-'폭압 파라메터 산정'!$C$19, IF(B11-'폭압 파라메터 산정'!$C$19&lt;-0.25,"none",0))</f>
        <v>none</v>
      </c>
      <c r="D11" s="32">
        <f>IF(B11-'폭압 파라메터 산정'!$C$19&gt;-0.25,'폭압 파라메터 산정'!$C$14*(1-Graph!C11/'폭압 파라메터 산정'!$C$20)*EXP(-Graph!$D$3*Graph!C11/'폭압 파라메터 산정'!$C$20),0)</f>
        <v>0</v>
      </c>
      <c r="E11" s="32">
        <f>IF(B11-'폭압 파라메터 산정'!$C$19&gt;-0.25,'폭압 파라메터 산정'!$C$16*(1-Graph!C11/'폭압 파라메터 산정'!$C$20)*EXP(-Graph!$D$3*Graph!C11/'폭압 파라메터 산정'!$C$20),0)</f>
        <v>0</v>
      </c>
      <c r="F11" s="34" t="str">
        <f>IF(B11-'폭압 파라메터 산정'!$E$19&gt;0,B11-'폭압 파라메터 산정'!$E$19, IF(B11-'폭압 파라메터 산정'!$E$19&lt;-0.25,"none",0))</f>
        <v>none</v>
      </c>
      <c r="G11" s="32">
        <f>IF(B11-'폭압 파라메터 산정'!$E$19&gt;-0.25,'폭압 파라메터 산정'!$E$14*(1-F11/'폭압 파라메터 산정'!$E$20)*EXP(-Graph!$D$3*F11/'폭압 파라메터 산정'!$E$20),0)</f>
        <v>0</v>
      </c>
      <c r="H11" s="32">
        <f>IF(B11-'폭압 파라메터 산정'!$E$19&gt;-0.25,'폭압 파라메터 산정'!$E$16*(1-F11/'폭압 파라메터 산정'!$E$20)*EXP(-Graph!$D$3*F11/'폭압 파라메터 산정'!$E$20),0)</f>
        <v>0</v>
      </c>
    </row>
    <row r="12" spans="2:10" x14ac:dyDescent="0.3">
      <c r="B12">
        <f t="shared" si="0"/>
        <v>1.25</v>
      </c>
      <c r="C12" s="33" t="str">
        <f>IF(B12-'폭압 파라메터 산정'!$C$19&gt;0,B12-'폭압 파라메터 산정'!$C$19, IF(B12-'폭압 파라메터 산정'!$C$19&lt;-0.25,"none",0))</f>
        <v>none</v>
      </c>
      <c r="D12" s="32">
        <f>IF(B12-'폭압 파라메터 산정'!$C$19&gt;-0.25,'폭압 파라메터 산정'!$C$14*(1-Graph!C12/'폭압 파라메터 산정'!$C$20)*EXP(-Graph!$D$3*Graph!C12/'폭압 파라메터 산정'!$C$20),0)</f>
        <v>0</v>
      </c>
      <c r="E12" s="32">
        <f>IF(B12-'폭압 파라메터 산정'!$C$19&gt;-0.25,'폭압 파라메터 산정'!$C$16*(1-Graph!C12/'폭압 파라메터 산정'!$C$20)*EXP(-Graph!$D$3*Graph!C12/'폭압 파라메터 산정'!$C$20),0)</f>
        <v>0</v>
      </c>
      <c r="F12" s="34" t="str">
        <f>IF(B12-'폭압 파라메터 산정'!$E$19&gt;0,B12-'폭압 파라메터 산정'!$E$19, IF(B12-'폭압 파라메터 산정'!$E$19&lt;-0.25,"none",0))</f>
        <v>none</v>
      </c>
      <c r="G12" s="32">
        <f>IF(B12-'폭압 파라메터 산정'!$E$19&gt;-0.25,'폭압 파라메터 산정'!$E$14*(1-F12/'폭압 파라메터 산정'!$E$20)*EXP(-Graph!$D$3*F12/'폭압 파라메터 산정'!$E$20),0)</f>
        <v>0</v>
      </c>
      <c r="H12" s="32">
        <f>IF(B12-'폭압 파라메터 산정'!$E$19&gt;-0.25,'폭압 파라메터 산정'!$E$16*(1-F12/'폭압 파라메터 산정'!$E$20)*EXP(-Graph!$D$3*F12/'폭압 파라메터 산정'!$E$20),0)</f>
        <v>0</v>
      </c>
    </row>
    <row r="13" spans="2:10" x14ac:dyDescent="0.3">
      <c r="B13">
        <f t="shared" si="0"/>
        <v>1.5</v>
      </c>
      <c r="C13" s="33" t="str">
        <f>IF(B13-'폭압 파라메터 산정'!$C$19&gt;0,B13-'폭압 파라메터 산정'!$C$19, IF(B13-'폭압 파라메터 산정'!$C$19&lt;-0.25,"none",0))</f>
        <v>none</v>
      </c>
      <c r="D13" s="32">
        <f>IF(B13-'폭압 파라메터 산정'!$C$19&gt;-0.25,'폭압 파라메터 산정'!$C$14*(1-Graph!C13/'폭압 파라메터 산정'!$C$20)*EXP(-Graph!$D$3*Graph!C13/'폭압 파라메터 산정'!$C$20),0)</f>
        <v>0</v>
      </c>
      <c r="E13" s="32">
        <f>IF(B13-'폭압 파라메터 산정'!$C$19&gt;-0.25,'폭압 파라메터 산정'!$C$16*(1-Graph!C13/'폭압 파라메터 산정'!$C$20)*EXP(-Graph!$D$3*Graph!C13/'폭압 파라메터 산정'!$C$20),0)</f>
        <v>0</v>
      </c>
      <c r="F13" s="34" t="str">
        <f>IF(B13-'폭압 파라메터 산정'!$E$19&gt;0,B13-'폭압 파라메터 산정'!$E$19, IF(B13-'폭압 파라메터 산정'!$E$19&lt;-0.25,"none",0))</f>
        <v>none</v>
      </c>
      <c r="G13" s="32">
        <f>IF(B13-'폭압 파라메터 산정'!$E$19&gt;-0.25,'폭압 파라메터 산정'!$E$14*(1-F13/'폭압 파라메터 산정'!$E$20)*EXP(-Graph!$D$3*F13/'폭압 파라메터 산정'!$E$20),0)</f>
        <v>0</v>
      </c>
      <c r="H13" s="32">
        <f>IF(B13-'폭압 파라메터 산정'!$E$19&gt;-0.25,'폭압 파라메터 산정'!$E$16*(1-F13/'폭압 파라메터 산정'!$E$20)*EXP(-Graph!$D$3*F13/'폭압 파라메터 산정'!$E$20),0)</f>
        <v>0</v>
      </c>
    </row>
    <row r="14" spans="2:10" x14ac:dyDescent="0.3">
      <c r="B14">
        <f t="shared" si="0"/>
        <v>1.75</v>
      </c>
      <c r="C14" s="33" t="str">
        <f>IF(B14-'폭압 파라메터 산정'!$C$19&gt;0,B14-'폭압 파라메터 산정'!$C$19, IF(B14-'폭압 파라메터 산정'!$C$19&lt;-0.25,"none",0))</f>
        <v>none</v>
      </c>
      <c r="D14" s="32">
        <f>IF(B14-'폭압 파라메터 산정'!$C$19&gt;-0.25,'폭압 파라메터 산정'!$C$14*(1-Graph!C14/'폭압 파라메터 산정'!$C$20)*EXP(-Graph!$D$3*Graph!C14/'폭압 파라메터 산정'!$C$20),0)</f>
        <v>0</v>
      </c>
      <c r="E14" s="32">
        <f>IF(B14-'폭압 파라메터 산정'!$C$19&gt;-0.25,'폭압 파라메터 산정'!$C$16*(1-Graph!C14/'폭압 파라메터 산정'!$C$20)*EXP(-Graph!$D$3*Graph!C14/'폭압 파라메터 산정'!$C$20),0)</f>
        <v>0</v>
      </c>
      <c r="F14" s="34" t="str">
        <f>IF(B14-'폭압 파라메터 산정'!$E$19&gt;0,B14-'폭압 파라메터 산정'!$E$19, IF(B14-'폭압 파라메터 산정'!$E$19&lt;-0.25,"none",0))</f>
        <v>none</v>
      </c>
      <c r="G14" s="32">
        <f>IF(B14-'폭압 파라메터 산정'!$E$19&gt;-0.25,'폭압 파라메터 산정'!$E$14*(1-F14/'폭압 파라메터 산정'!$E$20)*EXP(-Graph!$D$3*F14/'폭압 파라메터 산정'!$E$20),0)</f>
        <v>0</v>
      </c>
      <c r="H14" s="32">
        <f>IF(B14-'폭압 파라메터 산정'!$E$19&gt;-0.25,'폭압 파라메터 산정'!$E$16*(1-F14/'폭압 파라메터 산정'!$E$20)*EXP(-Graph!$D$3*F14/'폭압 파라메터 산정'!$E$20),0)</f>
        <v>0</v>
      </c>
    </row>
    <row r="15" spans="2:10" x14ac:dyDescent="0.3">
      <c r="B15">
        <f t="shared" si="0"/>
        <v>2</v>
      </c>
      <c r="C15" s="33" t="str">
        <f>IF(B15-'폭압 파라메터 산정'!$C$19&gt;0,B15-'폭압 파라메터 산정'!$C$19, IF(B15-'폭압 파라메터 산정'!$C$19&lt;-0.25,"none",0))</f>
        <v>none</v>
      </c>
      <c r="D15" s="32">
        <f>IF(B15-'폭압 파라메터 산정'!$C$19&gt;-0.25,'폭압 파라메터 산정'!$C$14*(1-Graph!C15/'폭압 파라메터 산정'!$C$20)*EXP(-Graph!$D$3*Graph!C15/'폭압 파라메터 산정'!$C$20),0)</f>
        <v>0</v>
      </c>
      <c r="E15" s="32">
        <f>IF(B15-'폭압 파라메터 산정'!$C$19&gt;-0.25,'폭압 파라메터 산정'!$C$16*(1-Graph!C15/'폭압 파라메터 산정'!$C$20)*EXP(-Graph!$D$3*Graph!C15/'폭압 파라메터 산정'!$C$20),0)</f>
        <v>0</v>
      </c>
      <c r="F15" s="34" t="str">
        <f>IF(B15-'폭압 파라메터 산정'!$E$19&gt;0,B15-'폭압 파라메터 산정'!$E$19, IF(B15-'폭압 파라메터 산정'!$E$19&lt;-0.25,"none",0))</f>
        <v>none</v>
      </c>
      <c r="G15" s="32">
        <f>IF(B15-'폭압 파라메터 산정'!$E$19&gt;-0.25,'폭압 파라메터 산정'!$E$14*(1-F15/'폭압 파라메터 산정'!$E$20)*EXP(-Graph!$D$3*F15/'폭압 파라메터 산정'!$E$20),0)</f>
        <v>0</v>
      </c>
      <c r="H15" s="32">
        <f>IF(B15-'폭압 파라메터 산정'!$E$19&gt;-0.25,'폭압 파라메터 산정'!$E$16*(1-F15/'폭압 파라메터 산정'!$E$20)*EXP(-Graph!$D$3*F15/'폭압 파라메터 산정'!$E$20),0)</f>
        <v>0</v>
      </c>
    </row>
    <row r="16" spans="2:10" x14ac:dyDescent="0.3">
      <c r="B16">
        <f t="shared" si="0"/>
        <v>2.25</v>
      </c>
      <c r="C16" s="33" t="str">
        <f>IF(B16-'폭압 파라메터 산정'!$C$19&gt;0,B16-'폭압 파라메터 산정'!$C$19, IF(B16-'폭압 파라메터 산정'!$C$19&lt;-0.25,"none",0))</f>
        <v>none</v>
      </c>
      <c r="D16" s="32">
        <f>IF(B16-'폭압 파라메터 산정'!$C$19&gt;-0.25,'폭압 파라메터 산정'!$C$14*(1-Graph!C16/'폭압 파라메터 산정'!$C$20)*EXP(-Graph!$D$3*Graph!C16/'폭압 파라메터 산정'!$C$20),0)</f>
        <v>0</v>
      </c>
      <c r="E16" s="32">
        <f>IF(B16-'폭압 파라메터 산정'!$C$19&gt;-0.25,'폭압 파라메터 산정'!$C$16*(1-Graph!C16/'폭압 파라메터 산정'!$C$20)*EXP(-Graph!$D$3*Graph!C16/'폭압 파라메터 산정'!$C$20),0)</f>
        <v>0</v>
      </c>
      <c r="F16" s="34" t="str">
        <f>IF(B16-'폭압 파라메터 산정'!$E$19&gt;0,B16-'폭압 파라메터 산정'!$E$19, IF(B16-'폭압 파라메터 산정'!$E$19&lt;-0.25,"none",0))</f>
        <v>none</v>
      </c>
      <c r="G16" s="32">
        <f>IF(B16-'폭압 파라메터 산정'!$E$19&gt;-0.25,'폭압 파라메터 산정'!$E$14*(1-F16/'폭압 파라메터 산정'!$E$20)*EXP(-Graph!$D$3*F16/'폭압 파라메터 산정'!$E$20),0)</f>
        <v>0</v>
      </c>
      <c r="H16" s="32">
        <f>IF(B16-'폭압 파라메터 산정'!$E$19&gt;-0.25,'폭압 파라메터 산정'!$E$16*(1-F16/'폭압 파라메터 산정'!$E$20)*EXP(-Graph!$D$3*F16/'폭압 파라메터 산정'!$E$20),0)</f>
        <v>0</v>
      </c>
    </row>
    <row r="17" spans="2:8" x14ac:dyDescent="0.3">
      <c r="B17">
        <f t="shared" si="0"/>
        <v>2.5</v>
      </c>
      <c r="C17" s="33" t="str">
        <f>IF(B17-'폭압 파라메터 산정'!$C$19&gt;0,B17-'폭압 파라메터 산정'!$C$19, IF(B17-'폭압 파라메터 산정'!$C$19&lt;-0.25,"none",0))</f>
        <v>none</v>
      </c>
      <c r="D17" s="32">
        <f>IF(B17-'폭압 파라메터 산정'!$C$19&gt;-0.25,'폭압 파라메터 산정'!$C$14*(1-Graph!C17/'폭압 파라메터 산정'!$C$20)*EXP(-Graph!$D$3*Graph!C17/'폭압 파라메터 산정'!$C$20),0)</f>
        <v>0</v>
      </c>
      <c r="E17" s="32">
        <f>IF(B17-'폭압 파라메터 산정'!$C$19&gt;-0.25,'폭압 파라메터 산정'!$C$16*(1-Graph!C17/'폭압 파라메터 산정'!$C$20)*EXP(-Graph!$D$3*Graph!C17/'폭압 파라메터 산정'!$C$20),0)</f>
        <v>0</v>
      </c>
      <c r="F17" s="34" t="str">
        <f>IF(B17-'폭압 파라메터 산정'!$E$19&gt;0,B17-'폭압 파라메터 산정'!$E$19, IF(B17-'폭압 파라메터 산정'!$E$19&lt;-0.25,"none",0))</f>
        <v>none</v>
      </c>
      <c r="G17" s="32">
        <f>IF(B17-'폭압 파라메터 산정'!$E$19&gt;-0.25,'폭압 파라메터 산정'!$E$14*(1-F17/'폭압 파라메터 산정'!$E$20)*EXP(-Graph!$D$3*F17/'폭압 파라메터 산정'!$E$20),0)</f>
        <v>0</v>
      </c>
      <c r="H17" s="32">
        <f>IF(B17-'폭압 파라메터 산정'!$E$19&gt;-0.25,'폭압 파라메터 산정'!$E$16*(1-F17/'폭압 파라메터 산정'!$E$20)*EXP(-Graph!$D$3*F17/'폭압 파라메터 산정'!$E$20),0)</f>
        <v>0</v>
      </c>
    </row>
    <row r="18" spans="2:8" x14ac:dyDescent="0.3">
      <c r="B18">
        <f t="shared" si="0"/>
        <v>2.75</v>
      </c>
      <c r="C18" s="33" t="str">
        <f>IF(B18-'폭압 파라메터 산정'!$C$19&gt;0,B18-'폭압 파라메터 산정'!$C$19, IF(B18-'폭압 파라메터 산정'!$C$19&lt;-0.25,"none",0))</f>
        <v>none</v>
      </c>
      <c r="D18" s="32">
        <f>IF(B18-'폭압 파라메터 산정'!$C$19&gt;-0.25,'폭압 파라메터 산정'!$C$14*(1-Graph!C18/'폭압 파라메터 산정'!$C$20)*EXP(-Graph!$D$3*Graph!C18/'폭압 파라메터 산정'!$C$20),0)</f>
        <v>0</v>
      </c>
      <c r="E18" s="32">
        <f>IF(B18-'폭압 파라메터 산정'!$C$19&gt;-0.25,'폭압 파라메터 산정'!$C$16*(1-Graph!C18/'폭압 파라메터 산정'!$C$20)*EXP(-Graph!$D$3*Graph!C18/'폭압 파라메터 산정'!$C$20),0)</f>
        <v>0</v>
      </c>
      <c r="F18" s="34" t="str">
        <f>IF(B18-'폭압 파라메터 산정'!$E$19&gt;0,B18-'폭압 파라메터 산정'!$E$19, IF(B18-'폭압 파라메터 산정'!$E$19&lt;-0.25,"none",0))</f>
        <v>none</v>
      </c>
      <c r="G18" s="32">
        <f>IF(B18-'폭압 파라메터 산정'!$E$19&gt;-0.25,'폭압 파라메터 산정'!$E$14*(1-F18/'폭압 파라메터 산정'!$E$20)*EXP(-Graph!$D$3*F18/'폭압 파라메터 산정'!$E$20),0)</f>
        <v>0</v>
      </c>
      <c r="H18" s="32">
        <f>IF(B18-'폭압 파라메터 산정'!$E$19&gt;-0.25,'폭압 파라메터 산정'!$E$16*(1-F18/'폭압 파라메터 산정'!$E$20)*EXP(-Graph!$D$3*F18/'폭압 파라메터 산정'!$E$20),0)</f>
        <v>0</v>
      </c>
    </row>
    <row r="19" spans="2:8" x14ac:dyDescent="0.3">
      <c r="B19">
        <f t="shared" si="0"/>
        <v>3</v>
      </c>
      <c r="C19" s="33" t="str">
        <f>IF(B19-'폭압 파라메터 산정'!$C$19&gt;0,B19-'폭압 파라메터 산정'!$C$19, IF(B19-'폭압 파라메터 산정'!$C$19&lt;-0.25,"none",0))</f>
        <v>none</v>
      </c>
      <c r="D19" s="32">
        <f>IF(B19-'폭압 파라메터 산정'!$C$19&gt;-0.25,'폭압 파라메터 산정'!$C$14*(1-Graph!C19/'폭압 파라메터 산정'!$C$20)*EXP(-Graph!$D$3*Graph!C19/'폭압 파라메터 산정'!$C$20),0)</f>
        <v>0</v>
      </c>
      <c r="E19" s="32">
        <f>IF(B19-'폭압 파라메터 산정'!$C$19&gt;-0.25,'폭압 파라메터 산정'!$C$16*(1-Graph!C19/'폭압 파라메터 산정'!$C$20)*EXP(-Graph!$D$3*Graph!C19/'폭압 파라메터 산정'!$C$20),0)</f>
        <v>0</v>
      </c>
      <c r="F19" s="34" t="str">
        <f>IF(B19-'폭압 파라메터 산정'!$E$19&gt;0,B19-'폭압 파라메터 산정'!$E$19, IF(B19-'폭압 파라메터 산정'!$E$19&lt;-0.25,"none",0))</f>
        <v>none</v>
      </c>
      <c r="G19" s="32">
        <f>IF(B19-'폭압 파라메터 산정'!$E$19&gt;-0.25,'폭압 파라메터 산정'!$E$14*(1-F19/'폭압 파라메터 산정'!$E$20)*EXP(-Graph!$D$3*F19/'폭압 파라메터 산정'!$E$20),0)</f>
        <v>0</v>
      </c>
      <c r="H19" s="32">
        <f>IF(B19-'폭압 파라메터 산정'!$E$19&gt;-0.25,'폭압 파라메터 산정'!$E$16*(1-F19/'폭압 파라메터 산정'!$E$20)*EXP(-Graph!$D$3*F19/'폭압 파라메터 산정'!$E$20),0)</f>
        <v>0</v>
      </c>
    </row>
    <row r="20" spans="2:8" x14ac:dyDescent="0.3">
      <c r="B20">
        <f t="shared" si="0"/>
        <v>3.25</v>
      </c>
      <c r="C20" s="33" t="str">
        <f>IF(B20-'폭압 파라메터 산정'!$C$19&gt;0,B20-'폭압 파라메터 산정'!$C$19, IF(B20-'폭압 파라메터 산정'!$C$19&lt;-0.25,"none",0))</f>
        <v>none</v>
      </c>
      <c r="D20" s="32">
        <f>IF(B20-'폭압 파라메터 산정'!$C$19&gt;-0.25,'폭압 파라메터 산정'!$C$14*(1-Graph!C20/'폭압 파라메터 산정'!$C$20)*EXP(-Graph!$D$3*Graph!C20/'폭압 파라메터 산정'!$C$20),0)</f>
        <v>0</v>
      </c>
      <c r="E20" s="32">
        <f>IF(B20-'폭압 파라메터 산정'!$C$19&gt;-0.25,'폭압 파라메터 산정'!$C$16*(1-Graph!C20/'폭압 파라메터 산정'!$C$20)*EXP(-Graph!$D$3*Graph!C20/'폭압 파라메터 산정'!$C$20),0)</f>
        <v>0</v>
      </c>
      <c r="F20" s="34" t="str">
        <f>IF(B20-'폭압 파라메터 산정'!$E$19&gt;0,B20-'폭압 파라메터 산정'!$E$19, IF(B20-'폭압 파라메터 산정'!$E$19&lt;-0.25,"none",0))</f>
        <v>none</v>
      </c>
      <c r="G20" s="32">
        <f>IF(B20-'폭압 파라메터 산정'!$E$19&gt;-0.25,'폭압 파라메터 산정'!$E$14*(1-F20/'폭압 파라메터 산정'!$E$20)*EXP(-Graph!$D$3*F20/'폭압 파라메터 산정'!$E$20),0)</f>
        <v>0</v>
      </c>
      <c r="H20" s="32">
        <f>IF(B20-'폭압 파라메터 산정'!$E$19&gt;-0.25,'폭압 파라메터 산정'!$E$16*(1-F20/'폭압 파라메터 산정'!$E$20)*EXP(-Graph!$D$3*F20/'폭압 파라메터 산정'!$E$20),0)</f>
        <v>0</v>
      </c>
    </row>
    <row r="21" spans="2:8" x14ac:dyDescent="0.3">
      <c r="B21">
        <f t="shared" si="0"/>
        <v>3.5</v>
      </c>
      <c r="C21" s="33" t="str">
        <f>IF(B21-'폭압 파라메터 산정'!$C$19&gt;0,B21-'폭압 파라메터 산정'!$C$19, IF(B21-'폭압 파라메터 산정'!$C$19&lt;-0.25,"none",0))</f>
        <v>none</v>
      </c>
      <c r="D21" s="32">
        <f>IF(B21-'폭압 파라메터 산정'!$C$19&gt;-0.25,'폭압 파라메터 산정'!$C$14*(1-Graph!C21/'폭압 파라메터 산정'!$C$20)*EXP(-Graph!$D$3*Graph!C21/'폭압 파라메터 산정'!$C$20),0)</f>
        <v>0</v>
      </c>
      <c r="E21" s="32">
        <f>IF(B21-'폭압 파라메터 산정'!$C$19&gt;-0.25,'폭압 파라메터 산정'!$C$16*(1-Graph!C21/'폭압 파라메터 산정'!$C$20)*EXP(-Graph!$D$3*Graph!C21/'폭압 파라메터 산정'!$C$20),0)</f>
        <v>0</v>
      </c>
      <c r="F21" s="34" t="str">
        <f>IF(B21-'폭압 파라메터 산정'!$E$19&gt;0,B21-'폭압 파라메터 산정'!$E$19, IF(B21-'폭압 파라메터 산정'!$E$19&lt;-0.25,"none",0))</f>
        <v>none</v>
      </c>
      <c r="G21" s="32">
        <f>IF(B21-'폭압 파라메터 산정'!$E$19&gt;-0.25,'폭압 파라메터 산정'!$E$14*(1-F21/'폭압 파라메터 산정'!$E$20)*EXP(-Graph!$D$3*F21/'폭압 파라메터 산정'!$E$20),0)</f>
        <v>0</v>
      </c>
      <c r="H21" s="32">
        <f>IF(B21-'폭압 파라메터 산정'!$E$19&gt;-0.25,'폭압 파라메터 산정'!$E$16*(1-F21/'폭압 파라메터 산정'!$E$20)*EXP(-Graph!$D$3*F21/'폭압 파라메터 산정'!$E$20),0)</f>
        <v>0</v>
      </c>
    </row>
    <row r="22" spans="2:8" x14ac:dyDescent="0.3">
      <c r="B22">
        <f t="shared" si="0"/>
        <v>3.75</v>
      </c>
      <c r="C22" s="33" t="str">
        <f>IF(B22-'폭압 파라메터 산정'!$C$19&gt;0,B22-'폭압 파라메터 산정'!$C$19, IF(B22-'폭압 파라메터 산정'!$C$19&lt;-0.25,"none",0))</f>
        <v>none</v>
      </c>
      <c r="D22" s="32">
        <f>IF(B22-'폭압 파라메터 산정'!$C$19&gt;-0.25,'폭압 파라메터 산정'!$C$14*(1-Graph!C22/'폭압 파라메터 산정'!$C$20)*EXP(-Graph!$D$3*Graph!C22/'폭압 파라메터 산정'!$C$20),0)</f>
        <v>0</v>
      </c>
      <c r="E22" s="32">
        <f>IF(B22-'폭압 파라메터 산정'!$C$19&gt;-0.25,'폭압 파라메터 산정'!$C$16*(1-Graph!C22/'폭압 파라메터 산정'!$C$20)*EXP(-Graph!$D$3*Graph!C22/'폭압 파라메터 산정'!$C$20),0)</f>
        <v>0</v>
      </c>
      <c r="F22" s="34" t="str">
        <f>IF(B22-'폭압 파라메터 산정'!$E$19&gt;0,B22-'폭압 파라메터 산정'!$E$19, IF(B22-'폭압 파라메터 산정'!$E$19&lt;-0.25,"none",0))</f>
        <v>none</v>
      </c>
      <c r="G22" s="32">
        <f>IF(B22-'폭압 파라메터 산정'!$E$19&gt;-0.25,'폭압 파라메터 산정'!$E$14*(1-F22/'폭압 파라메터 산정'!$E$20)*EXP(-Graph!$D$3*F22/'폭압 파라메터 산정'!$E$20),0)</f>
        <v>0</v>
      </c>
      <c r="H22" s="32">
        <f>IF(B22-'폭압 파라메터 산정'!$E$19&gt;-0.25,'폭압 파라메터 산정'!$E$16*(1-F22/'폭압 파라메터 산정'!$E$20)*EXP(-Graph!$D$3*F22/'폭압 파라메터 산정'!$E$20),0)</f>
        <v>0</v>
      </c>
    </row>
    <row r="23" spans="2:8" x14ac:dyDescent="0.3">
      <c r="B23">
        <f t="shared" si="0"/>
        <v>4</v>
      </c>
      <c r="C23" s="33" t="str">
        <f>IF(B23-'폭압 파라메터 산정'!$C$19&gt;0,B23-'폭압 파라메터 산정'!$C$19, IF(B23-'폭압 파라메터 산정'!$C$19&lt;-0.25,"none",0))</f>
        <v>none</v>
      </c>
      <c r="D23" s="32">
        <f>IF(B23-'폭압 파라메터 산정'!$C$19&gt;-0.25,'폭압 파라메터 산정'!$C$14*(1-Graph!C23/'폭압 파라메터 산정'!$C$20)*EXP(-Graph!$D$3*Graph!C23/'폭압 파라메터 산정'!$C$20),0)</f>
        <v>0</v>
      </c>
      <c r="E23" s="32">
        <f>IF(B23-'폭압 파라메터 산정'!$C$19&gt;-0.25,'폭압 파라메터 산정'!$C$16*(1-Graph!C23/'폭압 파라메터 산정'!$C$20)*EXP(-Graph!$D$3*Graph!C23/'폭압 파라메터 산정'!$C$20),0)</f>
        <v>0</v>
      </c>
      <c r="F23" s="34" t="str">
        <f>IF(B23-'폭압 파라메터 산정'!$E$19&gt;0,B23-'폭압 파라메터 산정'!$E$19, IF(B23-'폭압 파라메터 산정'!$E$19&lt;-0.25,"none",0))</f>
        <v>none</v>
      </c>
      <c r="G23" s="32">
        <f>IF(B23-'폭압 파라메터 산정'!$E$19&gt;-0.25,'폭압 파라메터 산정'!$E$14*(1-F23/'폭압 파라메터 산정'!$E$20)*EXP(-Graph!$D$3*F23/'폭압 파라메터 산정'!$E$20),0)</f>
        <v>0</v>
      </c>
      <c r="H23" s="32">
        <f>IF(B23-'폭압 파라메터 산정'!$E$19&gt;-0.25,'폭압 파라메터 산정'!$E$16*(1-F23/'폭압 파라메터 산정'!$E$20)*EXP(-Graph!$D$3*F23/'폭압 파라메터 산정'!$E$20),0)</f>
        <v>0</v>
      </c>
    </row>
    <row r="24" spans="2:8" x14ac:dyDescent="0.3">
      <c r="B24">
        <f t="shared" si="0"/>
        <v>4.25</v>
      </c>
      <c r="C24" s="33" t="str">
        <f>IF(B24-'폭압 파라메터 산정'!$C$19&gt;0,B24-'폭압 파라메터 산정'!$C$19, IF(B24-'폭압 파라메터 산정'!$C$19&lt;-0.25,"none",0))</f>
        <v>none</v>
      </c>
      <c r="D24" s="32">
        <f>IF(B24-'폭압 파라메터 산정'!$C$19&gt;-0.25,'폭압 파라메터 산정'!$C$14*(1-Graph!C24/'폭압 파라메터 산정'!$C$20)*EXP(-Graph!$D$3*Graph!C24/'폭압 파라메터 산정'!$C$20),0)</f>
        <v>0</v>
      </c>
      <c r="E24" s="32">
        <f>IF(B24-'폭압 파라메터 산정'!$C$19&gt;-0.25,'폭압 파라메터 산정'!$C$16*(1-Graph!C24/'폭압 파라메터 산정'!$C$20)*EXP(-Graph!$D$3*Graph!C24/'폭압 파라메터 산정'!$C$20),0)</f>
        <v>0</v>
      </c>
      <c r="F24" s="34" t="str">
        <f>IF(B24-'폭압 파라메터 산정'!$E$19&gt;0,B24-'폭압 파라메터 산정'!$E$19, IF(B24-'폭압 파라메터 산정'!$E$19&lt;-0.25,"none",0))</f>
        <v>none</v>
      </c>
      <c r="G24" s="32">
        <f>IF(B24-'폭압 파라메터 산정'!$E$19&gt;-0.25,'폭압 파라메터 산정'!$E$14*(1-F24/'폭압 파라메터 산정'!$E$20)*EXP(-Graph!$D$3*F24/'폭압 파라메터 산정'!$E$20),0)</f>
        <v>0</v>
      </c>
      <c r="H24" s="32">
        <f>IF(B24-'폭압 파라메터 산정'!$E$19&gt;-0.25,'폭압 파라메터 산정'!$E$16*(1-F24/'폭압 파라메터 산정'!$E$20)*EXP(-Graph!$D$3*F24/'폭압 파라메터 산정'!$E$20),0)</f>
        <v>0</v>
      </c>
    </row>
    <row r="25" spans="2:8" x14ac:dyDescent="0.3">
      <c r="B25">
        <f t="shared" si="0"/>
        <v>4.5</v>
      </c>
      <c r="C25" s="33" t="str">
        <f>IF(B25-'폭압 파라메터 산정'!$C$19&gt;0,B25-'폭압 파라메터 산정'!$C$19, IF(B25-'폭압 파라메터 산정'!$C$19&lt;-0.25,"none",0))</f>
        <v>none</v>
      </c>
      <c r="D25" s="32">
        <f>IF(B25-'폭압 파라메터 산정'!$C$19&gt;-0.25,'폭압 파라메터 산정'!$C$14*(1-Graph!C25/'폭압 파라메터 산정'!$C$20)*EXP(-Graph!$D$3*Graph!C25/'폭압 파라메터 산정'!$C$20),0)</f>
        <v>0</v>
      </c>
      <c r="E25" s="32">
        <f>IF(B25-'폭압 파라메터 산정'!$C$19&gt;-0.25,'폭압 파라메터 산정'!$C$16*(1-Graph!C25/'폭압 파라메터 산정'!$C$20)*EXP(-Graph!$D$3*Graph!C25/'폭압 파라메터 산정'!$C$20),0)</f>
        <v>0</v>
      </c>
      <c r="F25" s="34" t="str">
        <f>IF(B25-'폭압 파라메터 산정'!$E$19&gt;0,B25-'폭압 파라메터 산정'!$E$19, IF(B25-'폭압 파라메터 산정'!$E$19&lt;-0.25,"none",0))</f>
        <v>none</v>
      </c>
      <c r="G25" s="32">
        <f>IF(B25-'폭압 파라메터 산정'!$E$19&gt;-0.25,'폭압 파라메터 산정'!$E$14*(1-F25/'폭압 파라메터 산정'!$E$20)*EXP(-Graph!$D$3*F25/'폭압 파라메터 산정'!$E$20),0)</f>
        <v>0</v>
      </c>
      <c r="H25" s="32">
        <f>IF(B25-'폭압 파라메터 산정'!$E$19&gt;-0.25,'폭압 파라메터 산정'!$E$16*(1-F25/'폭압 파라메터 산정'!$E$20)*EXP(-Graph!$D$3*F25/'폭압 파라메터 산정'!$E$20),0)</f>
        <v>0</v>
      </c>
    </row>
    <row r="26" spans="2:8" x14ac:dyDescent="0.3">
      <c r="B26">
        <f t="shared" si="0"/>
        <v>4.75</v>
      </c>
      <c r="C26" s="33" t="str">
        <f>IF(B26-'폭압 파라메터 산정'!$C$19&gt;0,B26-'폭압 파라메터 산정'!$C$19, IF(B26-'폭압 파라메터 산정'!$C$19&lt;-0.25,"none",0))</f>
        <v>none</v>
      </c>
      <c r="D26" s="32">
        <f>IF(B26-'폭압 파라메터 산정'!$C$19&gt;-0.25,'폭압 파라메터 산정'!$C$14*(1-Graph!C26/'폭압 파라메터 산정'!$C$20)*EXP(-Graph!$D$3*Graph!C26/'폭압 파라메터 산정'!$C$20),0)</f>
        <v>0</v>
      </c>
      <c r="E26" s="32">
        <f>IF(B26-'폭압 파라메터 산정'!$C$19&gt;-0.25,'폭압 파라메터 산정'!$C$16*(1-Graph!C26/'폭압 파라메터 산정'!$C$20)*EXP(-Graph!$D$3*Graph!C26/'폭압 파라메터 산정'!$C$20),0)</f>
        <v>0</v>
      </c>
      <c r="F26" s="34" t="str">
        <f>IF(B26-'폭압 파라메터 산정'!$E$19&gt;0,B26-'폭압 파라메터 산정'!$E$19, IF(B26-'폭압 파라메터 산정'!$E$19&lt;-0.25,"none",0))</f>
        <v>none</v>
      </c>
      <c r="G26" s="32">
        <f>IF(B26-'폭압 파라메터 산정'!$E$19&gt;-0.25,'폭압 파라메터 산정'!$E$14*(1-F26/'폭압 파라메터 산정'!$E$20)*EXP(-Graph!$D$3*F26/'폭압 파라메터 산정'!$E$20),0)</f>
        <v>0</v>
      </c>
      <c r="H26" s="32">
        <f>IF(B26-'폭압 파라메터 산정'!$E$19&gt;-0.25,'폭압 파라메터 산정'!$E$16*(1-F26/'폭압 파라메터 산정'!$E$20)*EXP(-Graph!$D$3*F26/'폭압 파라메터 산정'!$E$20),0)</f>
        <v>0</v>
      </c>
    </row>
    <row r="27" spans="2:8" x14ac:dyDescent="0.3">
      <c r="B27">
        <f t="shared" si="0"/>
        <v>5</v>
      </c>
      <c r="C27" s="33" t="str">
        <f>IF(B27-'폭압 파라메터 산정'!$C$19&gt;0,B27-'폭압 파라메터 산정'!$C$19, IF(B27-'폭압 파라메터 산정'!$C$19&lt;-0.25,"none",0))</f>
        <v>none</v>
      </c>
      <c r="D27" s="32">
        <f>IF(B27-'폭압 파라메터 산정'!$C$19&gt;-0.25,'폭압 파라메터 산정'!$C$14*(1-Graph!C27/'폭압 파라메터 산정'!$C$20)*EXP(-Graph!$D$3*Graph!C27/'폭압 파라메터 산정'!$C$20),0)</f>
        <v>0</v>
      </c>
      <c r="E27" s="32">
        <f>IF(B27-'폭압 파라메터 산정'!$C$19&gt;-0.25,'폭압 파라메터 산정'!$C$16*(1-Graph!C27/'폭압 파라메터 산정'!$C$20)*EXP(-Graph!$D$3*Graph!C27/'폭압 파라메터 산정'!$C$20),0)</f>
        <v>0</v>
      </c>
      <c r="F27" s="34" t="str">
        <f>IF(B27-'폭압 파라메터 산정'!$E$19&gt;0,B27-'폭압 파라메터 산정'!$E$19, IF(B27-'폭압 파라메터 산정'!$E$19&lt;-0.25,"none",0))</f>
        <v>none</v>
      </c>
      <c r="G27" s="32">
        <f>IF(B27-'폭압 파라메터 산정'!$E$19&gt;-0.25,'폭압 파라메터 산정'!$E$14*(1-F27/'폭압 파라메터 산정'!$E$20)*EXP(-Graph!$D$3*F27/'폭압 파라메터 산정'!$E$20),0)</f>
        <v>0</v>
      </c>
      <c r="H27" s="32">
        <f>IF(B27-'폭압 파라메터 산정'!$E$19&gt;-0.25,'폭압 파라메터 산정'!$E$16*(1-F27/'폭압 파라메터 산정'!$E$20)*EXP(-Graph!$D$3*F27/'폭압 파라메터 산정'!$E$20),0)</f>
        <v>0</v>
      </c>
    </row>
    <row r="28" spans="2:8" x14ac:dyDescent="0.3">
      <c r="B28">
        <f t="shared" si="0"/>
        <v>5.25</v>
      </c>
      <c r="C28" s="33" t="str">
        <f>IF(B28-'폭압 파라메터 산정'!$C$19&gt;0,B28-'폭압 파라메터 산정'!$C$19, IF(B28-'폭압 파라메터 산정'!$C$19&lt;-0.25,"none",0))</f>
        <v>none</v>
      </c>
      <c r="D28" s="32">
        <f>IF(B28-'폭압 파라메터 산정'!$C$19&gt;-0.25,'폭압 파라메터 산정'!$C$14*(1-Graph!C28/'폭압 파라메터 산정'!$C$20)*EXP(-Graph!$D$3*Graph!C28/'폭압 파라메터 산정'!$C$20),0)</f>
        <v>0</v>
      </c>
      <c r="E28" s="32">
        <f>IF(B28-'폭압 파라메터 산정'!$C$19&gt;-0.25,'폭압 파라메터 산정'!$C$16*(1-Graph!C28/'폭압 파라메터 산정'!$C$20)*EXP(-Graph!$D$3*Graph!C28/'폭압 파라메터 산정'!$C$20),0)</f>
        <v>0</v>
      </c>
      <c r="F28" s="34" t="str">
        <f>IF(B28-'폭압 파라메터 산정'!$E$19&gt;0,B28-'폭압 파라메터 산정'!$E$19, IF(B28-'폭압 파라메터 산정'!$E$19&lt;-0.25,"none",0))</f>
        <v>none</v>
      </c>
      <c r="G28" s="32">
        <f>IF(B28-'폭압 파라메터 산정'!$E$19&gt;-0.25,'폭압 파라메터 산정'!$E$14*(1-F28/'폭압 파라메터 산정'!$E$20)*EXP(-Graph!$D$3*F28/'폭압 파라메터 산정'!$E$20),0)</f>
        <v>0</v>
      </c>
      <c r="H28" s="32">
        <f>IF(B28-'폭압 파라메터 산정'!$E$19&gt;-0.25,'폭압 파라메터 산정'!$E$16*(1-F28/'폭압 파라메터 산정'!$E$20)*EXP(-Graph!$D$3*F28/'폭압 파라메터 산정'!$E$20),0)</f>
        <v>0</v>
      </c>
    </row>
    <row r="29" spans="2:8" x14ac:dyDescent="0.3">
      <c r="B29">
        <f t="shared" si="0"/>
        <v>5.5</v>
      </c>
      <c r="C29" s="33" t="str">
        <f>IF(B29-'폭압 파라메터 산정'!$C$19&gt;0,B29-'폭압 파라메터 산정'!$C$19, IF(B29-'폭압 파라메터 산정'!$C$19&lt;-0.25,"none",0))</f>
        <v>none</v>
      </c>
      <c r="D29" s="32">
        <f>IF(B29-'폭압 파라메터 산정'!$C$19&gt;-0.25,'폭압 파라메터 산정'!$C$14*(1-Graph!C29/'폭압 파라메터 산정'!$C$20)*EXP(-Graph!$D$3*Graph!C29/'폭압 파라메터 산정'!$C$20),0)</f>
        <v>0</v>
      </c>
      <c r="E29" s="32">
        <f>IF(B29-'폭압 파라메터 산정'!$C$19&gt;-0.25,'폭압 파라메터 산정'!$C$16*(1-Graph!C29/'폭압 파라메터 산정'!$C$20)*EXP(-Graph!$D$3*Graph!C29/'폭압 파라메터 산정'!$C$20),0)</f>
        <v>0</v>
      </c>
      <c r="F29" s="34" t="str">
        <f>IF(B29-'폭압 파라메터 산정'!$E$19&gt;0,B29-'폭압 파라메터 산정'!$E$19, IF(B29-'폭압 파라메터 산정'!$E$19&lt;-0.25,"none",0))</f>
        <v>none</v>
      </c>
      <c r="G29" s="32">
        <f>IF(B29-'폭압 파라메터 산정'!$E$19&gt;-0.25,'폭압 파라메터 산정'!$E$14*(1-F29/'폭압 파라메터 산정'!$E$20)*EXP(-Graph!$D$3*F29/'폭압 파라메터 산정'!$E$20),0)</f>
        <v>0</v>
      </c>
      <c r="H29" s="32">
        <f>IF(B29-'폭압 파라메터 산정'!$E$19&gt;-0.25,'폭압 파라메터 산정'!$E$16*(1-F29/'폭압 파라메터 산정'!$E$20)*EXP(-Graph!$D$3*F29/'폭압 파라메터 산정'!$E$20),0)</f>
        <v>0</v>
      </c>
    </row>
    <row r="30" spans="2:8" x14ac:dyDescent="0.3">
      <c r="B30">
        <f t="shared" si="0"/>
        <v>5.75</v>
      </c>
      <c r="C30" s="33" t="str">
        <f>IF(B30-'폭압 파라메터 산정'!$C$19&gt;0,B30-'폭압 파라메터 산정'!$C$19, IF(B30-'폭압 파라메터 산정'!$C$19&lt;-0.25,"none",0))</f>
        <v>none</v>
      </c>
      <c r="D30" s="32">
        <f>IF(B30-'폭압 파라메터 산정'!$C$19&gt;-0.25,'폭압 파라메터 산정'!$C$14*(1-Graph!C30/'폭압 파라메터 산정'!$C$20)*EXP(-Graph!$D$3*Graph!C30/'폭압 파라메터 산정'!$C$20),0)</f>
        <v>0</v>
      </c>
      <c r="E30" s="32">
        <f>IF(B30-'폭압 파라메터 산정'!$C$19&gt;-0.25,'폭압 파라메터 산정'!$C$16*(1-Graph!C30/'폭압 파라메터 산정'!$C$20)*EXP(-Graph!$D$3*Graph!C30/'폭압 파라메터 산정'!$C$20),0)</f>
        <v>0</v>
      </c>
      <c r="F30" s="34" t="str">
        <f>IF(B30-'폭압 파라메터 산정'!$E$19&gt;0,B30-'폭압 파라메터 산정'!$E$19, IF(B30-'폭압 파라메터 산정'!$E$19&lt;-0.25,"none",0))</f>
        <v>none</v>
      </c>
      <c r="G30" s="32">
        <f>IF(B30-'폭압 파라메터 산정'!$E$19&gt;-0.25,'폭압 파라메터 산정'!$E$14*(1-F30/'폭압 파라메터 산정'!$E$20)*EXP(-Graph!$D$3*F30/'폭압 파라메터 산정'!$E$20),0)</f>
        <v>0</v>
      </c>
      <c r="H30" s="32">
        <f>IF(B30-'폭압 파라메터 산정'!$E$19&gt;-0.25,'폭압 파라메터 산정'!$E$16*(1-F30/'폭압 파라메터 산정'!$E$20)*EXP(-Graph!$D$3*F30/'폭압 파라메터 산정'!$E$20),0)</f>
        <v>0</v>
      </c>
    </row>
    <row r="31" spans="2:8" x14ac:dyDescent="0.3">
      <c r="B31">
        <f t="shared" si="0"/>
        <v>6</v>
      </c>
      <c r="C31" s="33" t="str">
        <f>IF(B31-'폭압 파라메터 산정'!$C$19&gt;0,B31-'폭압 파라메터 산정'!$C$19, IF(B31-'폭압 파라메터 산정'!$C$19&lt;-0.25,"none",0))</f>
        <v>none</v>
      </c>
      <c r="D31" s="32">
        <f>IF(B31-'폭압 파라메터 산정'!$C$19&gt;-0.25,'폭압 파라메터 산정'!$C$14*(1-Graph!C31/'폭압 파라메터 산정'!$C$20)*EXP(-Graph!$D$3*Graph!C31/'폭압 파라메터 산정'!$C$20),0)</f>
        <v>0</v>
      </c>
      <c r="E31" s="32">
        <f>IF(B31-'폭압 파라메터 산정'!$C$19&gt;-0.25,'폭압 파라메터 산정'!$C$16*(1-Graph!C31/'폭압 파라메터 산정'!$C$20)*EXP(-Graph!$D$3*Graph!C31/'폭압 파라메터 산정'!$C$20),0)</f>
        <v>0</v>
      </c>
      <c r="F31" s="34" t="str">
        <f>IF(B31-'폭압 파라메터 산정'!$E$19&gt;0,B31-'폭압 파라메터 산정'!$E$19, IF(B31-'폭압 파라메터 산정'!$E$19&lt;-0.25,"none",0))</f>
        <v>none</v>
      </c>
      <c r="G31" s="32">
        <f>IF(B31-'폭압 파라메터 산정'!$E$19&gt;-0.25,'폭압 파라메터 산정'!$E$14*(1-F31/'폭압 파라메터 산정'!$E$20)*EXP(-Graph!$D$3*F31/'폭압 파라메터 산정'!$E$20),0)</f>
        <v>0</v>
      </c>
      <c r="H31" s="32">
        <f>IF(B31-'폭압 파라메터 산정'!$E$19&gt;-0.25,'폭압 파라메터 산정'!$E$16*(1-F31/'폭압 파라메터 산정'!$E$20)*EXP(-Graph!$D$3*F31/'폭압 파라메터 산정'!$E$20),0)</f>
        <v>0</v>
      </c>
    </row>
    <row r="32" spans="2:8" x14ac:dyDescent="0.3">
      <c r="B32">
        <f t="shared" si="0"/>
        <v>6.25</v>
      </c>
      <c r="C32" s="33" t="str">
        <f>IF(B32-'폭압 파라메터 산정'!$C$19&gt;0,B32-'폭압 파라메터 산정'!$C$19, IF(B32-'폭압 파라메터 산정'!$C$19&lt;-0.25,"none",0))</f>
        <v>none</v>
      </c>
      <c r="D32" s="32">
        <f>IF(B32-'폭압 파라메터 산정'!$C$19&gt;-0.25,'폭압 파라메터 산정'!$C$14*(1-Graph!C32/'폭압 파라메터 산정'!$C$20)*EXP(-Graph!$D$3*Graph!C32/'폭압 파라메터 산정'!$C$20),0)</f>
        <v>0</v>
      </c>
      <c r="E32" s="32">
        <f>IF(B32-'폭압 파라메터 산정'!$C$19&gt;-0.25,'폭압 파라메터 산정'!$C$16*(1-Graph!C32/'폭압 파라메터 산정'!$C$20)*EXP(-Graph!$D$3*Graph!C32/'폭압 파라메터 산정'!$C$20),0)</f>
        <v>0</v>
      </c>
      <c r="F32" s="34" t="str">
        <f>IF(B32-'폭압 파라메터 산정'!$E$19&gt;0,B32-'폭압 파라메터 산정'!$E$19, IF(B32-'폭압 파라메터 산정'!$E$19&lt;-0.25,"none",0))</f>
        <v>none</v>
      </c>
      <c r="G32" s="32">
        <f>IF(B32-'폭압 파라메터 산정'!$E$19&gt;-0.25,'폭압 파라메터 산정'!$E$14*(1-F32/'폭압 파라메터 산정'!$E$20)*EXP(-Graph!$D$3*F32/'폭압 파라메터 산정'!$E$20),0)</f>
        <v>0</v>
      </c>
      <c r="H32" s="32">
        <f>IF(B32-'폭압 파라메터 산정'!$E$19&gt;-0.25,'폭압 파라메터 산정'!$E$16*(1-F32/'폭압 파라메터 산정'!$E$20)*EXP(-Graph!$D$3*F32/'폭압 파라메터 산정'!$E$20),0)</f>
        <v>0</v>
      </c>
    </row>
    <row r="33" spans="2:8" x14ac:dyDescent="0.3">
      <c r="B33">
        <f t="shared" si="0"/>
        <v>6.5</v>
      </c>
      <c r="C33" s="33" t="str">
        <f>IF(B33-'폭압 파라메터 산정'!$C$19&gt;0,B33-'폭압 파라메터 산정'!$C$19, IF(B33-'폭압 파라메터 산정'!$C$19&lt;-0.25,"none",0))</f>
        <v>none</v>
      </c>
      <c r="D33" s="32">
        <f>IF(B33-'폭압 파라메터 산정'!$C$19&gt;-0.25,'폭압 파라메터 산정'!$C$14*(1-Graph!C33/'폭압 파라메터 산정'!$C$20)*EXP(-Graph!$D$3*Graph!C33/'폭압 파라메터 산정'!$C$20),0)</f>
        <v>0</v>
      </c>
      <c r="E33" s="32">
        <f>IF(B33-'폭압 파라메터 산정'!$C$19&gt;-0.25,'폭압 파라메터 산정'!$C$16*(1-Graph!C33/'폭압 파라메터 산정'!$C$20)*EXP(-Graph!$D$3*Graph!C33/'폭압 파라메터 산정'!$C$20),0)</f>
        <v>0</v>
      </c>
      <c r="F33" s="34" t="str">
        <f>IF(B33-'폭압 파라메터 산정'!$E$19&gt;0,B33-'폭압 파라메터 산정'!$E$19, IF(B33-'폭압 파라메터 산정'!$E$19&lt;-0.25,"none",0))</f>
        <v>none</v>
      </c>
      <c r="G33" s="32">
        <f>IF(B33-'폭압 파라메터 산정'!$E$19&gt;-0.25,'폭압 파라메터 산정'!$E$14*(1-F33/'폭압 파라메터 산정'!$E$20)*EXP(-Graph!$D$3*F33/'폭압 파라메터 산정'!$E$20),0)</f>
        <v>0</v>
      </c>
      <c r="H33" s="32">
        <f>IF(B33-'폭압 파라메터 산정'!$E$19&gt;-0.25,'폭압 파라메터 산정'!$E$16*(1-F33/'폭압 파라메터 산정'!$E$20)*EXP(-Graph!$D$3*F33/'폭압 파라메터 산정'!$E$20),0)</f>
        <v>0</v>
      </c>
    </row>
    <row r="34" spans="2:8" x14ac:dyDescent="0.3">
      <c r="B34">
        <f t="shared" si="0"/>
        <v>6.75</v>
      </c>
      <c r="C34" s="33" t="str">
        <f>IF(B34-'폭압 파라메터 산정'!$C$19&gt;0,B34-'폭압 파라메터 산정'!$C$19, IF(B34-'폭압 파라메터 산정'!$C$19&lt;-0.25,"none",0))</f>
        <v>none</v>
      </c>
      <c r="D34" s="32">
        <f>IF(B34-'폭압 파라메터 산정'!$C$19&gt;-0.25,'폭압 파라메터 산정'!$C$14*(1-Graph!C34/'폭압 파라메터 산정'!$C$20)*EXP(-Graph!$D$3*Graph!C34/'폭압 파라메터 산정'!$C$20),0)</f>
        <v>0</v>
      </c>
      <c r="E34" s="32">
        <f>IF(B34-'폭압 파라메터 산정'!$C$19&gt;-0.25,'폭압 파라메터 산정'!$C$16*(1-Graph!C34/'폭압 파라메터 산정'!$C$20)*EXP(-Graph!$D$3*Graph!C34/'폭압 파라메터 산정'!$C$20),0)</f>
        <v>0</v>
      </c>
      <c r="F34" s="34" t="str">
        <f>IF(B34-'폭압 파라메터 산정'!$E$19&gt;0,B34-'폭압 파라메터 산정'!$E$19, IF(B34-'폭압 파라메터 산정'!$E$19&lt;-0.25,"none",0))</f>
        <v>none</v>
      </c>
      <c r="G34" s="32">
        <f>IF(B34-'폭압 파라메터 산정'!$E$19&gt;-0.25,'폭압 파라메터 산정'!$E$14*(1-F34/'폭압 파라메터 산정'!$E$20)*EXP(-Graph!$D$3*F34/'폭압 파라메터 산정'!$E$20),0)</f>
        <v>0</v>
      </c>
      <c r="H34" s="32">
        <f>IF(B34-'폭압 파라메터 산정'!$E$19&gt;-0.25,'폭압 파라메터 산정'!$E$16*(1-F34/'폭압 파라메터 산정'!$E$20)*EXP(-Graph!$D$3*F34/'폭압 파라메터 산정'!$E$20),0)</f>
        <v>0</v>
      </c>
    </row>
    <row r="35" spans="2:8" x14ac:dyDescent="0.3">
      <c r="B35">
        <f t="shared" si="0"/>
        <v>7</v>
      </c>
      <c r="C35" s="33" t="str">
        <f>IF(B35-'폭압 파라메터 산정'!$C$19&gt;0,B35-'폭압 파라메터 산정'!$C$19, IF(B35-'폭압 파라메터 산정'!$C$19&lt;-0.25,"none",0))</f>
        <v>none</v>
      </c>
      <c r="D35" s="32">
        <f>IF(B35-'폭압 파라메터 산정'!$C$19&gt;-0.25,'폭압 파라메터 산정'!$C$14*(1-Graph!C35/'폭압 파라메터 산정'!$C$20)*EXP(-Graph!$D$3*Graph!C35/'폭압 파라메터 산정'!$C$20),0)</f>
        <v>0</v>
      </c>
      <c r="E35" s="32">
        <f>IF(B35-'폭압 파라메터 산정'!$C$19&gt;-0.25,'폭압 파라메터 산정'!$C$16*(1-Graph!C35/'폭압 파라메터 산정'!$C$20)*EXP(-Graph!$D$3*Graph!C35/'폭압 파라메터 산정'!$C$20),0)</f>
        <v>0</v>
      </c>
      <c r="F35" s="34" t="str">
        <f>IF(B35-'폭압 파라메터 산정'!$E$19&gt;0,B35-'폭압 파라메터 산정'!$E$19, IF(B35-'폭압 파라메터 산정'!$E$19&lt;-0.25,"none",0))</f>
        <v>none</v>
      </c>
      <c r="G35" s="32">
        <f>IF(B35-'폭압 파라메터 산정'!$E$19&gt;-0.25,'폭압 파라메터 산정'!$E$14*(1-F35/'폭압 파라메터 산정'!$E$20)*EXP(-Graph!$D$3*F35/'폭압 파라메터 산정'!$E$20),0)</f>
        <v>0</v>
      </c>
      <c r="H35" s="32">
        <f>IF(B35-'폭압 파라메터 산정'!$E$19&gt;-0.25,'폭압 파라메터 산정'!$E$16*(1-F35/'폭압 파라메터 산정'!$E$20)*EXP(-Graph!$D$3*F35/'폭압 파라메터 산정'!$E$20),0)</f>
        <v>0</v>
      </c>
    </row>
    <row r="36" spans="2:8" x14ac:dyDescent="0.3">
      <c r="B36">
        <f t="shared" si="0"/>
        <v>7.25</v>
      </c>
      <c r="C36" s="33" t="str">
        <f>IF(B36-'폭압 파라메터 산정'!$C$19&gt;0,B36-'폭압 파라메터 산정'!$C$19, IF(B36-'폭압 파라메터 산정'!$C$19&lt;-0.25,"none",0))</f>
        <v>none</v>
      </c>
      <c r="D36" s="32">
        <f>IF(B36-'폭압 파라메터 산정'!$C$19&gt;-0.25,'폭압 파라메터 산정'!$C$14*(1-Graph!C36/'폭압 파라메터 산정'!$C$20)*EXP(-Graph!$D$3*Graph!C36/'폭압 파라메터 산정'!$C$20),0)</f>
        <v>0</v>
      </c>
      <c r="E36" s="32">
        <f>IF(B36-'폭압 파라메터 산정'!$C$19&gt;-0.25,'폭압 파라메터 산정'!$C$16*(1-Graph!C36/'폭압 파라메터 산정'!$C$20)*EXP(-Graph!$D$3*Graph!C36/'폭압 파라메터 산정'!$C$20),0)</f>
        <v>0</v>
      </c>
      <c r="F36" s="34" t="str">
        <f>IF(B36-'폭압 파라메터 산정'!$E$19&gt;0,B36-'폭압 파라메터 산정'!$E$19, IF(B36-'폭압 파라메터 산정'!$E$19&lt;-0.25,"none",0))</f>
        <v>none</v>
      </c>
      <c r="G36" s="32">
        <f>IF(B36-'폭압 파라메터 산정'!$E$19&gt;-0.25,'폭압 파라메터 산정'!$E$14*(1-F36/'폭압 파라메터 산정'!$E$20)*EXP(-Graph!$D$3*F36/'폭압 파라메터 산정'!$E$20),0)</f>
        <v>0</v>
      </c>
      <c r="H36" s="32">
        <f>IF(B36-'폭압 파라메터 산정'!$E$19&gt;-0.25,'폭압 파라메터 산정'!$E$16*(1-F36/'폭압 파라메터 산정'!$E$20)*EXP(-Graph!$D$3*F36/'폭압 파라메터 산정'!$E$20),0)</f>
        <v>0</v>
      </c>
    </row>
    <row r="37" spans="2:8" x14ac:dyDescent="0.3">
      <c r="B37">
        <f t="shared" si="0"/>
        <v>7.5</v>
      </c>
      <c r="C37" s="33" t="str">
        <f>IF(B37-'폭압 파라메터 산정'!$C$19&gt;0,B37-'폭압 파라메터 산정'!$C$19, IF(B37-'폭압 파라메터 산정'!$C$19&lt;-0.25,"none",0))</f>
        <v>none</v>
      </c>
      <c r="D37" s="32">
        <f>IF(B37-'폭압 파라메터 산정'!$C$19&gt;-0.25,'폭압 파라메터 산정'!$C$14*(1-Graph!C37/'폭압 파라메터 산정'!$C$20)*EXP(-Graph!$D$3*Graph!C37/'폭압 파라메터 산정'!$C$20),0)</f>
        <v>0</v>
      </c>
      <c r="E37" s="32">
        <f>IF(B37-'폭압 파라메터 산정'!$C$19&gt;-0.25,'폭압 파라메터 산정'!$C$16*(1-Graph!C37/'폭압 파라메터 산정'!$C$20)*EXP(-Graph!$D$3*Graph!C37/'폭압 파라메터 산정'!$C$20),0)</f>
        <v>0</v>
      </c>
      <c r="F37" s="34" t="str">
        <f>IF(B37-'폭압 파라메터 산정'!$E$19&gt;0,B37-'폭압 파라메터 산정'!$E$19, IF(B37-'폭압 파라메터 산정'!$E$19&lt;-0.25,"none",0))</f>
        <v>none</v>
      </c>
      <c r="G37" s="32">
        <f>IF(B37-'폭압 파라메터 산정'!$E$19&gt;-0.25,'폭압 파라메터 산정'!$E$14*(1-F37/'폭압 파라메터 산정'!$E$20)*EXP(-Graph!$D$3*F37/'폭압 파라메터 산정'!$E$20),0)</f>
        <v>0</v>
      </c>
      <c r="H37" s="32">
        <f>IF(B37-'폭압 파라메터 산정'!$E$19&gt;-0.25,'폭압 파라메터 산정'!$E$16*(1-F37/'폭압 파라메터 산정'!$E$20)*EXP(-Graph!$D$3*F37/'폭압 파라메터 산정'!$E$20),0)</f>
        <v>0</v>
      </c>
    </row>
    <row r="38" spans="2:8" x14ac:dyDescent="0.3">
      <c r="B38">
        <f t="shared" si="0"/>
        <v>7.75</v>
      </c>
      <c r="C38" s="33" t="str">
        <f>IF(B38-'폭압 파라메터 산정'!$C$19&gt;0,B38-'폭압 파라메터 산정'!$C$19, IF(B38-'폭압 파라메터 산정'!$C$19&lt;-0.25,"none",0))</f>
        <v>none</v>
      </c>
      <c r="D38" s="32">
        <f>IF(B38-'폭압 파라메터 산정'!$C$19&gt;-0.25,'폭압 파라메터 산정'!$C$14*(1-Graph!C38/'폭압 파라메터 산정'!$C$20)*EXP(-Graph!$D$3*Graph!C38/'폭압 파라메터 산정'!$C$20),0)</f>
        <v>0</v>
      </c>
      <c r="E38" s="32">
        <f>IF(B38-'폭압 파라메터 산정'!$C$19&gt;-0.25,'폭압 파라메터 산정'!$C$16*(1-Graph!C38/'폭압 파라메터 산정'!$C$20)*EXP(-Graph!$D$3*Graph!C38/'폭압 파라메터 산정'!$C$20),0)</f>
        <v>0</v>
      </c>
      <c r="F38" s="34" t="str">
        <f>IF(B38-'폭압 파라메터 산정'!$E$19&gt;0,B38-'폭압 파라메터 산정'!$E$19, IF(B38-'폭압 파라메터 산정'!$E$19&lt;-0.25,"none",0))</f>
        <v>none</v>
      </c>
      <c r="G38" s="32">
        <f>IF(B38-'폭압 파라메터 산정'!$E$19&gt;-0.25,'폭압 파라메터 산정'!$E$14*(1-F38/'폭압 파라메터 산정'!$E$20)*EXP(-Graph!$D$3*F38/'폭압 파라메터 산정'!$E$20),0)</f>
        <v>0</v>
      </c>
      <c r="H38" s="32">
        <f>IF(B38-'폭압 파라메터 산정'!$E$19&gt;-0.25,'폭압 파라메터 산정'!$E$16*(1-F38/'폭압 파라메터 산정'!$E$20)*EXP(-Graph!$D$3*F38/'폭압 파라메터 산정'!$E$20),0)</f>
        <v>0</v>
      </c>
    </row>
    <row r="39" spans="2:8" x14ac:dyDescent="0.3">
      <c r="B39">
        <f t="shared" si="0"/>
        <v>8</v>
      </c>
      <c r="C39" s="33" t="str">
        <f>IF(B39-'폭압 파라메터 산정'!$C$19&gt;0,B39-'폭압 파라메터 산정'!$C$19, IF(B39-'폭압 파라메터 산정'!$C$19&lt;-0.25,"none",0))</f>
        <v>none</v>
      </c>
      <c r="D39" s="32">
        <f>IF(B39-'폭압 파라메터 산정'!$C$19&gt;-0.25,'폭압 파라메터 산정'!$C$14*(1-Graph!C39/'폭압 파라메터 산정'!$C$20)*EXP(-Graph!$D$3*Graph!C39/'폭압 파라메터 산정'!$C$20),0)</f>
        <v>0</v>
      </c>
      <c r="E39" s="32">
        <f>IF(B39-'폭압 파라메터 산정'!$C$19&gt;-0.25,'폭압 파라메터 산정'!$C$16*(1-Graph!C39/'폭압 파라메터 산정'!$C$20)*EXP(-Graph!$D$3*Graph!C39/'폭압 파라메터 산정'!$C$20),0)</f>
        <v>0</v>
      </c>
      <c r="F39" s="34" t="str">
        <f>IF(B39-'폭압 파라메터 산정'!$E$19&gt;0,B39-'폭압 파라메터 산정'!$E$19, IF(B39-'폭압 파라메터 산정'!$E$19&lt;-0.25,"none",0))</f>
        <v>none</v>
      </c>
      <c r="G39" s="32">
        <f>IF(B39-'폭압 파라메터 산정'!$E$19&gt;-0.25,'폭압 파라메터 산정'!$E$14*(1-F39/'폭압 파라메터 산정'!$E$20)*EXP(-Graph!$D$3*F39/'폭압 파라메터 산정'!$E$20),0)</f>
        <v>0</v>
      </c>
      <c r="H39" s="32">
        <f>IF(B39-'폭압 파라메터 산정'!$E$19&gt;-0.25,'폭압 파라메터 산정'!$E$16*(1-F39/'폭압 파라메터 산정'!$E$20)*EXP(-Graph!$D$3*F39/'폭압 파라메터 산정'!$E$20),0)</f>
        <v>0</v>
      </c>
    </row>
    <row r="40" spans="2:8" x14ac:dyDescent="0.3">
      <c r="B40">
        <f t="shared" si="0"/>
        <v>8.25</v>
      </c>
      <c r="C40" s="33" t="str">
        <f>IF(B40-'폭압 파라메터 산정'!$C$19&gt;0,B40-'폭압 파라메터 산정'!$C$19, IF(B40-'폭압 파라메터 산정'!$C$19&lt;-0.25,"none",0))</f>
        <v>none</v>
      </c>
      <c r="D40" s="32">
        <f>IF(B40-'폭압 파라메터 산정'!$C$19&gt;-0.25,'폭압 파라메터 산정'!$C$14*(1-Graph!C40/'폭압 파라메터 산정'!$C$20)*EXP(-Graph!$D$3*Graph!C40/'폭압 파라메터 산정'!$C$20),0)</f>
        <v>0</v>
      </c>
      <c r="E40" s="32">
        <f>IF(B40-'폭압 파라메터 산정'!$C$19&gt;-0.25,'폭압 파라메터 산정'!$C$16*(1-Graph!C40/'폭압 파라메터 산정'!$C$20)*EXP(-Graph!$D$3*Graph!C40/'폭압 파라메터 산정'!$C$20),0)</f>
        <v>0</v>
      </c>
      <c r="F40" s="34" t="str">
        <f>IF(B40-'폭압 파라메터 산정'!$E$19&gt;0,B40-'폭압 파라메터 산정'!$E$19, IF(B40-'폭압 파라메터 산정'!$E$19&lt;-0.25,"none",0))</f>
        <v>none</v>
      </c>
      <c r="G40" s="32">
        <f>IF(B40-'폭압 파라메터 산정'!$E$19&gt;-0.25,'폭압 파라메터 산정'!$E$14*(1-F40/'폭압 파라메터 산정'!$E$20)*EXP(-Graph!$D$3*F40/'폭압 파라메터 산정'!$E$20),0)</f>
        <v>0</v>
      </c>
      <c r="H40" s="32">
        <f>IF(B40-'폭압 파라메터 산정'!$E$19&gt;-0.25,'폭압 파라메터 산정'!$E$16*(1-F40/'폭압 파라메터 산정'!$E$20)*EXP(-Graph!$D$3*F40/'폭압 파라메터 산정'!$E$20),0)</f>
        <v>0</v>
      </c>
    </row>
    <row r="41" spans="2:8" x14ac:dyDescent="0.3">
      <c r="B41">
        <f t="shared" si="0"/>
        <v>8.5</v>
      </c>
      <c r="C41" s="33" t="str">
        <f>IF(B41-'폭압 파라메터 산정'!$C$19&gt;0,B41-'폭압 파라메터 산정'!$C$19, IF(B41-'폭압 파라메터 산정'!$C$19&lt;-0.25,"none",0))</f>
        <v>none</v>
      </c>
      <c r="D41" s="32">
        <f>IF(B41-'폭압 파라메터 산정'!$C$19&gt;-0.25,'폭압 파라메터 산정'!$C$14*(1-Graph!C41/'폭압 파라메터 산정'!$C$20)*EXP(-Graph!$D$3*Graph!C41/'폭압 파라메터 산정'!$C$20),0)</f>
        <v>0</v>
      </c>
      <c r="E41" s="32">
        <f>IF(B41-'폭압 파라메터 산정'!$C$19&gt;-0.25,'폭압 파라메터 산정'!$C$16*(1-Graph!C41/'폭압 파라메터 산정'!$C$20)*EXP(-Graph!$D$3*Graph!C41/'폭압 파라메터 산정'!$C$20),0)</f>
        <v>0</v>
      </c>
      <c r="F41" s="34" t="str">
        <f>IF(B41-'폭압 파라메터 산정'!$E$19&gt;0,B41-'폭압 파라메터 산정'!$E$19, IF(B41-'폭압 파라메터 산정'!$E$19&lt;-0.25,"none",0))</f>
        <v>none</v>
      </c>
      <c r="G41" s="32">
        <f>IF(B41-'폭압 파라메터 산정'!$E$19&gt;-0.25,'폭압 파라메터 산정'!$E$14*(1-F41/'폭압 파라메터 산정'!$E$20)*EXP(-Graph!$D$3*F41/'폭압 파라메터 산정'!$E$20),0)</f>
        <v>0</v>
      </c>
      <c r="H41" s="32">
        <f>IF(B41-'폭압 파라메터 산정'!$E$19&gt;-0.25,'폭압 파라메터 산정'!$E$16*(1-F41/'폭압 파라메터 산정'!$E$20)*EXP(-Graph!$D$3*F41/'폭압 파라메터 산정'!$E$20),0)</f>
        <v>0</v>
      </c>
    </row>
    <row r="42" spans="2:8" x14ac:dyDescent="0.3">
      <c r="B42">
        <f t="shared" si="0"/>
        <v>8.75</v>
      </c>
      <c r="C42" s="33" t="str">
        <f>IF(B42-'폭압 파라메터 산정'!$C$19&gt;0,B42-'폭압 파라메터 산정'!$C$19, IF(B42-'폭압 파라메터 산정'!$C$19&lt;-0.25,"none",0))</f>
        <v>none</v>
      </c>
      <c r="D42" s="32">
        <f>IF(B42-'폭압 파라메터 산정'!$C$19&gt;-0.25,'폭압 파라메터 산정'!$C$14*(1-Graph!C42/'폭압 파라메터 산정'!$C$20)*EXP(-Graph!$D$3*Graph!C42/'폭압 파라메터 산정'!$C$20),0)</f>
        <v>0</v>
      </c>
      <c r="E42" s="32">
        <f>IF(B42-'폭압 파라메터 산정'!$C$19&gt;-0.25,'폭압 파라메터 산정'!$C$16*(1-Graph!C42/'폭압 파라메터 산정'!$C$20)*EXP(-Graph!$D$3*Graph!C42/'폭압 파라메터 산정'!$C$20),0)</f>
        <v>0</v>
      </c>
      <c r="F42" s="34" t="str">
        <f>IF(B42-'폭압 파라메터 산정'!$E$19&gt;0,B42-'폭압 파라메터 산정'!$E$19, IF(B42-'폭압 파라메터 산정'!$E$19&lt;-0.25,"none",0))</f>
        <v>none</v>
      </c>
      <c r="G42" s="32">
        <f>IF(B42-'폭압 파라메터 산정'!$E$19&gt;-0.25,'폭압 파라메터 산정'!$E$14*(1-F42/'폭압 파라메터 산정'!$E$20)*EXP(-Graph!$D$3*F42/'폭압 파라메터 산정'!$E$20),0)</f>
        <v>0</v>
      </c>
      <c r="H42" s="32">
        <f>IF(B42-'폭압 파라메터 산정'!$E$19&gt;-0.25,'폭압 파라메터 산정'!$E$16*(1-F42/'폭압 파라메터 산정'!$E$20)*EXP(-Graph!$D$3*F42/'폭압 파라메터 산정'!$E$20),0)</f>
        <v>0</v>
      </c>
    </row>
    <row r="43" spans="2:8" x14ac:dyDescent="0.3">
      <c r="B43">
        <f t="shared" si="0"/>
        <v>9</v>
      </c>
      <c r="C43" s="33" t="str">
        <f>IF(B43-'폭압 파라메터 산정'!$C$19&gt;0,B43-'폭압 파라메터 산정'!$C$19, IF(B43-'폭압 파라메터 산정'!$C$19&lt;-0.25,"none",0))</f>
        <v>none</v>
      </c>
      <c r="D43" s="32">
        <f>IF(B43-'폭압 파라메터 산정'!$C$19&gt;-0.25,'폭압 파라메터 산정'!$C$14*(1-Graph!C43/'폭압 파라메터 산정'!$C$20)*EXP(-Graph!$D$3*Graph!C43/'폭압 파라메터 산정'!$C$20),0)</f>
        <v>0</v>
      </c>
      <c r="E43" s="32">
        <f>IF(B43-'폭압 파라메터 산정'!$C$19&gt;-0.25,'폭압 파라메터 산정'!$C$16*(1-Graph!C43/'폭압 파라메터 산정'!$C$20)*EXP(-Graph!$D$3*Graph!C43/'폭압 파라메터 산정'!$C$20),0)</f>
        <v>0</v>
      </c>
      <c r="F43" s="34" t="str">
        <f>IF(B43-'폭압 파라메터 산정'!$E$19&gt;0,B43-'폭압 파라메터 산정'!$E$19, IF(B43-'폭압 파라메터 산정'!$E$19&lt;-0.25,"none",0))</f>
        <v>none</v>
      </c>
      <c r="G43" s="32">
        <f>IF(B43-'폭압 파라메터 산정'!$E$19&gt;-0.25,'폭압 파라메터 산정'!$E$14*(1-F43/'폭압 파라메터 산정'!$E$20)*EXP(-Graph!$D$3*F43/'폭압 파라메터 산정'!$E$20),0)</f>
        <v>0</v>
      </c>
      <c r="H43" s="32">
        <f>IF(B43-'폭압 파라메터 산정'!$E$19&gt;-0.25,'폭압 파라메터 산정'!$E$16*(1-F43/'폭압 파라메터 산정'!$E$20)*EXP(-Graph!$D$3*F43/'폭압 파라메터 산정'!$E$20),0)</f>
        <v>0</v>
      </c>
    </row>
    <row r="44" spans="2:8" x14ac:dyDescent="0.3">
      <c r="B44">
        <f t="shared" si="0"/>
        <v>9.25</v>
      </c>
      <c r="C44" s="33" t="str">
        <f>IF(B44-'폭압 파라메터 산정'!$C$19&gt;0,B44-'폭압 파라메터 산정'!$C$19, IF(B44-'폭압 파라메터 산정'!$C$19&lt;-0.25,"none",0))</f>
        <v>none</v>
      </c>
      <c r="D44" s="32">
        <f>IF(B44-'폭압 파라메터 산정'!$C$19&gt;-0.25,'폭압 파라메터 산정'!$C$14*(1-Graph!C44/'폭압 파라메터 산정'!$C$20)*EXP(-Graph!$D$3*Graph!C44/'폭압 파라메터 산정'!$C$20),0)</f>
        <v>0</v>
      </c>
      <c r="E44" s="32">
        <f>IF(B44-'폭압 파라메터 산정'!$C$19&gt;-0.25,'폭압 파라메터 산정'!$C$16*(1-Graph!C44/'폭압 파라메터 산정'!$C$20)*EXP(-Graph!$D$3*Graph!C44/'폭압 파라메터 산정'!$C$20),0)</f>
        <v>0</v>
      </c>
      <c r="F44" s="34" t="str">
        <f>IF(B44-'폭압 파라메터 산정'!$E$19&gt;0,B44-'폭압 파라메터 산정'!$E$19, IF(B44-'폭압 파라메터 산정'!$E$19&lt;-0.25,"none",0))</f>
        <v>none</v>
      </c>
      <c r="G44" s="32">
        <f>IF(B44-'폭압 파라메터 산정'!$E$19&gt;-0.25,'폭압 파라메터 산정'!$E$14*(1-F44/'폭압 파라메터 산정'!$E$20)*EXP(-Graph!$D$3*F44/'폭압 파라메터 산정'!$E$20),0)</f>
        <v>0</v>
      </c>
      <c r="H44" s="32">
        <f>IF(B44-'폭압 파라메터 산정'!$E$19&gt;-0.25,'폭압 파라메터 산정'!$E$16*(1-F44/'폭압 파라메터 산정'!$E$20)*EXP(-Graph!$D$3*F44/'폭압 파라메터 산정'!$E$20),0)</f>
        <v>0</v>
      </c>
    </row>
    <row r="45" spans="2:8" x14ac:dyDescent="0.3">
      <c r="B45">
        <f t="shared" si="0"/>
        <v>9.5</v>
      </c>
      <c r="C45" s="33" t="str">
        <f>IF(B45-'폭압 파라메터 산정'!$C$19&gt;0,B45-'폭압 파라메터 산정'!$C$19, IF(B45-'폭압 파라메터 산정'!$C$19&lt;-0.25,"none",0))</f>
        <v>none</v>
      </c>
      <c r="D45" s="32">
        <f>IF(B45-'폭압 파라메터 산정'!$C$19&gt;-0.25,'폭압 파라메터 산정'!$C$14*(1-Graph!C45/'폭압 파라메터 산정'!$C$20)*EXP(-Graph!$D$3*Graph!C45/'폭압 파라메터 산정'!$C$20),0)</f>
        <v>0</v>
      </c>
      <c r="E45" s="32">
        <f>IF(B45-'폭압 파라메터 산정'!$C$19&gt;-0.25,'폭압 파라메터 산정'!$C$16*(1-Graph!C45/'폭압 파라메터 산정'!$C$20)*EXP(-Graph!$D$3*Graph!C45/'폭압 파라메터 산정'!$C$20),0)</f>
        <v>0</v>
      </c>
      <c r="F45" s="34" t="str">
        <f>IF(B45-'폭압 파라메터 산정'!$E$19&gt;0,B45-'폭압 파라메터 산정'!$E$19, IF(B45-'폭압 파라메터 산정'!$E$19&lt;-0.25,"none",0))</f>
        <v>none</v>
      </c>
      <c r="G45" s="32">
        <f>IF(B45-'폭압 파라메터 산정'!$E$19&gt;-0.25,'폭압 파라메터 산정'!$E$14*(1-F45/'폭압 파라메터 산정'!$E$20)*EXP(-Graph!$D$3*F45/'폭압 파라메터 산정'!$E$20),0)</f>
        <v>0</v>
      </c>
      <c r="H45" s="32">
        <f>IF(B45-'폭압 파라메터 산정'!$E$19&gt;-0.25,'폭압 파라메터 산정'!$E$16*(1-F45/'폭압 파라메터 산정'!$E$20)*EXP(-Graph!$D$3*F45/'폭압 파라메터 산정'!$E$20),0)</f>
        <v>0</v>
      </c>
    </row>
    <row r="46" spans="2:8" x14ac:dyDescent="0.3">
      <c r="B46">
        <f t="shared" si="0"/>
        <v>9.75</v>
      </c>
      <c r="C46" s="33" t="str">
        <f>IF(B46-'폭압 파라메터 산정'!$C$19&gt;0,B46-'폭압 파라메터 산정'!$C$19, IF(B46-'폭압 파라메터 산정'!$C$19&lt;-0.25,"none",0))</f>
        <v>none</v>
      </c>
      <c r="D46" s="32">
        <f>IF(B46-'폭압 파라메터 산정'!$C$19&gt;-0.25,'폭압 파라메터 산정'!$C$14*(1-Graph!C46/'폭압 파라메터 산정'!$C$20)*EXP(-Graph!$D$3*Graph!C46/'폭압 파라메터 산정'!$C$20),0)</f>
        <v>0</v>
      </c>
      <c r="E46" s="32">
        <f>IF(B46-'폭압 파라메터 산정'!$C$19&gt;-0.25,'폭압 파라메터 산정'!$C$16*(1-Graph!C46/'폭압 파라메터 산정'!$C$20)*EXP(-Graph!$D$3*Graph!C46/'폭압 파라메터 산정'!$C$20),0)</f>
        <v>0</v>
      </c>
      <c r="F46" s="34" t="str">
        <f>IF(B46-'폭압 파라메터 산정'!$E$19&gt;0,B46-'폭압 파라메터 산정'!$E$19, IF(B46-'폭압 파라메터 산정'!$E$19&lt;-0.25,"none",0))</f>
        <v>none</v>
      </c>
      <c r="G46" s="32">
        <f>IF(B46-'폭압 파라메터 산정'!$E$19&gt;-0.25,'폭압 파라메터 산정'!$E$14*(1-F46/'폭압 파라메터 산정'!$E$20)*EXP(-Graph!$D$3*F46/'폭압 파라메터 산정'!$E$20),0)</f>
        <v>0</v>
      </c>
      <c r="H46" s="32">
        <f>IF(B46-'폭압 파라메터 산정'!$E$19&gt;-0.25,'폭압 파라메터 산정'!$E$16*(1-F46/'폭압 파라메터 산정'!$E$20)*EXP(-Graph!$D$3*F46/'폭압 파라메터 산정'!$E$20),0)</f>
        <v>0</v>
      </c>
    </row>
    <row r="47" spans="2:8" x14ac:dyDescent="0.3">
      <c r="B47">
        <f t="shared" si="0"/>
        <v>10</v>
      </c>
      <c r="C47" s="33" t="str">
        <f>IF(B47-'폭압 파라메터 산정'!$C$19&gt;0,B47-'폭압 파라메터 산정'!$C$19, IF(B47-'폭압 파라메터 산정'!$C$19&lt;-0.25,"none",0))</f>
        <v>none</v>
      </c>
      <c r="D47" s="32">
        <f>IF(B47-'폭압 파라메터 산정'!$C$19&gt;-0.25,'폭압 파라메터 산정'!$C$14*(1-Graph!C47/'폭압 파라메터 산정'!$C$20)*EXP(-Graph!$D$3*Graph!C47/'폭압 파라메터 산정'!$C$20),0)</f>
        <v>0</v>
      </c>
      <c r="E47" s="32">
        <f>IF(B47-'폭압 파라메터 산정'!$C$19&gt;-0.25,'폭압 파라메터 산정'!$C$16*(1-Graph!C47/'폭압 파라메터 산정'!$C$20)*EXP(-Graph!$D$3*Graph!C47/'폭압 파라메터 산정'!$C$20),0)</f>
        <v>0</v>
      </c>
      <c r="F47" s="34" t="str">
        <f>IF(B47-'폭압 파라메터 산정'!$E$19&gt;0,B47-'폭압 파라메터 산정'!$E$19, IF(B47-'폭압 파라메터 산정'!$E$19&lt;-0.25,"none",0))</f>
        <v>none</v>
      </c>
      <c r="G47" s="32">
        <f>IF(B47-'폭압 파라메터 산정'!$E$19&gt;-0.25,'폭압 파라메터 산정'!$E$14*(1-F47/'폭압 파라메터 산정'!$E$20)*EXP(-Graph!$D$3*F47/'폭압 파라메터 산정'!$E$20),0)</f>
        <v>0</v>
      </c>
      <c r="H47" s="32">
        <f>IF(B47-'폭압 파라메터 산정'!$E$19&gt;-0.25,'폭압 파라메터 산정'!$E$16*(1-F47/'폭압 파라메터 산정'!$E$20)*EXP(-Graph!$D$3*F47/'폭압 파라메터 산정'!$E$20),0)</f>
        <v>0</v>
      </c>
    </row>
    <row r="48" spans="2:8" x14ac:dyDescent="0.3">
      <c r="B48">
        <f t="shared" si="0"/>
        <v>10.25</v>
      </c>
      <c r="C48" s="33" t="str">
        <f>IF(B48-'폭압 파라메터 산정'!$C$19&gt;0,B48-'폭압 파라메터 산정'!$C$19, IF(B48-'폭압 파라메터 산정'!$C$19&lt;-0.25,"none",0))</f>
        <v>none</v>
      </c>
      <c r="D48" s="32">
        <f>IF(B48-'폭압 파라메터 산정'!$C$19&gt;-0.25,'폭압 파라메터 산정'!$C$14*(1-Graph!C48/'폭압 파라메터 산정'!$C$20)*EXP(-Graph!$D$3*Graph!C48/'폭압 파라메터 산정'!$C$20),0)</f>
        <v>0</v>
      </c>
      <c r="E48" s="32">
        <f>IF(B48-'폭압 파라메터 산정'!$C$19&gt;-0.25,'폭압 파라메터 산정'!$C$16*(1-Graph!C48/'폭압 파라메터 산정'!$C$20)*EXP(-Graph!$D$3*Graph!C48/'폭압 파라메터 산정'!$C$20),0)</f>
        <v>0</v>
      </c>
      <c r="F48" s="34" t="str">
        <f>IF(B48-'폭압 파라메터 산정'!$E$19&gt;0,B48-'폭압 파라메터 산정'!$E$19, IF(B48-'폭압 파라메터 산정'!$E$19&lt;-0.25,"none",0))</f>
        <v>none</v>
      </c>
      <c r="G48" s="32">
        <f>IF(B48-'폭압 파라메터 산정'!$E$19&gt;-0.25,'폭압 파라메터 산정'!$E$14*(1-F48/'폭압 파라메터 산정'!$E$20)*EXP(-Graph!$D$3*F48/'폭압 파라메터 산정'!$E$20),0)</f>
        <v>0</v>
      </c>
      <c r="H48" s="32">
        <f>IF(B48-'폭압 파라메터 산정'!$E$19&gt;-0.25,'폭압 파라메터 산정'!$E$16*(1-F48/'폭압 파라메터 산정'!$E$20)*EXP(-Graph!$D$3*F48/'폭압 파라메터 산정'!$E$20),0)</f>
        <v>0</v>
      </c>
    </row>
    <row r="49" spans="2:8" x14ac:dyDescent="0.3">
      <c r="B49">
        <f t="shared" si="0"/>
        <v>10.5</v>
      </c>
      <c r="C49" s="33" t="str">
        <f>IF(B49-'폭압 파라메터 산정'!$C$19&gt;0,B49-'폭압 파라메터 산정'!$C$19, IF(B49-'폭압 파라메터 산정'!$C$19&lt;-0.25,"none",0))</f>
        <v>none</v>
      </c>
      <c r="D49" s="32">
        <f>IF(B49-'폭압 파라메터 산정'!$C$19&gt;-0.25,'폭압 파라메터 산정'!$C$14*(1-Graph!C49/'폭압 파라메터 산정'!$C$20)*EXP(-Graph!$D$3*Graph!C49/'폭압 파라메터 산정'!$C$20),0)</f>
        <v>0</v>
      </c>
      <c r="E49" s="32">
        <f>IF(B49-'폭압 파라메터 산정'!$C$19&gt;-0.25,'폭압 파라메터 산정'!$C$16*(1-Graph!C49/'폭압 파라메터 산정'!$C$20)*EXP(-Graph!$D$3*Graph!C49/'폭압 파라메터 산정'!$C$20),0)</f>
        <v>0</v>
      </c>
      <c r="F49" s="34" t="str">
        <f>IF(B49-'폭압 파라메터 산정'!$E$19&gt;0,B49-'폭압 파라메터 산정'!$E$19, IF(B49-'폭압 파라메터 산정'!$E$19&lt;-0.25,"none",0))</f>
        <v>none</v>
      </c>
      <c r="G49" s="32">
        <f>IF(B49-'폭압 파라메터 산정'!$E$19&gt;-0.25,'폭압 파라메터 산정'!$E$14*(1-F49/'폭압 파라메터 산정'!$E$20)*EXP(-Graph!$D$3*F49/'폭압 파라메터 산정'!$E$20),0)</f>
        <v>0</v>
      </c>
      <c r="H49" s="32">
        <f>IF(B49-'폭압 파라메터 산정'!$E$19&gt;-0.25,'폭압 파라메터 산정'!$E$16*(1-F49/'폭압 파라메터 산정'!$E$20)*EXP(-Graph!$D$3*F49/'폭압 파라메터 산정'!$E$20),0)</f>
        <v>0</v>
      </c>
    </row>
    <row r="50" spans="2:8" x14ac:dyDescent="0.3">
      <c r="B50">
        <f t="shared" si="0"/>
        <v>10.75</v>
      </c>
      <c r="C50" s="33" t="str">
        <f>IF(B50-'폭압 파라메터 산정'!$C$19&gt;0,B50-'폭압 파라메터 산정'!$C$19, IF(B50-'폭압 파라메터 산정'!$C$19&lt;-0.25,"none",0))</f>
        <v>none</v>
      </c>
      <c r="D50" s="32">
        <f>IF(B50-'폭압 파라메터 산정'!$C$19&gt;-0.25,'폭압 파라메터 산정'!$C$14*(1-Graph!C50/'폭압 파라메터 산정'!$C$20)*EXP(-Graph!$D$3*Graph!C50/'폭압 파라메터 산정'!$C$20),0)</f>
        <v>0</v>
      </c>
      <c r="E50" s="32">
        <f>IF(B50-'폭압 파라메터 산정'!$C$19&gt;-0.25,'폭압 파라메터 산정'!$C$16*(1-Graph!C50/'폭압 파라메터 산정'!$C$20)*EXP(-Graph!$D$3*Graph!C50/'폭압 파라메터 산정'!$C$20),0)</f>
        <v>0</v>
      </c>
      <c r="F50" s="34" t="str">
        <f>IF(B50-'폭압 파라메터 산정'!$E$19&gt;0,B50-'폭압 파라메터 산정'!$E$19, IF(B50-'폭압 파라메터 산정'!$E$19&lt;-0.25,"none",0))</f>
        <v>none</v>
      </c>
      <c r="G50" s="32">
        <f>IF(B50-'폭압 파라메터 산정'!$E$19&gt;-0.25,'폭압 파라메터 산정'!$E$14*(1-F50/'폭압 파라메터 산정'!$E$20)*EXP(-Graph!$D$3*F50/'폭압 파라메터 산정'!$E$20),0)</f>
        <v>0</v>
      </c>
      <c r="H50" s="32">
        <f>IF(B50-'폭압 파라메터 산정'!$E$19&gt;-0.25,'폭압 파라메터 산정'!$E$16*(1-F50/'폭압 파라메터 산정'!$E$20)*EXP(-Graph!$D$3*F50/'폭압 파라메터 산정'!$E$20),0)</f>
        <v>0</v>
      </c>
    </row>
    <row r="51" spans="2:8" x14ac:dyDescent="0.3">
      <c r="B51">
        <f t="shared" si="0"/>
        <v>11</v>
      </c>
      <c r="C51" s="33" t="str">
        <f>IF(B51-'폭압 파라메터 산정'!$C$19&gt;0,B51-'폭압 파라메터 산정'!$C$19, IF(B51-'폭압 파라메터 산정'!$C$19&lt;-0.25,"none",0))</f>
        <v>none</v>
      </c>
      <c r="D51" s="32">
        <f>IF(B51-'폭압 파라메터 산정'!$C$19&gt;-0.25,'폭압 파라메터 산정'!$C$14*(1-Graph!C51/'폭압 파라메터 산정'!$C$20)*EXP(-Graph!$D$3*Graph!C51/'폭압 파라메터 산정'!$C$20),0)</f>
        <v>0</v>
      </c>
      <c r="E51" s="32">
        <f>IF(B51-'폭압 파라메터 산정'!$C$19&gt;-0.25,'폭압 파라메터 산정'!$C$16*(1-Graph!C51/'폭압 파라메터 산정'!$C$20)*EXP(-Graph!$D$3*Graph!C51/'폭압 파라메터 산정'!$C$20),0)</f>
        <v>0</v>
      </c>
      <c r="F51" s="34" t="str">
        <f>IF(B51-'폭압 파라메터 산정'!$E$19&gt;0,B51-'폭압 파라메터 산정'!$E$19, IF(B51-'폭압 파라메터 산정'!$E$19&lt;-0.25,"none",0))</f>
        <v>none</v>
      </c>
      <c r="G51" s="32">
        <f>IF(B51-'폭압 파라메터 산정'!$E$19&gt;-0.25,'폭압 파라메터 산정'!$E$14*(1-F51/'폭압 파라메터 산정'!$E$20)*EXP(-Graph!$D$3*F51/'폭압 파라메터 산정'!$E$20),0)</f>
        <v>0</v>
      </c>
      <c r="H51" s="32">
        <f>IF(B51-'폭압 파라메터 산정'!$E$19&gt;-0.25,'폭압 파라메터 산정'!$E$16*(1-F51/'폭압 파라메터 산정'!$E$20)*EXP(-Graph!$D$3*F51/'폭압 파라메터 산정'!$E$20),0)</f>
        <v>0</v>
      </c>
    </row>
    <row r="52" spans="2:8" x14ac:dyDescent="0.3">
      <c r="B52">
        <f t="shared" si="0"/>
        <v>11.25</v>
      </c>
      <c r="C52" s="33" t="str">
        <f>IF(B52-'폭압 파라메터 산정'!$C$19&gt;0,B52-'폭압 파라메터 산정'!$C$19, IF(B52-'폭압 파라메터 산정'!$C$19&lt;-0.25,"none",0))</f>
        <v>none</v>
      </c>
      <c r="D52" s="32">
        <f>IF(B52-'폭압 파라메터 산정'!$C$19&gt;-0.25,'폭압 파라메터 산정'!$C$14*(1-Graph!C52/'폭압 파라메터 산정'!$C$20)*EXP(-Graph!$D$3*Graph!C52/'폭압 파라메터 산정'!$C$20),0)</f>
        <v>0</v>
      </c>
      <c r="E52" s="32">
        <f>IF(B52-'폭압 파라메터 산정'!$C$19&gt;-0.25,'폭압 파라메터 산정'!$C$16*(1-Graph!C52/'폭압 파라메터 산정'!$C$20)*EXP(-Graph!$D$3*Graph!C52/'폭압 파라메터 산정'!$C$20),0)</f>
        <v>0</v>
      </c>
      <c r="F52" s="34" t="str">
        <f>IF(B52-'폭압 파라메터 산정'!$E$19&gt;0,B52-'폭압 파라메터 산정'!$E$19, IF(B52-'폭압 파라메터 산정'!$E$19&lt;-0.25,"none",0))</f>
        <v>none</v>
      </c>
      <c r="G52" s="32">
        <f>IF(B52-'폭압 파라메터 산정'!$E$19&gt;-0.25,'폭압 파라메터 산정'!$E$14*(1-F52/'폭압 파라메터 산정'!$E$20)*EXP(-Graph!$D$3*F52/'폭압 파라메터 산정'!$E$20),0)</f>
        <v>0</v>
      </c>
      <c r="H52" s="32">
        <f>IF(B52-'폭압 파라메터 산정'!$E$19&gt;-0.25,'폭압 파라메터 산정'!$E$16*(1-F52/'폭압 파라메터 산정'!$E$20)*EXP(-Graph!$D$3*F52/'폭압 파라메터 산정'!$E$20),0)</f>
        <v>0</v>
      </c>
    </row>
    <row r="53" spans="2:8" x14ac:dyDescent="0.3">
      <c r="B53">
        <f t="shared" si="0"/>
        <v>11.5</v>
      </c>
      <c r="C53" s="33" t="str">
        <f>IF(B53-'폭압 파라메터 산정'!$C$19&gt;0,B53-'폭압 파라메터 산정'!$C$19, IF(B53-'폭압 파라메터 산정'!$C$19&lt;-0.25,"none",0))</f>
        <v>none</v>
      </c>
      <c r="D53" s="32">
        <f>IF(B53-'폭압 파라메터 산정'!$C$19&gt;-0.25,'폭압 파라메터 산정'!$C$14*(1-Graph!C53/'폭압 파라메터 산정'!$C$20)*EXP(-Graph!$D$3*Graph!C53/'폭압 파라메터 산정'!$C$20),0)</f>
        <v>0</v>
      </c>
      <c r="E53" s="32">
        <f>IF(B53-'폭압 파라메터 산정'!$C$19&gt;-0.25,'폭압 파라메터 산정'!$C$16*(1-Graph!C53/'폭압 파라메터 산정'!$C$20)*EXP(-Graph!$D$3*Graph!C53/'폭압 파라메터 산정'!$C$20),0)</f>
        <v>0</v>
      </c>
      <c r="F53" s="34" t="str">
        <f>IF(B53-'폭압 파라메터 산정'!$E$19&gt;0,B53-'폭압 파라메터 산정'!$E$19, IF(B53-'폭압 파라메터 산정'!$E$19&lt;-0.25,"none",0))</f>
        <v>none</v>
      </c>
      <c r="G53" s="32">
        <f>IF(B53-'폭압 파라메터 산정'!$E$19&gt;-0.25,'폭압 파라메터 산정'!$E$14*(1-F53/'폭압 파라메터 산정'!$E$20)*EXP(-Graph!$D$3*F53/'폭압 파라메터 산정'!$E$20),0)</f>
        <v>0</v>
      </c>
      <c r="H53" s="32">
        <f>IF(B53-'폭압 파라메터 산정'!$E$19&gt;-0.25,'폭압 파라메터 산정'!$E$16*(1-F53/'폭압 파라메터 산정'!$E$20)*EXP(-Graph!$D$3*F53/'폭압 파라메터 산정'!$E$20),0)</f>
        <v>0</v>
      </c>
    </row>
    <row r="54" spans="2:8" x14ac:dyDescent="0.3">
      <c r="B54">
        <f t="shared" si="0"/>
        <v>11.75</v>
      </c>
      <c r="C54" s="33" t="str">
        <f>IF(B54-'폭압 파라메터 산정'!$C$19&gt;0,B54-'폭압 파라메터 산정'!$C$19, IF(B54-'폭압 파라메터 산정'!$C$19&lt;-0.25,"none",0))</f>
        <v>none</v>
      </c>
      <c r="D54" s="32">
        <f>IF(B54-'폭압 파라메터 산정'!$C$19&gt;-0.25,'폭압 파라메터 산정'!$C$14*(1-Graph!C54/'폭압 파라메터 산정'!$C$20)*EXP(-Graph!$D$3*Graph!C54/'폭압 파라메터 산정'!$C$20),0)</f>
        <v>0</v>
      </c>
      <c r="E54" s="32">
        <f>IF(B54-'폭압 파라메터 산정'!$C$19&gt;-0.25,'폭압 파라메터 산정'!$C$16*(1-Graph!C54/'폭압 파라메터 산정'!$C$20)*EXP(-Graph!$D$3*Graph!C54/'폭압 파라메터 산정'!$C$20),0)</f>
        <v>0</v>
      </c>
      <c r="F54" s="34" t="str">
        <f>IF(B54-'폭압 파라메터 산정'!$E$19&gt;0,B54-'폭압 파라메터 산정'!$E$19, IF(B54-'폭압 파라메터 산정'!$E$19&lt;-0.25,"none",0))</f>
        <v>none</v>
      </c>
      <c r="G54" s="32">
        <f>IF(B54-'폭압 파라메터 산정'!$E$19&gt;-0.25,'폭압 파라메터 산정'!$E$14*(1-F54/'폭압 파라메터 산정'!$E$20)*EXP(-Graph!$D$3*F54/'폭압 파라메터 산정'!$E$20),0)</f>
        <v>0</v>
      </c>
      <c r="H54" s="32">
        <f>IF(B54-'폭압 파라메터 산정'!$E$19&gt;-0.25,'폭압 파라메터 산정'!$E$16*(1-F54/'폭압 파라메터 산정'!$E$20)*EXP(-Graph!$D$3*F54/'폭압 파라메터 산정'!$E$20),0)</f>
        <v>0</v>
      </c>
    </row>
    <row r="55" spans="2:8" x14ac:dyDescent="0.3">
      <c r="B55">
        <f t="shared" si="0"/>
        <v>12</v>
      </c>
      <c r="C55" s="33" t="str">
        <f>IF(B55-'폭압 파라메터 산정'!$C$19&gt;0,B55-'폭압 파라메터 산정'!$C$19, IF(B55-'폭압 파라메터 산정'!$C$19&lt;-0.25,"none",0))</f>
        <v>none</v>
      </c>
      <c r="D55" s="32">
        <f>IF(B55-'폭압 파라메터 산정'!$C$19&gt;-0.25,'폭압 파라메터 산정'!$C$14*(1-Graph!C55/'폭압 파라메터 산정'!$C$20)*EXP(-Graph!$D$3*Graph!C55/'폭압 파라메터 산정'!$C$20),0)</f>
        <v>0</v>
      </c>
      <c r="E55" s="32">
        <f>IF(B55-'폭압 파라메터 산정'!$C$19&gt;-0.25,'폭압 파라메터 산정'!$C$16*(1-Graph!C55/'폭압 파라메터 산정'!$C$20)*EXP(-Graph!$D$3*Graph!C55/'폭압 파라메터 산정'!$C$20),0)</f>
        <v>0</v>
      </c>
      <c r="F55" s="34" t="str">
        <f>IF(B55-'폭압 파라메터 산정'!$E$19&gt;0,B55-'폭압 파라메터 산정'!$E$19, IF(B55-'폭압 파라메터 산정'!$E$19&lt;-0.25,"none",0))</f>
        <v>none</v>
      </c>
      <c r="G55" s="32">
        <f>IF(B55-'폭압 파라메터 산정'!$E$19&gt;-0.25,'폭압 파라메터 산정'!$E$14*(1-F55/'폭압 파라메터 산정'!$E$20)*EXP(-Graph!$D$3*F55/'폭압 파라메터 산정'!$E$20),0)</f>
        <v>0</v>
      </c>
      <c r="H55" s="32">
        <f>IF(B55-'폭압 파라메터 산정'!$E$19&gt;-0.25,'폭압 파라메터 산정'!$E$16*(1-F55/'폭압 파라메터 산정'!$E$20)*EXP(-Graph!$D$3*F55/'폭압 파라메터 산정'!$E$20),0)</f>
        <v>0</v>
      </c>
    </row>
    <row r="56" spans="2:8" x14ac:dyDescent="0.3">
      <c r="B56">
        <f t="shared" si="0"/>
        <v>12.25</v>
      </c>
      <c r="C56" s="33" t="str">
        <f>IF(B56-'폭압 파라메터 산정'!$C$19&gt;0,B56-'폭압 파라메터 산정'!$C$19, IF(B56-'폭압 파라메터 산정'!$C$19&lt;-0.25,"none",0))</f>
        <v>none</v>
      </c>
      <c r="D56" s="32">
        <f>IF(B56-'폭압 파라메터 산정'!$C$19&gt;-0.25,'폭압 파라메터 산정'!$C$14*(1-Graph!C56/'폭압 파라메터 산정'!$C$20)*EXP(-Graph!$D$3*Graph!C56/'폭압 파라메터 산정'!$C$20),0)</f>
        <v>0</v>
      </c>
      <c r="E56" s="32">
        <f>IF(B56-'폭압 파라메터 산정'!$C$19&gt;-0.25,'폭압 파라메터 산정'!$C$16*(1-Graph!C56/'폭압 파라메터 산정'!$C$20)*EXP(-Graph!$D$3*Graph!C56/'폭압 파라메터 산정'!$C$20),0)</f>
        <v>0</v>
      </c>
      <c r="F56" s="34" t="str">
        <f>IF(B56-'폭압 파라메터 산정'!$E$19&gt;0,B56-'폭압 파라메터 산정'!$E$19, IF(B56-'폭압 파라메터 산정'!$E$19&lt;-0.25,"none",0))</f>
        <v>none</v>
      </c>
      <c r="G56" s="32">
        <f>IF(B56-'폭압 파라메터 산정'!$E$19&gt;-0.25,'폭압 파라메터 산정'!$E$14*(1-F56/'폭압 파라메터 산정'!$E$20)*EXP(-Graph!$D$3*F56/'폭압 파라메터 산정'!$E$20),0)</f>
        <v>0</v>
      </c>
      <c r="H56" s="32">
        <f>IF(B56-'폭압 파라메터 산정'!$E$19&gt;-0.25,'폭압 파라메터 산정'!$E$16*(1-F56/'폭압 파라메터 산정'!$E$20)*EXP(-Graph!$D$3*F56/'폭압 파라메터 산정'!$E$20),0)</f>
        <v>0</v>
      </c>
    </row>
    <row r="57" spans="2:8" x14ac:dyDescent="0.3">
      <c r="B57">
        <f t="shared" si="0"/>
        <v>12.5</v>
      </c>
      <c r="C57" s="33" t="str">
        <f>IF(B57-'폭압 파라메터 산정'!$C$19&gt;0,B57-'폭압 파라메터 산정'!$C$19, IF(B57-'폭압 파라메터 산정'!$C$19&lt;-0.25,"none",0))</f>
        <v>none</v>
      </c>
      <c r="D57" s="32">
        <f>IF(B57-'폭압 파라메터 산정'!$C$19&gt;-0.25,'폭압 파라메터 산정'!$C$14*(1-Graph!C57/'폭압 파라메터 산정'!$C$20)*EXP(-Graph!$D$3*Graph!C57/'폭압 파라메터 산정'!$C$20),0)</f>
        <v>0</v>
      </c>
      <c r="E57" s="32">
        <f>IF(B57-'폭압 파라메터 산정'!$C$19&gt;-0.25,'폭압 파라메터 산정'!$C$16*(1-Graph!C57/'폭압 파라메터 산정'!$C$20)*EXP(-Graph!$D$3*Graph!C57/'폭압 파라메터 산정'!$C$20),0)</f>
        <v>0</v>
      </c>
      <c r="F57" s="34" t="str">
        <f>IF(B57-'폭압 파라메터 산정'!$E$19&gt;0,B57-'폭압 파라메터 산정'!$E$19, IF(B57-'폭압 파라메터 산정'!$E$19&lt;-0.25,"none",0))</f>
        <v>none</v>
      </c>
      <c r="G57" s="32">
        <f>IF(B57-'폭압 파라메터 산정'!$E$19&gt;-0.25,'폭압 파라메터 산정'!$E$14*(1-F57/'폭압 파라메터 산정'!$E$20)*EXP(-Graph!$D$3*F57/'폭압 파라메터 산정'!$E$20),0)</f>
        <v>0</v>
      </c>
      <c r="H57" s="32">
        <f>IF(B57-'폭압 파라메터 산정'!$E$19&gt;-0.25,'폭압 파라메터 산정'!$E$16*(1-F57/'폭압 파라메터 산정'!$E$20)*EXP(-Graph!$D$3*F57/'폭압 파라메터 산정'!$E$20),0)</f>
        <v>0</v>
      </c>
    </row>
    <row r="58" spans="2:8" x14ac:dyDescent="0.3">
      <c r="B58">
        <f t="shared" si="0"/>
        <v>12.75</v>
      </c>
      <c r="C58" s="33" t="str">
        <f>IF(B58-'폭압 파라메터 산정'!$C$19&gt;0,B58-'폭압 파라메터 산정'!$C$19, IF(B58-'폭압 파라메터 산정'!$C$19&lt;-0.25,"none",0))</f>
        <v>none</v>
      </c>
      <c r="D58" s="32">
        <f>IF(B58-'폭압 파라메터 산정'!$C$19&gt;-0.25,'폭압 파라메터 산정'!$C$14*(1-Graph!C58/'폭압 파라메터 산정'!$C$20)*EXP(-Graph!$D$3*Graph!C58/'폭압 파라메터 산정'!$C$20),0)</f>
        <v>0</v>
      </c>
      <c r="E58" s="32">
        <f>IF(B58-'폭압 파라메터 산정'!$C$19&gt;-0.25,'폭압 파라메터 산정'!$C$16*(1-Graph!C58/'폭압 파라메터 산정'!$C$20)*EXP(-Graph!$D$3*Graph!C58/'폭압 파라메터 산정'!$C$20),0)</f>
        <v>0</v>
      </c>
      <c r="F58" s="34" t="str">
        <f>IF(B58-'폭압 파라메터 산정'!$E$19&gt;0,B58-'폭압 파라메터 산정'!$E$19, IF(B58-'폭압 파라메터 산정'!$E$19&lt;-0.25,"none",0))</f>
        <v>none</v>
      </c>
      <c r="G58" s="32">
        <f>IF(B58-'폭압 파라메터 산정'!$E$19&gt;-0.25,'폭압 파라메터 산정'!$E$14*(1-F58/'폭압 파라메터 산정'!$E$20)*EXP(-Graph!$D$3*F58/'폭압 파라메터 산정'!$E$20),0)</f>
        <v>0</v>
      </c>
      <c r="H58" s="32">
        <f>IF(B58-'폭압 파라메터 산정'!$E$19&gt;-0.25,'폭압 파라메터 산정'!$E$16*(1-F58/'폭압 파라메터 산정'!$E$20)*EXP(-Graph!$D$3*F58/'폭압 파라메터 산정'!$E$20),0)</f>
        <v>0</v>
      </c>
    </row>
    <row r="59" spans="2:8" x14ac:dyDescent="0.3">
      <c r="B59">
        <f t="shared" si="0"/>
        <v>13</v>
      </c>
      <c r="C59" s="33" t="str">
        <f>IF(B59-'폭압 파라메터 산정'!$C$19&gt;0,B59-'폭압 파라메터 산정'!$C$19, IF(B59-'폭압 파라메터 산정'!$C$19&lt;-0.25,"none",0))</f>
        <v>none</v>
      </c>
      <c r="D59" s="32">
        <f>IF(B59-'폭압 파라메터 산정'!$C$19&gt;-0.25,'폭압 파라메터 산정'!$C$14*(1-Graph!C59/'폭압 파라메터 산정'!$C$20)*EXP(-Graph!$D$3*Graph!C59/'폭압 파라메터 산정'!$C$20),0)</f>
        <v>0</v>
      </c>
      <c r="E59" s="32">
        <f>IF(B59-'폭압 파라메터 산정'!$C$19&gt;-0.25,'폭압 파라메터 산정'!$C$16*(1-Graph!C59/'폭압 파라메터 산정'!$C$20)*EXP(-Graph!$D$3*Graph!C59/'폭압 파라메터 산정'!$C$20),0)</f>
        <v>0</v>
      </c>
      <c r="F59" s="34" t="str">
        <f>IF(B59-'폭압 파라메터 산정'!$E$19&gt;0,B59-'폭압 파라메터 산정'!$E$19, IF(B59-'폭압 파라메터 산정'!$E$19&lt;-0.25,"none",0))</f>
        <v>none</v>
      </c>
      <c r="G59" s="32">
        <f>IF(B59-'폭압 파라메터 산정'!$E$19&gt;-0.25,'폭압 파라메터 산정'!$E$14*(1-F59/'폭압 파라메터 산정'!$E$20)*EXP(-Graph!$D$3*F59/'폭압 파라메터 산정'!$E$20),0)</f>
        <v>0</v>
      </c>
      <c r="H59" s="32">
        <f>IF(B59-'폭압 파라메터 산정'!$E$19&gt;-0.25,'폭압 파라메터 산정'!$E$16*(1-F59/'폭압 파라메터 산정'!$E$20)*EXP(-Graph!$D$3*F59/'폭압 파라메터 산정'!$E$20),0)</f>
        <v>0</v>
      </c>
    </row>
    <row r="60" spans="2:8" x14ac:dyDescent="0.3">
      <c r="B60">
        <f t="shared" si="0"/>
        <v>13.25</v>
      </c>
      <c r="C60" s="33" t="str">
        <f>IF(B60-'폭압 파라메터 산정'!$C$19&gt;0,B60-'폭압 파라메터 산정'!$C$19, IF(B60-'폭압 파라메터 산정'!$C$19&lt;-0.25,"none",0))</f>
        <v>none</v>
      </c>
      <c r="D60" s="32">
        <f>IF(B60-'폭압 파라메터 산정'!$C$19&gt;-0.25,'폭압 파라메터 산정'!$C$14*(1-Graph!C60/'폭압 파라메터 산정'!$C$20)*EXP(-Graph!$D$3*Graph!C60/'폭압 파라메터 산정'!$C$20),0)</f>
        <v>0</v>
      </c>
      <c r="E60" s="32">
        <f>IF(B60-'폭압 파라메터 산정'!$C$19&gt;-0.25,'폭압 파라메터 산정'!$C$16*(1-Graph!C60/'폭압 파라메터 산정'!$C$20)*EXP(-Graph!$D$3*Graph!C60/'폭압 파라메터 산정'!$C$20),0)</f>
        <v>0</v>
      </c>
      <c r="F60" s="34" t="str">
        <f>IF(B60-'폭압 파라메터 산정'!$E$19&gt;0,B60-'폭압 파라메터 산정'!$E$19, IF(B60-'폭압 파라메터 산정'!$E$19&lt;-0.25,"none",0))</f>
        <v>none</v>
      </c>
      <c r="G60" s="32">
        <f>IF(B60-'폭압 파라메터 산정'!$E$19&gt;-0.25,'폭압 파라메터 산정'!$E$14*(1-F60/'폭압 파라메터 산정'!$E$20)*EXP(-Graph!$D$3*F60/'폭압 파라메터 산정'!$E$20),0)</f>
        <v>0</v>
      </c>
      <c r="H60" s="32">
        <f>IF(B60-'폭압 파라메터 산정'!$E$19&gt;-0.25,'폭압 파라메터 산정'!$E$16*(1-F60/'폭압 파라메터 산정'!$E$20)*EXP(-Graph!$D$3*F60/'폭압 파라메터 산정'!$E$20),0)</f>
        <v>0</v>
      </c>
    </row>
    <row r="61" spans="2:8" x14ac:dyDescent="0.3">
      <c r="B61">
        <f t="shared" si="0"/>
        <v>13.5</v>
      </c>
      <c r="C61" s="33" t="str">
        <f>IF(B61-'폭압 파라메터 산정'!$C$19&gt;0,B61-'폭압 파라메터 산정'!$C$19, IF(B61-'폭압 파라메터 산정'!$C$19&lt;-0.25,"none",0))</f>
        <v>none</v>
      </c>
      <c r="D61" s="32">
        <f>IF(B61-'폭압 파라메터 산정'!$C$19&gt;-0.25,'폭압 파라메터 산정'!$C$14*(1-Graph!C61/'폭압 파라메터 산정'!$C$20)*EXP(-Graph!$D$3*Graph!C61/'폭압 파라메터 산정'!$C$20),0)</f>
        <v>0</v>
      </c>
      <c r="E61" s="32">
        <f>IF(B61-'폭압 파라메터 산정'!$C$19&gt;-0.25,'폭압 파라메터 산정'!$C$16*(1-Graph!C61/'폭압 파라메터 산정'!$C$20)*EXP(-Graph!$D$3*Graph!C61/'폭압 파라메터 산정'!$C$20),0)</f>
        <v>0</v>
      </c>
      <c r="F61" s="34" t="str">
        <f>IF(B61-'폭압 파라메터 산정'!$E$19&gt;0,B61-'폭압 파라메터 산정'!$E$19, IF(B61-'폭압 파라메터 산정'!$E$19&lt;-0.25,"none",0))</f>
        <v>none</v>
      </c>
      <c r="G61" s="32">
        <f>IF(B61-'폭압 파라메터 산정'!$E$19&gt;-0.25,'폭압 파라메터 산정'!$E$14*(1-F61/'폭압 파라메터 산정'!$E$20)*EXP(-Graph!$D$3*F61/'폭압 파라메터 산정'!$E$20),0)</f>
        <v>0</v>
      </c>
      <c r="H61" s="32">
        <f>IF(B61-'폭압 파라메터 산정'!$E$19&gt;-0.25,'폭압 파라메터 산정'!$E$16*(1-F61/'폭압 파라메터 산정'!$E$20)*EXP(-Graph!$D$3*F61/'폭압 파라메터 산정'!$E$20),0)</f>
        <v>0</v>
      </c>
    </row>
    <row r="62" spans="2:8" x14ac:dyDescent="0.3">
      <c r="B62">
        <f t="shared" si="0"/>
        <v>13.75</v>
      </c>
      <c r="C62" s="33" t="str">
        <f>IF(B62-'폭압 파라메터 산정'!$C$19&gt;0,B62-'폭압 파라메터 산정'!$C$19, IF(B62-'폭압 파라메터 산정'!$C$19&lt;-0.25,"none",0))</f>
        <v>none</v>
      </c>
      <c r="D62" s="32">
        <f>IF(B62-'폭압 파라메터 산정'!$C$19&gt;-0.25,'폭압 파라메터 산정'!$C$14*(1-Graph!C62/'폭압 파라메터 산정'!$C$20)*EXP(-Graph!$D$3*Graph!C62/'폭압 파라메터 산정'!$C$20),0)</f>
        <v>0</v>
      </c>
      <c r="E62" s="32">
        <f>IF(B62-'폭압 파라메터 산정'!$C$19&gt;-0.25,'폭압 파라메터 산정'!$C$16*(1-Graph!C62/'폭압 파라메터 산정'!$C$20)*EXP(-Graph!$D$3*Graph!C62/'폭압 파라메터 산정'!$C$20),0)</f>
        <v>0</v>
      </c>
      <c r="F62" s="34" t="str">
        <f>IF(B62-'폭압 파라메터 산정'!$E$19&gt;0,B62-'폭압 파라메터 산정'!$E$19, IF(B62-'폭압 파라메터 산정'!$E$19&lt;-0.25,"none",0))</f>
        <v>none</v>
      </c>
      <c r="G62" s="32">
        <f>IF(B62-'폭압 파라메터 산정'!$E$19&gt;-0.25,'폭압 파라메터 산정'!$E$14*(1-F62/'폭압 파라메터 산정'!$E$20)*EXP(-Graph!$D$3*F62/'폭압 파라메터 산정'!$E$20),0)</f>
        <v>0</v>
      </c>
      <c r="H62" s="32">
        <f>IF(B62-'폭압 파라메터 산정'!$E$19&gt;-0.25,'폭압 파라메터 산정'!$E$16*(1-F62/'폭압 파라메터 산정'!$E$20)*EXP(-Graph!$D$3*F62/'폭압 파라메터 산정'!$E$20),0)</f>
        <v>0</v>
      </c>
    </row>
    <row r="63" spans="2:8" x14ac:dyDescent="0.3">
      <c r="B63">
        <f t="shared" si="0"/>
        <v>14</v>
      </c>
      <c r="C63" s="33" t="str">
        <f>IF(B63-'폭압 파라메터 산정'!$C$19&gt;0,B63-'폭압 파라메터 산정'!$C$19, IF(B63-'폭압 파라메터 산정'!$C$19&lt;-0.25,"none",0))</f>
        <v>none</v>
      </c>
      <c r="D63" s="32">
        <f>IF(B63-'폭압 파라메터 산정'!$C$19&gt;-0.25,'폭압 파라메터 산정'!$C$14*(1-Graph!C63/'폭압 파라메터 산정'!$C$20)*EXP(-Graph!$D$3*Graph!C63/'폭압 파라메터 산정'!$C$20),0)</f>
        <v>0</v>
      </c>
      <c r="E63" s="32">
        <f>IF(B63-'폭압 파라메터 산정'!$C$19&gt;-0.25,'폭압 파라메터 산정'!$C$16*(1-Graph!C63/'폭압 파라메터 산정'!$C$20)*EXP(-Graph!$D$3*Graph!C63/'폭압 파라메터 산정'!$C$20),0)</f>
        <v>0</v>
      </c>
      <c r="F63" s="34" t="str">
        <f>IF(B63-'폭압 파라메터 산정'!$E$19&gt;0,B63-'폭압 파라메터 산정'!$E$19, IF(B63-'폭압 파라메터 산정'!$E$19&lt;-0.25,"none",0))</f>
        <v>none</v>
      </c>
      <c r="G63" s="32">
        <f>IF(B63-'폭압 파라메터 산정'!$E$19&gt;-0.25,'폭압 파라메터 산정'!$E$14*(1-F63/'폭압 파라메터 산정'!$E$20)*EXP(-Graph!$D$3*F63/'폭압 파라메터 산정'!$E$20),0)</f>
        <v>0</v>
      </c>
      <c r="H63" s="32">
        <f>IF(B63-'폭압 파라메터 산정'!$E$19&gt;-0.25,'폭압 파라메터 산정'!$E$16*(1-F63/'폭압 파라메터 산정'!$E$20)*EXP(-Graph!$D$3*F63/'폭압 파라메터 산정'!$E$20),0)</f>
        <v>0</v>
      </c>
    </row>
    <row r="64" spans="2:8" x14ac:dyDescent="0.3">
      <c r="B64">
        <f t="shared" si="0"/>
        <v>14.25</v>
      </c>
      <c r="C64" s="33" t="str">
        <f>IF(B64-'폭압 파라메터 산정'!$C$19&gt;0,B64-'폭압 파라메터 산정'!$C$19, IF(B64-'폭압 파라메터 산정'!$C$19&lt;-0.25,"none",0))</f>
        <v>none</v>
      </c>
      <c r="D64" s="32">
        <f>IF(B64-'폭압 파라메터 산정'!$C$19&gt;-0.25,'폭압 파라메터 산정'!$C$14*(1-Graph!C64/'폭압 파라메터 산정'!$C$20)*EXP(-Graph!$D$3*Graph!C64/'폭압 파라메터 산정'!$C$20),0)</f>
        <v>0</v>
      </c>
      <c r="E64" s="32">
        <f>IF(B64-'폭압 파라메터 산정'!$C$19&gt;-0.25,'폭압 파라메터 산정'!$C$16*(1-Graph!C64/'폭압 파라메터 산정'!$C$20)*EXP(-Graph!$D$3*Graph!C64/'폭압 파라메터 산정'!$C$20),0)</f>
        <v>0</v>
      </c>
      <c r="F64" s="34" t="str">
        <f>IF(B64-'폭압 파라메터 산정'!$E$19&gt;0,B64-'폭압 파라메터 산정'!$E$19, IF(B64-'폭압 파라메터 산정'!$E$19&lt;-0.25,"none",0))</f>
        <v>none</v>
      </c>
      <c r="G64" s="32">
        <f>IF(B64-'폭압 파라메터 산정'!$E$19&gt;-0.25,'폭압 파라메터 산정'!$E$14*(1-F64/'폭압 파라메터 산정'!$E$20)*EXP(-Graph!$D$3*F64/'폭압 파라메터 산정'!$E$20),0)</f>
        <v>0</v>
      </c>
      <c r="H64" s="32">
        <f>IF(B64-'폭압 파라메터 산정'!$E$19&gt;-0.25,'폭압 파라메터 산정'!$E$16*(1-F64/'폭압 파라메터 산정'!$E$20)*EXP(-Graph!$D$3*F64/'폭압 파라메터 산정'!$E$20),0)</f>
        <v>0</v>
      </c>
    </row>
    <row r="65" spans="2:8" x14ac:dyDescent="0.3">
      <c r="B65">
        <f t="shared" si="0"/>
        <v>14.5</v>
      </c>
      <c r="C65" s="33" t="str">
        <f>IF(B65-'폭압 파라메터 산정'!$C$19&gt;0,B65-'폭압 파라메터 산정'!$C$19, IF(B65-'폭압 파라메터 산정'!$C$19&lt;-0.25,"none",0))</f>
        <v>none</v>
      </c>
      <c r="D65" s="32">
        <f>IF(B65-'폭압 파라메터 산정'!$C$19&gt;-0.25,'폭압 파라메터 산정'!$C$14*(1-Graph!C65/'폭압 파라메터 산정'!$C$20)*EXP(-Graph!$D$3*Graph!C65/'폭압 파라메터 산정'!$C$20),0)</f>
        <v>0</v>
      </c>
      <c r="E65" s="32">
        <f>IF(B65-'폭압 파라메터 산정'!$C$19&gt;-0.25,'폭압 파라메터 산정'!$C$16*(1-Graph!C65/'폭압 파라메터 산정'!$C$20)*EXP(-Graph!$D$3*Graph!C65/'폭압 파라메터 산정'!$C$20),0)</f>
        <v>0</v>
      </c>
      <c r="F65" s="34" t="str">
        <f>IF(B65-'폭압 파라메터 산정'!$E$19&gt;0,B65-'폭압 파라메터 산정'!$E$19, IF(B65-'폭압 파라메터 산정'!$E$19&lt;-0.25,"none",0))</f>
        <v>none</v>
      </c>
      <c r="G65" s="32">
        <f>IF(B65-'폭압 파라메터 산정'!$E$19&gt;-0.25,'폭압 파라메터 산정'!$E$14*(1-F65/'폭압 파라메터 산정'!$E$20)*EXP(-Graph!$D$3*F65/'폭압 파라메터 산정'!$E$20),0)</f>
        <v>0</v>
      </c>
      <c r="H65" s="32">
        <f>IF(B65-'폭압 파라메터 산정'!$E$19&gt;-0.25,'폭압 파라메터 산정'!$E$16*(1-F65/'폭압 파라메터 산정'!$E$20)*EXP(-Graph!$D$3*F65/'폭압 파라메터 산정'!$E$20),0)</f>
        <v>0</v>
      </c>
    </row>
    <row r="66" spans="2:8" x14ac:dyDescent="0.3">
      <c r="B66">
        <f t="shared" si="0"/>
        <v>14.75</v>
      </c>
      <c r="C66" s="33" t="str">
        <f>IF(B66-'폭압 파라메터 산정'!$C$19&gt;0,B66-'폭압 파라메터 산정'!$C$19, IF(B66-'폭압 파라메터 산정'!$C$19&lt;-0.25,"none",0))</f>
        <v>none</v>
      </c>
      <c r="D66" s="32">
        <f>IF(B66-'폭압 파라메터 산정'!$C$19&gt;-0.25,'폭압 파라메터 산정'!$C$14*(1-Graph!C66/'폭압 파라메터 산정'!$C$20)*EXP(-Graph!$D$3*Graph!C66/'폭압 파라메터 산정'!$C$20),0)</f>
        <v>0</v>
      </c>
      <c r="E66" s="32">
        <f>IF(B66-'폭압 파라메터 산정'!$C$19&gt;-0.25,'폭압 파라메터 산정'!$C$16*(1-Graph!C66/'폭압 파라메터 산정'!$C$20)*EXP(-Graph!$D$3*Graph!C66/'폭압 파라메터 산정'!$C$20),0)</f>
        <v>0</v>
      </c>
      <c r="F66" s="34" t="str">
        <f>IF(B66-'폭압 파라메터 산정'!$E$19&gt;0,B66-'폭압 파라메터 산정'!$E$19, IF(B66-'폭압 파라메터 산정'!$E$19&lt;-0.25,"none",0))</f>
        <v>none</v>
      </c>
      <c r="G66" s="32">
        <f>IF(B66-'폭압 파라메터 산정'!$E$19&gt;-0.25,'폭압 파라메터 산정'!$E$14*(1-F66/'폭압 파라메터 산정'!$E$20)*EXP(-Graph!$D$3*F66/'폭압 파라메터 산정'!$E$20),0)</f>
        <v>0</v>
      </c>
      <c r="H66" s="32">
        <f>IF(B66-'폭압 파라메터 산정'!$E$19&gt;-0.25,'폭압 파라메터 산정'!$E$16*(1-F66/'폭압 파라메터 산정'!$E$20)*EXP(-Graph!$D$3*F66/'폭압 파라메터 산정'!$E$20),0)</f>
        <v>0</v>
      </c>
    </row>
    <row r="67" spans="2:8" x14ac:dyDescent="0.3">
      <c r="B67">
        <f t="shared" si="0"/>
        <v>15</v>
      </c>
      <c r="C67" s="33" t="str">
        <f>IF(B67-'폭압 파라메터 산정'!$C$19&gt;0,B67-'폭압 파라메터 산정'!$C$19, IF(B67-'폭압 파라메터 산정'!$C$19&lt;-0.25,"none",0))</f>
        <v>none</v>
      </c>
      <c r="D67" s="32">
        <f>IF(B67-'폭압 파라메터 산정'!$C$19&gt;-0.25,'폭압 파라메터 산정'!$C$14*(1-Graph!C67/'폭압 파라메터 산정'!$C$20)*EXP(-Graph!$D$3*Graph!C67/'폭압 파라메터 산정'!$C$20),0)</f>
        <v>0</v>
      </c>
      <c r="E67" s="32">
        <f>IF(B67-'폭압 파라메터 산정'!$C$19&gt;-0.25,'폭압 파라메터 산정'!$C$16*(1-Graph!C67/'폭압 파라메터 산정'!$C$20)*EXP(-Graph!$D$3*Graph!C67/'폭압 파라메터 산정'!$C$20),0)</f>
        <v>0</v>
      </c>
      <c r="F67" s="34" t="str">
        <f>IF(B67-'폭압 파라메터 산정'!$E$19&gt;0,B67-'폭압 파라메터 산정'!$E$19, IF(B67-'폭압 파라메터 산정'!$E$19&lt;-0.25,"none",0))</f>
        <v>none</v>
      </c>
      <c r="G67" s="32">
        <f>IF(B67-'폭압 파라메터 산정'!$E$19&gt;-0.25,'폭압 파라메터 산정'!$E$14*(1-F67/'폭압 파라메터 산정'!$E$20)*EXP(-Graph!$D$3*F67/'폭압 파라메터 산정'!$E$20),0)</f>
        <v>0</v>
      </c>
      <c r="H67" s="32">
        <f>IF(B67-'폭압 파라메터 산정'!$E$19&gt;-0.25,'폭압 파라메터 산정'!$E$16*(1-F67/'폭압 파라메터 산정'!$E$20)*EXP(-Graph!$D$3*F67/'폭압 파라메터 산정'!$E$20),0)</f>
        <v>0</v>
      </c>
    </row>
    <row r="68" spans="2:8" x14ac:dyDescent="0.3">
      <c r="B68">
        <f t="shared" si="0"/>
        <v>15.25</v>
      </c>
      <c r="C68" s="33" t="str">
        <f>IF(B68-'폭압 파라메터 산정'!$C$19&gt;0,B68-'폭압 파라메터 산정'!$C$19, IF(B68-'폭압 파라메터 산정'!$C$19&lt;-0.25,"none",0))</f>
        <v>none</v>
      </c>
      <c r="D68" s="32">
        <f>IF(B68-'폭압 파라메터 산정'!$C$19&gt;-0.25,'폭압 파라메터 산정'!$C$14*(1-Graph!C68/'폭압 파라메터 산정'!$C$20)*EXP(-Graph!$D$3*Graph!C68/'폭압 파라메터 산정'!$C$20),0)</f>
        <v>0</v>
      </c>
      <c r="E68" s="32">
        <f>IF(B68-'폭압 파라메터 산정'!$C$19&gt;-0.25,'폭압 파라메터 산정'!$C$16*(1-Graph!C68/'폭압 파라메터 산정'!$C$20)*EXP(-Graph!$D$3*Graph!C68/'폭압 파라메터 산정'!$C$20),0)</f>
        <v>0</v>
      </c>
      <c r="F68" s="34" t="str">
        <f>IF(B68-'폭압 파라메터 산정'!$E$19&gt;0,B68-'폭압 파라메터 산정'!$E$19, IF(B68-'폭압 파라메터 산정'!$E$19&lt;-0.25,"none",0))</f>
        <v>none</v>
      </c>
      <c r="G68" s="32">
        <f>IF(B68-'폭압 파라메터 산정'!$E$19&gt;-0.25,'폭압 파라메터 산정'!$E$14*(1-F68/'폭압 파라메터 산정'!$E$20)*EXP(-Graph!$D$3*F68/'폭압 파라메터 산정'!$E$20),0)</f>
        <v>0</v>
      </c>
      <c r="H68" s="32">
        <f>IF(B68-'폭압 파라메터 산정'!$E$19&gt;-0.25,'폭압 파라메터 산정'!$E$16*(1-F68/'폭압 파라메터 산정'!$E$20)*EXP(-Graph!$D$3*F68/'폭압 파라메터 산정'!$E$20),0)</f>
        <v>0</v>
      </c>
    </row>
    <row r="69" spans="2:8" x14ac:dyDescent="0.3">
      <c r="B69">
        <f t="shared" si="0"/>
        <v>15.5</v>
      </c>
      <c r="C69" s="33" t="str">
        <f>IF(B69-'폭압 파라메터 산정'!$C$19&gt;0,B69-'폭압 파라메터 산정'!$C$19, IF(B69-'폭압 파라메터 산정'!$C$19&lt;-0.25,"none",0))</f>
        <v>none</v>
      </c>
      <c r="D69" s="32">
        <f>IF(B69-'폭압 파라메터 산정'!$C$19&gt;-0.25,'폭압 파라메터 산정'!$C$14*(1-Graph!C69/'폭압 파라메터 산정'!$C$20)*EXP(-Graph!$D$3*Graph!C69/'폭압 파라메터 산정'!$C$20),0)</f>
        <v>0</v>
      </c>
      <c r="E69" s="32">
        <f>IF(B69-'폭압 파라메터 산정'!$C$19&gt;-0.25,'폭압 파라메터 산정'!$C$16*(1-Graph!C69/'폭압 파라메터 산정'!$C$20)*EXP(-Graph!$D$3*Graph!C69/'폭압 파라메터 산정'!$C$20),0)</f>
        <v>0</v>
      </c>
      <c r="F69" s="34" t="str">
        <f>IF(B69-'폭압 파라메터 산정'!$E$19&gt;0,B69-'폭압 파라메터 산정'!$E$19, IF(B69-'폭압 파라메터 산정'!$E$19&lt;-0.25,"none",0))</f>
        <v>none</v>
      </c>
      <c r="G69" s="32">
        <f>IF(B69-'폭압 파라메터 산정'!$E$19&gt;-0.25,'폭압 파라메터 산정'!$E$14*(1-F69/'폭압 파라메터 산정'!$E$20)*EXP(-Graph!$D$3*F69/'폭압 파라메터 산정'!$E$20),0)</f>
        <v>0</v>
      </c>
      <c r="H69" s="32">
        <f>IF(B69-'폭압 파라메터 산정'!$E$19&gt;-0.25,'폭압 파라메터 산정'!$E$16*(1-F69/'폭압 파라메터 산정'!$E$20)*EXP(-Graph!$D$3*F69/'폭압 파라메터 산정'!$E$20),0)</f>
        <v>0</v>
      </c>
    </row>
    <row r="70" spans="2:8" x14ac:dyDescent="0.3">
      <c r="B70">
        <f t="shared" si="0"/>
        <v>15.75</v>
      </c>
      <c r="C70" s="33" t="str">
        <f>IF(B70-'폭압 파라메터 산정'!$C$19&gt;0,B70-'폭압 파라메터 산정'!$C$19, IF(B70-'폭압 파라메터 산정'!$C$19&lt;-0.25,"none",0))</f>
        <v>none</v>
      </c>
      <c r="D70" s="32">
        <f>IF(B70-'폭압 파라메터 산정'!$C$19&gt;-0.25,'폭압 파라메터 산정'!$C$14*(1-Graph!C70/'폭압 파라메터 산정'!$C$20)*EXP(-Graph!$D$3*Graph!C70/'폭압 파라메터 산정'!$C$20),0)</f>
        <v>0</v>
      </c>
      <c r="E70" s="32">
        <f>IF(B70-'폭압 파라메터 산정'!$C$19&gt;-0.25,'폭압 파라메터 산정'!$C$16*(1-Graph!C70/'폭압 파라메터 산정'!$C$20)*EXP(-Graph!$D$3*Graph!C70/'폭압 파라메터 산정'!$C$20),0)</f>
        <v>0</v>
      </c>
      <c r="F70" s="34" t="str">
        <f>IF(B70-'폭압 파라메터 산정'!$E$19&gt;0,B70-'폭압 파라메터 산정'!$E$19, IF(B70-'폭압 파라메터 산정'!$E$19&lt;-0.25,"none",0))</f>
        <v>none</v>
      </c>
      <c r="G70" s="32">
        <f>IF(B70-'폭압 파라메터 산정'!$E$19&gt;-0.25,'폭압 파라메터 산정'!$E$14*(1-F70/'폭압 파라메터 산정'!$E$20)*EXP(-Graph!$D$3*F70/'폭압 파라메터 산정'!$E$20),0)</f>
        <v>0</v>
      </c>
      <c r="H70" s="32">
        <f>IF(B70-'폭압 파라메터 산정'!$E$19&gt;-0.25,'폭압 파라메터 산정'!$E$16*(1-F70/'폭압 파라메터 산정'!$E$20)*EXP(-Graph!$D$3*F70/'폭압 파라메터 산정'!$E$20),0)</f>
        <v>0</v>
      </c>
    </row>
    <row r="71" spans="2:8" x14ac:dyDescent="0.3">
      <c r="B71">
        <f t="shared" si="0"/>
        <v>16</v>
      </c>
      <c r="C71" s="33" t="str">
        <f>IF(B71-'폭압 파라메터 산정'!$C$19&gt;0,B71-'폭압 파라메터 산정'!$C$19, IF(B71-'폭압 파라메터 산정'!$C$19&lt;-0.25,"none",0))</f>
        <v>none</v>
      </c>
      <c r="D71" s="32">
        <f>IF(B71-'폭압 파라메터 산정'!$C$19&gt;-0.25,'폭압 파라메터 산정'!$C$14*(1-Graph!C71/'폭압 파라메터 산정'!$C$20)*EXP(-Graph!$D$3*Graph!C71/'폭압 파라메터 산정'!$C$20),0)</f>
        <v>0</v>
      </c>
      <c r="E71" s="32">
        <f>IF(B71-'폭압 파라메터 산정'!$C$19&gt;-0.25,'폭압 파라메터 산정'!$C$16*(1-Graph!C71/'폭압 파라메터 산정'!$C$20)*EXP(-Graph!$D$3*Graph!C71/'폭압 파라메터 산정'!$C$20),0)</f>
        <v>0</v>
      </c>
      <c r="F71" s="34" t="str">
        <f>IF(B71-'폭압 파라메터 산정'!$E$19&gt;0,B71-'폭압 파라메터 산정'!$E$19, IF(B71-'폭압 파라메터 산정'!$E$19&lt;-0.25,"none",0))</f>
        <v>none</v>
      </c>
      <c r="G71" s="32">
        <f>IF(B71-'폭압 파라메터 산정'!$E$19&gt;-0.25,'폭압 파라메터 산정'!$E$14*(1-F71/'폭압 파라메터 산정'!$E$20)*EXP(-Graph!$D$3*F71/'폭압 파라메터 산정'!$E$20),0)</f>
        <v>0</v>
      </c>
      <c r="H71" s="32">
        <f>IF(B71-'폭압 파라메터 산정'!$E$19&gt;-0.25,'폭압 파라메터 산정'!$E$16*(1-F71/'폭압 파라메터 산정'!$E$20)*EXP(-Graph!$D$3*F71/'폭압 파라메터 산정'!$E$20),0)</f>
        <v>0</v>
      </c>
    </row>
    <row r="72" spans="2:8" x14ac:dyDescent="0.3">
      <c r="B72">
        <f t="shared" si="0"/>
        <v>16.25</v>
      </c>
      <c r="C72" s="33" t="str">
        <f>IF(B72-'폭압 파라메터 산정'!$C$19&gt;0,B72-'폭압 파라메터 산정'!$C$19, IF(B72-'폭압 파라메터 산정'!$C$19&lt;-0.25,"none",0))</f>
        <v>none</v>
      </c>
      <c r="D72" s="32">
        <f>IF(B72-'폭압 파라메터 산정'!$C$19&gt;-0.25,'폭압 파라메터 산정'!$C$14*(1-Graph!C72/'폭압 파라메터 산정'!$C$20)*EXP(-Graph!$D$3*Graph!C72/'폭압 파라메터 산정'!$C$20),0)</f>
        <v>0</v>
      </c>
      <c r="E72" s="32">
        <f>IF(B72-'폭압 파라메터 산정'!$C$19&gt;-0.25,'폭압 파라메터 산정'!$C$16*(1-Graph!C72/'폭압 파라메터 산정'!$C$20)*EXP(-Graph!$D$3*Graph!C72/'폭압 파라메터 산정'!$C$20),0)</f>
        <v>0</v>
      </c>
      <c r="F72" s="34" t="str">
        <f>IF(B72-'폭압 파라메터 산정'!$E$19&gt;0,B72-'폭압 파라메터 산정'!$E$19, IF(B72-'폭압 파라메터 산정'!$E$19&lt;-0.25,"none",0))</f>
        <v>none</v>
      </c>
      <c r="G72" s="32">
        <f>IF(B72-'폭압 파라메터 산정'!$E$19&gt;-0.25,'폭압 파라메터 산정'!$E$14*(1-F72/'폭압 파라메터 산정'!$E$20)*EXP(-Graph!$D$3*F72/'폭압 파라메터 산정'!$E$20),0)</f>
        <v>0</v>
      </c>
      <c r="H72" s="32">
        <f>IF(B72-'폭압 파라메터 산정'!$E$19&gt;-0.25,'폭압 파라메터 산정'!$E$16*(1-F72/'폭압 파라메터 산정'!$E$20)*EXP(-Graph!$D$3*F72/'폭압 파라메터 산정'!$E$20),0)</f>
        <v>0</v>
      </c>
    </row>
    <row r="73" spans="2:8" x14ac:dyDescent="0.3">
      <c r="B73">
        <f t="shared" ref="B73:B136" si="1">B72+0.25</f>
        <v>16.5</v>
      </c>
      <c r="C73" s="33" t="str">
        <f>IF(B73-'폭압 파라메터 산정'!$C$19&gt;0,B73-'폭압 파라메터 산정'!$C$19, IF(B73-'폭압 파라메터 산정'!$C$19&lt;-0.25,"none",0))</f>
        <v>none</v>
      </c>
      <c r="D73" s="32">
        <f>IF(B73-'폭압 파라메터 산정'!$C$19&gt;-0.25,'폭압 파라메터 산정'!$C$14*(1-Graph!C73/'폭압 파라메터 산정'!$C$20)*EXP(-Graph!$D$3*Graph!C73/'폭압 파라메터 산정'!$C$20),0)</f>
        <v>0</v>
      </c>
      <c r="E73" s="32">
        <f>IF(B73-'폭압 파라메터 산정'!$C$19&gt;-0.25,'폭압 파라메터 산정'!$C$16*(1-Graph!C73/'폭압 파라메터 산정'!$C$20)*EXP(-Graph!$D$3*Graph!C73/'폭압 파라메터 산정'!$C$20),0)</f>
        <v>0</v>
      </c>
      <c r="F73" s="34" t="str">
        <f>IF(B73-'폭압 파라메터 산정'!$E$19&gt;0,B73-'폭압 파라메터 산정'!$E$19, IF(B73-'폭압 파라메터 산정'!$E$19&lt;-0.25,"none",0))</f>
        <v>none</v>
      </c>
      <c r="G73" s="32">
        <f>IF(B73-'폭압 파라메터 산정'!$E$19&gt;-0.25,'폭압 파라메터 산정'!$E$14*(1-F73/'폭압 파라메터 산정'!$E$20)*EXP(-Graph!$D$3*F73/'폭압 파라메터 산정'!$E$20),0)</f>
        <v>0</v>
      </c>
      <c r="H73" s="32">
        <f>IF(B73-'폭압 파라메터 산정'!$E$19&gt;-0.25,'폭압 파라메터 산정'!$E$16*(1-F73/'폭압 파라메터 산정'!$E$20)*EXP(-Graph!$D$3*F73/'폭압 파라메터 산정'!$E$20),0)</f>
        <v>0</v>
      </c>
    </row>
    <row r="74" spans="2:8" x14ac:dyDescent="0.3">
      <c r="B74">
        <f t="shared" si="1"/>
        <v>16.75</v>
      </c>
      <c r="C74" s="33" t="str">
        <f>IF(B74-'폭압 파라메터 산정'!$C$19&gt;0,B74-'폭압 파라메터 산정'!$C$19, IF(B74-'폭압 파라메터 산정'!$C$19&lt;-0.25,"none",0))</f>
        <v>none</v>
      </c>
      <c r="D74" s="32">
        <f>IF(B74-'폭압 파라메터 산정'!$C$19&gt;-0.25,'폭압 파라메터 산정'!$C$14*(1-Graph!C74/'폭압 파라메터 산정'!$C$20)*EXP(-Graph!$D$3*Graph!C74/'폭압 파라메터 산정'!$C$20),0)</f>
        <v>0</v>
      </c>
      <c r="E74" s="32">
        <f>IF(B74-'폭압 파라메터 산정'!$C$19&gt;-0.25,'폭압 파라메터 산정'!$C$16*(1-Graph!C74/'폭압 파라메터 산정'!$C$20)*EXP(-Graph!$D$3*Graph!C74/'폭압 파라메터 산정'!$C$20),0)</f>
        <v>0</v>
      </c>
      <c r="F74" s="34" t="str">
        <f>IF(B74-'폭압 파라메터 산정'!$E$19&gt;0,B74-'폭압 파라메터 산정'!$E$19, IF(B74-'폭압 파라메터 산정'!$E$19&lt;-0.25,"none",0))</f>
        <v>none</v>
      </c>
      <c r="G74" s="32">
        <f>IF(B74-'폭압 파라메터 산정'!$E$19&gt;-0.25,'폭압 파라메터 산정'!$E$14*(1-F74/'폭압 파라메터 산정'!$E$20)*EXP(-Graph!$D$3*F74/'폭압 파라메터 산정'!$E$20),0)</f>
        <v>0</v>
      </c>
      <c r="H74" s="32">
        <f>IF(B74-'폭압 파라메터 산정'!$E$19&gt;-0.25,'폭압 파라메터 산정'!$E$16*(1-F74/'폭압 파라메터 산정'!$E$20)*EXP(-Graph!$D$3*F74/'폭압 파라메터 산정'!$E$20),0)</f>
        <v>0</v>
      </c>
    </row>
    <row r="75" spans="2:8" x14ac:dyDescent="0.3">
      <c r="B75">
        <f t="shared" si="1"/>
        <v>17</v>
      </c>
      <c r="C75" s="33" t="str">
        <f>IF(B75-'폭압 파라메터 산정'!$C$19&gt;0,B75-'폭압 파라메터 산정'!$C$19, IF(B75-'폭압 파라메터 산정'!$C$19&lt;-0.25,"none",0))</f>
        <v>none</v>
      </c>
      <c r="D75" s="32">
        <f>IF(B75-'폭압 파라메터 산정'!$C$19&gt;-0.25,'폭압 파라메터 산정'!$C$14*(1-Graph!C75/'폭압 파라메터 산정'!$C$20)*EXP(-Graph!$D$3*Graph!C75/'폭압 파라메터 산정'!$C$20),0)</f>
        <v>0</v>
      </c>
      <c r="E75" s="32">
        <f>IF(B75-'폭압 파라메터 산정'!$C$19&gt;-0.25,'폭압 파라메터 산정'!$C$16*(1-Graph!C75/'폭압 파라메터 산정'!$C$20)*EXP(-Graph!$D$3*Graph!C75/'폭압 파라메터 산정'!$C$20),0)</f>
        <v>0</v>
      </c>
      <c r="F75" s="34" t="str">
        <f>IF(B75-'폭압 파라메터 산정'!$E$19&gt;0,B75-'폭압 파라메터 산정'!$E$19, IF(B75-'폭압 파라메터 산정'!$E$19&lt;-0.25,"none",0))</f>
        <v>none</v>
      </c>
      <c r="G75" s="32">
        <f>IF(B75-'폭압 파라메터 산정'!$E$19&gt;-0.25,'폭압 파라메터 산정'!$E$14*(1-F75/'폭압 파라메터 산정'!$E$20)*EXP(-Graph!$D$3*F75/'폭압 파라메터 산정'!$E$20),0)</f>
        <v>0</v>
      </c>
      <c r="H75" s="32">
        <f>IF(B75-'폭압 파라메터 산정'!$E$19&gt;-0.25,'폭압 파라메터 산정'!$E$16*(1-F75/'폭압 파라메터 산정'!$E$20)*EXP(-Graph!$D$3*F75/'폭압 파라메터 산정'!$E$20),0)</f>
        <v>0</v>
      </c>
    </row>
    <row r="76" spans="2:8" x14ac:dyDescent="0.3">
      <c r="B76">
        <f t="shared" si="1"/>
        <v>17.25</v>
      </c>
      <c r="C76" s="33" t="str">
        <f>IF(B76-'폭압 파라메터 산정'!$C$19&gt;0,B76-'폭압 파라메터 산정'!$C$19, IF(B76-'폭압 파라메터 산정'!$C$19&lt;-0.25,"none",0))</f>
        <v>none</v>
      </c>
      <c r="D76" s="32">
        <f>IF(B76-'폭압 파라메터 산정'!$C$19&gt;-0.25,'폭압 파라메터 산정'!$C$14*(1-Graph!C76/'폭압 파라메터 산정'!$C$20)*EXP(-Graph!$D$3*Graph!C76/'폭압 파라메터 산정'!$C$20),0)</f>
        <v>0</v>
      </c>
      <c r="E76" s="32">
        <f>IF(B76-'폭압 파라메터 산정'!$C$19&gt;-0.25,'폭압 파라메터 산정'!$C$16*(1-Graph!C76/'폭압 파라메터 산정'!$C$20)*EXP(-Graph!$D$3*Graph!C76/'폭압 파라메터 산정'!$C$20),0)</f>
        <v>0</v>
      </c>
      <c r="F76" s="34" t="str">
        <f>IF(B76-'폭압 파라메터 산정'!$E$19&gt;0,B76-'폭압 파라메터 산정'!$E$19, IF(B76-'폭압 파라메터 산정'!$E$19&lt;-0.25,"none",0))</f>
        <v>none</v>
      </c>
      <c r="G76" s="32">
        <f>IF(B76-'폭압 파라메터 산정'!$E$19&gt;-0.25,'폭압 파라메터 산정'!$E$14*(1-F76/'폭압 파라메터 산정'!$E$20)*EXP(-Graph!$D$3*F76/'폭압 파라메터 산정'!$E$20),0)</f>
        <v>0</v>
      </c>
      <c r="H76" s="32">
        <f>IF(B76-'폭압 파라메터 산정'!$E$19&gt;-0.25,'폭압 파라메터 산정'!$E$16*(1-F76/'폭압 파라메터 산정'!$E$20)*EXP(-Graph!$D$3*F76/'폭압 파라메터 산정'!$E$20),0)</f>
        <v>0</v>
      </c>
    </row>
    <row r="77" spans="2:8" x14ac:dyDescent="0.3">
      <c r="B77">
        <f t="shared" si="1"/>
        <v>17.5</v>
      </c>
      <c r="C77" s="33" t="str">
        <f>IF(B77-'폭압 파라메터 산정'!$C$19&gt;0,B77-'폭압 파라메터 산정'!$C$19, IF(B77-'폭압 파라메터 산정'!$C$19&lt;-0.25,"none",0))</f>
        <v>none</v>
      </c>
      <c r="D77" s="32">
        <f>IF(B77-'폭압 파라메터 산정'!$C$19&gt;-0.25,'폭압 파라메터 산정'!$C$14*(1-Graph!C77/'폭압 파라메터 산정'!$C$20)*EXP(-Graph!$D$3*Graph!C77/'폭압 파라메터 산정'!$C$20),0)</f>
        <v>0</v>
      </c>
      <c r="E77" s="32">
        <f>IF(B77-'폭압 파라메터 산정'!$C$19&gt;-0.25,'폭압 파라메터 산정'!$C$16*(1-Graph!C77/'폭압 파라메터 산정'!$C$20)*EXP(-Graph!$D$3*Graph!C77/'폭압 파라메터 산정'!$C$20),0)</f>
        <v>0</v>
      </c>
      <c r="F77" s="34" t="str">
        <f>IF(B77-'폭압 파라메터 산정'!$E$19&gt;0,B77-'폭압 파라메터 산정'!$E$19, IF(B77-'폭압 파라메터 산정'!$E$19&lt;-0.25,"none",0))</f>
        <v>none</v>
      </c>
      <c r="G77" s="32">
        <f>IF(B77-'폭압 파라메터 산정'!$E$19&gt;-0.25,'폭압 파라메터 산정'!$E$14*(1-F77/'폭압 파라메터 산정'!$E$20)*EXP(-Graph!$D$3*F77/'폭압 파라메터 산정'!$E$20),0)</f>
        <v>0</v>
      </c>
      <c r="H77" s="32">
        <f>IF(B77-'폭압 파라메터 산정'!$E$19&gt;-0.25,'폭압 파라메터 산정'!$E$16*(1-F77/'폭압 파라메터 산정'!$E$20)*EXP(-Graph!$D$3*F77/'폭압 파라메터 산정'!$E$20),0)</f>
        <v>0</v>
      </c>
    </row>
    <row r="78" spans="2:8" x14ac:dyDescent="0.3">
      <c r="B78">
        <f t="shared" si="1"/>
        <v>17.75</v>
      </c>
      <c r="C78" s="33" t="str">
        <f>IF(B78-'폭압 파라메터 산정'!$C$19&gt;0,B78-'폭압 파라메터 산정'!$C$19, IF(B78-'폭압 파라메터 산정'!$C$19&lt;-0.25,"none",0))</f>
        <v>none</v>
      </c>
      <c r="D78" s="32">
        <f>IF(B78-'폭압 파라메터 산정'!$C$19&gt;-0.25,'폭압 파라메터 산정'!$C$14*(1-Graph!C78/'폭압 파라메터 산정'!$C$20)*EXP(-Graph!$D$3*Graph!C78/'폭압 파라메터 산정'!$C$20),0)</f>
        <v>0</v>
      </c>
      <c r="E78" s="32">
        <f>IF(B78-'폭압 파라메터 산정'!$C$19&gt;-0.25,'폭압 파라메터 산정'!$C$16*(1-Graph!C78/'폭압 파라메터 산정'!$C$20)*EXP(-Graph!$D$3*Graph!C78/'폭압 파라메터 산정'!$C$20),0)</f>
        <v>0</v>
      </c>
      <c r="F78" s="34" t="str">
        <f>IF(B78-'폭압 파라메터 산정'!$E$19&gt;0,B78-'폭압 파라메터 산정'!$E$19, IF(B78-'폭압 파라메터 산정'!$E$19&lt;-0.25,"none",0))</f>
        <v>none</v>
      </c>
      <c r="G78" s="32">
        <f>IF(B78-'폭압 파라메터 산정'!$E$19&gt;-0.25,'폭압 파라메터 산정'!$E$14*(1-F78/'폭압 파라메터 산정'!$E$20)*EXP(-Graph!$D$3*F78/'폭압 파라메터 산정'!$E$20),0)</f>
        <v>0</v>
      </c>
      <c r="H78" s="32">
        <f>IF(B78-'폭압 파라메터 산정'!$E$19&gt;-0.25,'폭압 파라메터 산정'!$E$16*(1-F78/'폭압 파라메터 산정'!$E$20)*EXP(-Graph!$D$3*F78/'폭압 파라메터 산정'!$E$20),0)</f>
        <v>0</v>
      </c>
    </row>
    <row r="79" spans="2:8" x14ac:dyDescent="0.3">
      <c r="B79">
        <f t="shared" si="1"/>
        <v>18</v>
      </c>
      <c r="C79" s="33" t="str">
        <f>IF(B79-'폭압 파라메터 산정'!$C$19&gt;0,B79-'폭압 파라메터 산정'!$C$19, IF(B79-'폭압 파라메터 산정'!$C$19&lt;-0.25,"none",0))</f>
        <v>none</v>
      </c>
      <c r="D79" s="32">
        <f>IF(B79-'폭압 파라메터 산정'!$C$19&gt;-0.25,'폭압 파라메터 산정'!$C$14*(1-Graph!C79/'폭압 파라메터 산정'!$C$20)*EXP(-Graph!$D$3*Graph!C79/'폭압 파라메터 산정'!$C$20),0)</f>
        <v>0</v>
      </c>
      <c r="E79" s="32">
        <f>IF(B79-'폭압 파라메터 산정'!$C$19&gt;-0.25,'폭압 파라메터 산정'!$C$16*(1-Graph!C79/'폭압 파라메터 산정'!$C$20)*EXP(-Graph!$D$3*Graph!C79/'폭압 파라메터 산정'!$C$20),0)</f>
        <v>0</v>
      </c>
      <c r="F79" s="34" t="str">
        <f>IF(B79-'폭압 파라메터 산정'!$E$19&gt;0,B79-'폭압 파라메터 산정'!$E$19, IF(B79-'폭압 파라메터 산정'!$E$19&lt;-0.25,"none",0))</f>
        <v>none</v>
      </c>
      <c r="G79" s="32">
        <f>IF(B79-'폭압 파라메터 산정'!$E$19&gt;-0.25,'폭압 파라메터 산정'!$E$14*(1-F79/'폭압 파라메터 산정'!$E$20)*EXP(-Graph!$D$3*F79/'폭압 파라메터 산정'!$E$20),0)</f>
        <v>0</v>
      </c>
      <c r="H79" s="32">
        <f>IF(B79-'폭압 파라메터 산정'!$E$19&gt;-0.25,'폭압 파라메터 산정'!$E$16*(1-F79/'폭압 파라메터 산정'!$E$20)*EXP(-Graph!$D$3*F79/'폭압 파라메터 산정'!$E$20),0)</f>
        <v>0</v>
      </c>
    </row>
    <row r="80" spans="2:8" x14ac:dyDescent="0.3">
      <c r="B80">
        <f t="shared" si="1"/>
        <v>18.25</v>
      </c>
      <c r="C80" s="33" t="str">
        <f>IF(B80-'폭압 파라메터 산정'!$C$19&gt;0,B80-'폭압 파라메터 산정'!$C$19, IF(B80-'폭압 파라메터 산정'!$C$19&lt;-0.25,"none",0))</f>
        <v>none</v>
      </c>
      <c r="D80" s="32">
        <f>IF(B80-'폭압 파라메터 산정'!$C$19&gt;-0.25,'폭압 파라메터 산정'!$C$14*(1-Graph!C80/'폭압 파라메터 산정'!$C$20)*EXP(-Graph!$D$3*Graph!C80/'폭압 파라메터 산정'!$C$20),0)</f>
        <v>0</v>
      </c>
      <c r="E80" s="32">
        <f>IF(B80-'폭압 파라메터 산정'!$C$19&gt;-0.25,'폭압 파라메터 산정'!$C$16*(1-Graph!C80/'폭압 파라메터 산정'!$C$20)*EXP(-Graph!$D$3*Graph!C80/'폭압 파라메터 산정'!$C$20),0)</f>
        <v>0</v>
      </c>
      <c r="F80" s="34" t="str">
        <f>IF(B80-'폭압 파라메터 산정'!$E$19&gt;0,B80-'폭압 파라메터 산정'!$E$19, IF(B80-'폭압 파라메터 산정'!$E$19&lt;-0.25,"none",0))</f>
        <v>none</v>
      </c>
      <c r="G80" s="32">
        <f>IF(B80-'폭압 파라메터 산정'!$E$19&gt;-0.25,'폭압 파라메터 산정'!$E$14*(1-F80/'폭압 파라메터 산정'!$E$20)*EXP(-Graph!$D$3*F80/'폭압 파라메터 산정'!$E$20),0)</f>
        <v>0</v>
      </c>
      <c r="H80" s="32">
        <f>IF(B80-'폭압 파라메터 산정'!$E$19&gt;-0.25,'폭압 파라메터 산정'!$E$16*(1-F80/'폭압 파라메터 산정'!$E$20)*EXP(-Graph!$D$3*F80/'폭압 파라메터 산정'!$E$20),0)</f>
        <v>0</v>
      </c>
    </row>
    <row r="81" spans="2:8" x14ac:dyDescent="0.3">
      <c r="B81">
        <f t="shared" si="1"/>
        <v>18.5</v>
      </c>
      <c r="C81" s="33" t="str">
        <f>IF(B81-'폭압 파라메터 산정'!$C$19&gt;0,B81-'폭압 파라메터 산정'!$C$19, IF(B81-'폭압 파라메터 산정'!$C$19&lt;-0.25,"none",0))</f>
        <v>none</v>
      </c>
      <c r="D81" s="32">
        <f>IF(B81-'폭압 파라메터 산정'!$C$19&gt;-0.25,'폭압 파라메터 산정'!$C$14*(1-Graph!C81/'폭압 파라메터 산정'!$C$20)*EXP(-Graph!$D$3*Graph!C81/'폭압 파라메터 산정'!$C$20),0)</f>
        <v>0</v>
      </c>
      <c r="E81" s="32">
        <f>IF(B81-'폭압 파라메터 산정'!$C$19&gt;-0.25,'폭압 파라메터 산정'!$C$16*(1-Graph!C81/'폭압 파라메터 산정'!$C$20)*EXP(-Graph!$D$3*Graph!C81/'폭압 파라메터 산정'!$C$20),0)</f>
        <v>0</v>
      </c>
      <c r="F81" s="34" t="str">
        <f>IF(B81-'폭압 파라메터 산정'!$E$19&gt;0,B81-'폭압 파라메터 산정'!$E$19, IF(B81-'폭압 파라메터 산정'!$E$19&lt;-0.25,"none",0))</f>
        <v>none</v>
      </c>
      <c r="G81" s="32">
        <f>IF(B81-'폭압 파라메터 산정'!$E$19&gt;-0.25,'폭압 파라메터 산정'!$E$14*(1-F81/'폭압 파라메터 산정'!$E$20)*EXP(-Graph!$D$3*F81/'폭압 파라메터 산정'!$E$20),0)</f>
        <v>0</v>
      </c>
      <c r="H81" s="32">
        <f>IF(B81-'폭압 파라메터 산정'!$E$19&gt;-0.25,'폭압 파라메터 산정'!$E$16*(1-F81/'폭압 파라메터 산정'!$E$20)*EXP(-Graph!$D$3*F81/'폭압 파라메터 산정'!$E$20),0)</f>
        <v>0</v>
      </c>
    </row>
    <row r="82" spans="2:8" x14ac:dyDescent="0.3">
      <c r="B82">
        <f t="shared" si="1"/>
        <v>18.75</v>
      </c>
      <c r="C82" s="33" t="str">
        <f>IF(B82-'폭압 파라메터 산정'!$C$19&gt;0,B82-'폭압 파라메터 산정'!$C$19, IF(B82-'폭압 파라메터 산정'!$C$19&lt;-0.25,"none",0))</f>
        <v>none</v>
      </c>
      <c r="D82" s="32">
        <f>IF(B82-'폭압 파라메터 산정'!$C$19&gt;-0.25,'폭압 파라메터 산정'!$C$14*(1-Graph!C82/'폭압 파라메터 산정'!$C$20)*EXP(-Graph!$D$3*Graph!C82/'폭압 파라메터 산정'!$C$20),0)</f>
        <v>0</v>
      </c>
      <c r="E82" s="32">
        <f>IF(B82-'폭압 파라메터 산정'!$C$19&gt;-0.25,'폭압 파라메터 산정'!$C$16*(1-Graph!C82/'폭압 파라메터 산정'!$C$20)*EXP(-Graph!$D$3*Graph!C82/'폭압 파라메터 산정'!$C$20),0)</f>
        <v>0</v>
      </c>
      <c r="F82" s="34" t="str">
        <f>IF(B82-'폭압 파라메터 산정'!$E$19&gt;0,B82-'폭압 파라메터 산정'!$E$19, IF(B82-'폭압 파라메터 산정'!$E$19&lt;-0.25,"none",0))</f>
        <v>none</v>
      </c>
      <c r="G82" s="32">
        <f>IF(B82-'폭압 파라메터 산정'!$E$19&gt;-0.25,'폭압 파라메터 산정'!$E$14*(1-F82/'폭압 파라메터 산정'!$E$20)*EXP(-Graph!$D$3*F82/'폭압 파라메터 산정'!$E$20),0)</f>
        <v>0</v>
      </c>
      <c r="H82" s="32">
        <f>IF(B82-'폭압 파라메터 산정'!$E$19&gt;-0.25,'폭압 파라메터 산정'!$E$16*(1-F82/'폭압 파라메터 산정'!$E$20)*EXP(-Graph!$D$3*F82/'폭압 파라메터 산정'!$E$20),0)</f>
        <v>0</v>
      </c>
    </row>
    <row r="83" spans="2:8" x14ac:dyDescent="0.3">
      <c r="B83">
        <f t="shared" si="1"/>
        <v>19</v>
      </c>
      <c r="C83" s="33" t="str">
        <f>IF(B83-'폭압 파라메터 산정'!$C$19&gt;0,B83-'폭압 파라메터 산정'!$C$19, IF(B83-'폭압 파라메터 산정'!$C$19&lt;-0.25,"none",0))</f>
        <v>none</v>
      </c>
      <c r="D83" s="32">
        <f>IF(B83-'폭압 파라메터 산정'!$C$19&gt;-0.25,'폭압 파라메터 산정'!$C$14*(1-Graph!C83/'폭압 파라메터 산정'!$C$20)*EXP(-Graph!$D$3*Graph!C83/'폭압 파라메터 산정'!$C$20),0)</f>
        <v>0</v>
      </c>
      <c r="E83" s="32">
        <f>IF(B83-'폭압 파라메터 산정'!$C$19&gt;-0.25,'폭압 파라메터 산정'!$C$16*(1-Graph!C83/'폭압 파라메터 산정'!$C$20)*EXP(-Graph!$D$3*Graph!C83/'폭압 파라메터 산정'!$C$20),0)</f>
        <v>0</v>
      </c>
      <c r="F83" s="34" t="str">
        <f>IF(B83-'폭압 파라메터 산정'!$E$19&gt;0,B83-'폭압 파라메터 산정'!$E$19, IF(B83-'폭압 파라메터 산정'!$E$19&lt;-0.25,"none",0))</f>
        <v>none</v>
      </c>
      <c r="G83" s="32">
        <f>IF(B83-'폭압 파라메터 산정'!$E$19&gt;-0.25,'폭압 파라메터 산정'!$E$14*(1-F83/'폭압 파라메터 산정'!$E$20)*EXP(-Graph!$D$3*F83/'폭압 파라메터 산정'!$E$20),0)</f>
        <v>0</v>
      </c>
      <c r="H83" s="32">
        <f>IF(B83-'폭압 파라메터 산정'!$E$19&gt;-0.25,'폭압 파라메터 산정'!$E$16*(1-F83/'폭압 파라메터 산정'!$E$20)*EXP(-Graph!$D$3*F83/'폭압 파라메터 산정'!$E$20),0)</f>
        <v>0</v>
      </c>
    </row>
    <row r="84" spans="2:8" x14ac:dyDescent="0.3">
      <c r="B84">
        <f t="shared" si="1"/>
        <v>19.25</v>
      </c>
      <c r="C84" s="33" t="str">
        <f>IF(B84-'폭압 파라메터 산정'!$C$19&gt;0,B84-'폭압 파라메터 산정'!$C$19, IF(B84-'폭압 파라메터 산정'!$C$19&lt;-0.25,"none",0))</f>
        <v>none</v>
      </c>
      <c r="D84" s="32">
        <f>IF(B84-'폭압 파라메터 산정'!$C$19&gt;-0.25,'폭압 파라메터 산정'!$C$14*(1-Graph!C84/'폭압 파라메터 산정'!$C$20)*EXP(-Graph!$D$3*Graph!C84/'폭압 파라메터 산정'!$C$20),0)</f>
        <v>0</v>
      </c>
      <c r="E84" s="32">
        <f>IF(B84-'폭압 파라메터 산정'!$C$19&gt;-0.25,'폭압 파라메터 산정'!$C$16*(1-Graph!C84/'폭압 파라메터 산정'!$C$20)*EXP(-Graph!$D$3*Graph!C84/'폭압 파라메터 산정'!$C$20),0)</f>
        <v>0</v>
      </c>
      <c r="F84" s="34" t="str">
        <f>IF(B84-'폭압 파라메터 산정'!$E$19&gt;0,B84-'폭압 파라메터 산정'!$E$19, IF(B84-'폭압 파라메터 산정'!$E$19&lt;-0.25,"none",0))</f>
        <v>none</v>
      </c>
      <c r="G84" s="32">
        <f>IF(B84-'폭압 파라메터 산정'!$E$19&gt;-0.25,'폭압 파라메터 산정'!$E$14*(1-F84/'폭압 파라메터 산정'!$E$20)*EXP(-Graph!$D$3*F84/'폭압 파라메터 산정'!$E$20),0)</f>
        <v>0</v>
      </c>
      <c r="H84" s="32">
        <f>IF(B84-'폭압 파라메터 산정'!$E$19&gt;-0.25,'폭압 파라메터 산정'!$E$16*(1-F84/'폭압 파라메터 산정'!$E$20)*EXP(-Graph!$D$3*F84/'폭압 파라메터 산정'!$E$20),0)</f>
        <v>0</v>
      </c>
    </row>
    <row r="85" spans="2:8" x14ac:dyDescent="0.3">
      <c r="B85">
        <f t="shared" si="1"/>
        <v>19.5</v>
      </c>
      <c r="C85" s="33" t="str">
        <f>IF(B85-'폭압 파라메터 산정'!$C$19&gt;0,B85-'폭압 파라메터 산정'!$C$19, IF(B85-'폭압 파라메터 산정'!$C$19&lt;-0.25,"none",0))</f>
        <v>none</v>
      </c>
      <c r="D85" s="32">
        <f>IF(B85-'폭압 파라메터 산정'!$C$19&gt;-0.25,'폭압 파라메터 산정'!$C$14*(1-Graph!C85/'폭압 파라메터 산정'!$C$20)*EXP(-Graph!$D$3*Graph!C85/'폭압 파라메터 산정'!$C$20),0)</f>
        <v>0</v>
      </c>
      <c r="E85" s="32">
        <f>IF(B85-'폭압 파라메터 산정'!$C$19&gt;-0.25,'폭압 파라메터 산정'!$C$16*(1-Graph!C85/'폭압 파라메터 산정'!$C$20)*EXP(-Graph!$D$3*Graph!C85/'폭압 파라메터 산정'!$C$20),0)</f>
        <v>0</v>
      </c>
      <c r="F85" s="34" t="str">
        <f>IF(B85-'폭압 파라메터 산정'!$E$19&gt;0,B85-'폭압 파라메터 산정'!$E$19, IF(B85-'폭압 파라메터 산정'!$E$19&lt;-0.25,"none",0))</f>
        <v>none</v>
      </c>
      <c r="G85" s="32">
        <f>IF(B85-'폭압 파라메터 산정'!$E$19&gt;-0.25,'폭압 파라메터 산정'!$E$14*(1-F85/'폭압 파라메터 산정'!$E$20)*EXP(-Graph!$D$3*F85/'폭압 파라메터 산정'!$E$20),0)</f>
        <v>0</v>
      </c>
      <c r="H85" s="32">
        <f>IF(B85-'폭압 파라메터 산정'!$E$19&gt;-0.25,'폭압 파라메터 산정'!$E$16*(1-F85/'폭압 파라메터 산정'!$E$20)*EXP(-Graph!$D$3*F85/'폭압 파라메터 산정'!$E$20),0)</f>
        <v>0</v>
      </c>
    </row>
    <row r="86" spans="2:8" x14ac:dyDescent="0.3">
      <c r="B86">
        <f t="shared" si="1"/>
        <v>19.75</v>
      </c>
      <c r="C86" s="33" t="str">
        <f>IF(B86-'폭압 파라메터 산정'!$C$19&gt;0,B86-'폭압 파라메터 산정'!$C$19, IF(B86-'폭압 파라메터 산정'!$C$19&lt;-0.25,"none",0))</f>
        <v>none</v>
      </c>
      <c r="D86" s="32">
        <f>IF(B86-'폭압 파라메터 산정'!$C$19&gt;-0.25,'폭압 파라메터 산정'!$C$14*(1-Graph!C86/'폭압 파라메터 산정'!$C$20)*EXP(-Graph!$D$3*Graph!C86/'폭압 파라메터 산정'!$C$20),0)</f>
        <v>0</v>
      </c>
      <c r="E86" s="32">
        <f>IF(B86-'폭압 파라메터 산정'!$C$19&gt;-0.25,'폭압 파라메터 산정'!$C$16*(1-Graph!C86/'폭압 파라메터 산정'!$C$20)*EXP(-Graph!$D$3*Graph!C86/'폭압 파라메터 산정'!$C$20),0)</f>
        <v>0</v>
      </c>
      <c r="F86" s="34" t="str">
        <f>IF(B86-'폭압 파라메터 산정'!$E$19&gt;0,B86-'폭압 파라메터 산정'!$E$19, IF(B86-'폭압 파라메터 산정'!$E$19&lt;-0.25,"none",0))</f>
        <v>none</v>
      </c>
      <c r="G86" s="32">
        <f>IF(B86-'폭압 파라메터 산정'!$E$19&gt;-0.25,'폭압 파라메터 산정'!$E$14*(1-F86/'폭압 파라메터 산정'!$E$20)*EXP(-Graph!$D$3*F86/'폭압 파라메터 산정'!$E$20),0)</f>
        <v>0</v>
      </c>
      <c r="H86" s="32">
        <f>IF(B86-'폭압 파라메터 산정'!$E$19&gt;-0.25,'폭압 파라메터 산정'!$E$16*(1-F86/'폭압 파라메터 산정'!$E$20)*EXP(-Graph!$D$3*F86/'폭압 파라메터 산정'!$E$20),0)</f>
        <v>0</v>
      </c>
    </row>
    <row r="87" spans="2:8" x14ac:dyDescent="0.3">
      <c r="B87">
        <f t="shared" si="1"/>
        <v>20</v>
      </c>
      <c r="C87" s="33" t="str">
        <f>IF(B87-'폭압 파라메터 산정'!$C$19&gt;0,B87-'폭압 파라메터 산정'!$C$19, IF(B87-'폭압 파라메터 산정'!$C$19&lt;-0.25,"none",0))</f>
        <v>none</v>
      </c>
      <c r="D87" s="32">
        <f>IF(B87-'폭압 파라메터 산정'!$C$19&gt;-0.25,'폭압 파라메터 산정'!$C$14*(1-Graph!C87/'폭압 파라메터 산정'!$C$20)*EXP(-Graph!$D$3*Graph!C87/'폭압 파라메터 산정'!$C$20),0)</f>
        <v>0</v>
      </c>
      <c r="E87" s="32">
        <f>IF(B87-'폭압 파라메터 산정'!$C$19&gt;-0.25,'폭압 파라메터 산정'!$C$16*(1-Graph!C87/'폭압 파라메터 산정'!$C$20)*EXP(-Graph!$D$3*Graph!C87/'폭압 파라메터 산정'!$C$20),0)</f>
        <v>0</v>
      </c>
      <c r="F87" s="34" t="str">
        <f>IF(B87-'폭압 파라메터 산정'!$E$19&gt;0,B87-'폭압 파라메터 산정'!$E$19, IF(B87-'폭압 파라메터 산정'!$E$19&lt;-0.25,"none",0))</f>
        <v>none</v>
      </c>
      <c r="G87" s="32">
        <f>IF(B87-'폭압 파라메터 산정'!$E$19&gt;-0.25,'폭압 파라메터 산정'!$E$14*(1-F87/'폭압 파라메터 산정'!$E$20)*EXP(-Graph!$D$3*F87/'폭압 파라메터 산정'!$E$20),0)</f>
        <v>0</v>
      </c>
      <c r="H87" s="32">
        <f>IF(B87-'폭압 파라메터 산정'!$E$19&gt;-0.25,'폭압 파라메터 산정'!$E$16*(1-F87/'폭압 파라메터 산정'!$E$20)*EXP(-Graph!$D$3*F87/'폭압 파라메터 산정'!$E$20),0)</f>
        <v>0</v>
      </c>
    </row>
    <row r="88" spans="2:8" x14ac:dyDescent="0.3">
      <c r="B88">
        <f t="shared" si="1"/>
        <v>20.25</v>
      </c>
      <c r="C88" s="33" t="str">
        <f>IF(B88-'폭압 파라메터 산정'!$C$19&gt;0,B88-'폭압 파라메터 산정'!$C$19, IF(B88-'폭압 파라메터 산정'!$C$19&lt;-0.25,"none",0))</f>
        <v>none</v>
      </c>
      <c r="D88" s="32">
        <f>IF(B88-'폭압 파라메터 산정'!$C$19&gt;-0.25,'폭압 파라메터 산정'!$C$14*(1-Graph!C88/'폭압 파라메터 산정'!$C$20)*EXP(-Graph!$D$3*Graph!C88/'폭압 파라메터 산정'!$C$20),0)</f>
        <v>0</v>
      </c>
      <c r="E88" s="32">
        <f>IF(B88-'폭압 파라메터 산정'!$C$19&gt;-0.25,'폭압 파라메터 산정'!$C$16*(1-Graph!C88/'폭압 파라메터 산정'!$C$20)*EXP(-Graph!$D$3*Graph!C88/'폭압 파라메터 산정'!$C$20),0)</f>
        <v>0</v>
      </c>
      <c r="F88" s="34" t="str">
        <f>IF(B88-'폭압 파라메터 산정'!$E$19&gt;0,B88-'폭압 파라메터 산정'!$E$19, IF(B88-'폭압 파라메터 산정'!$E$19&lt;-0.25,"none",0))</f>
        <v>none</v>
      </c>
      <c r="G88" s="32">
        <f>IF(B88-'폭압 파라메터 산정'!$E$19&gt;-0.25,'폭압 파라메터 산정'!$E$14*(1-F88/'폭압 파라메터 산정'!$E$20)*EXP(-Graph!$D$3*F88/'폭압 파라메터 산정'!$E$20),0)</f>
        <v>0</v>
      </c>
      <c r="H88" s="32">
        <f>IF(B88-'폭압 파라메터 산정'!$E$19&gt;-0.25,'폭압 파라메터 산정'!$E$16*(1-F88/'폭압 파라메터 산정'!$E$20)*EXP(-Graph!$D$3*F88/'폭압 파라메터 산정'!$E$20),0)</f>
        <v>0</v>
      </c>
    </row>
    <row r="89" spans="2:8" x14ac:dyDescent="0.3">
      <c r="B89">
        <f t="shared" si="1"/>
        <v>20.5</v>
      </c>
      <c r="C89" s="33" t="str">
        <f>IF(B89-'폭압 파라메터 산정'!$C$19&gt;0,B89-'폭압 파라메터 산정'!$C$19, IF(B89-'폭압 파라메터 산정'!$C$19&lt;-0.25,"none",0))</f>
        <v>none</v>
      </c>
      <c r="D89" s="32">
        <f>IF(B89-'폭압 파라메터 산정'!$C$19&gt;-0.25,'폭압 파라메터 산정'!$C$14*(1-Graph!C89/'폭압 파라메터 산정'!$C$20)*EXP(-Graph!$D$3*Graph!C89/'폭압 파라메터 산정'!$C$20),0)</f>
        <v>0</v>
      </c>
      <c r="E89" s="32">
        <f>IF(B89-'폭압 파라메터 산정'!$C$19&gt;-0.25,'폭압 파라메터 산정'!$C$16*(1-Graph!C89/'폭압 파라메터 산정'!$C$20)*EXP(-Graph!$D$3*Graph!C89/'폭압 파라메터 산정'!$C$20),0)</f>
        <v>0</v>
      </c>
      <c r="F89" s="34" t="str">
        <f>IF(B89-'폭압 파라메터 산정'!$E$19&gt;0,B89-'폭압 파라메터 산정'!$E$19, IF(B89-'폭압 파라메터 산정'!$E$19&lt;-0.25,"none",0))</f>
        <v>none</v>
      </c>
      <c r="G89" s="32">
        <f>IF(B89-'폭압 파라메터 산정'!$E$19&gt;-0.25,'폭압 파라메터 산정'!$E$14*(1-F89/'폭압 파라메터 산정'!$E$20)*EXP(-Graph!$D$3*F89/'폭압 파라메터 산정'!$E$20),0)</f>
        <v>0</v>
      </c>
      <c r="H89" s="32">
        <f>IF(B89-'폭압 파라메터 산정'!$E$19&gt;-0.25,'폭압 파라메터 산정'!$E$16*(1-F89/'폭압 파라메터 산정'!$E$20)*EXP(-Graph!$D$3*F89/'폭압 파라메터 산정'!$E$20),0)</f>
        <v>0</v>
      </c>
    </row>
    <row r="90" spans="2:8" x14ac:dyDescent="0.3">
      <c r="B90">
        <f t="shared" si="1"/>
        <v>20.75</v>
      </c>
      <c r="C90" s="33" t="str">
        <f>IF(B90-'폭압 파라메터 산정'!$C$19&gt;0,B90-'폭압 파라메터 산정'!$C$19, IF(B90-'폭압 파라메터 산정'!$C$19&lt;-0.25,"none",0))</f>
        <v>none</v>
      </c>
      <c r="D90" s="32">
        <f>IF(B90-'폭압 파라메터 산정'!$C$19&gt;-0.25,'폭압 파라메터 산정'!$C$14*(1-Graph!C90/'폭압 파라메터 산정'!$C$20)*EXP(-Graph!$D$3*Graph!C90/'폭압 파라메터 산정'!$C$20),0)</f>
        <v>0</v>
      </c>
      <c r="E90" s="32">
        <f>IF(B90-'폭압 파라메터 산정'!$C$19&gt;-0.25,'폭압 파라메터 산정'!$C$16*(1-Graph!C90/'폭압 파라메터 산정'!$C$20)*EXP(-Graph!$D$3*Graph!C90/'폭압 파라메터 산정'!$C$20),0)</f>
        <v>0</v>
      </c>
      <c r="F90" s="34" t="str">
        <f>IF(B90-'폭압 파라메터 산정'!$E$19&gt;0,B90-'폭압 파라메터 산정'!$E$19, IF(B90-'폭압 파라메터 산정'!$E$19&lt;-0.25,"none",0))</f>
        <v>none</v>
      </c>
      <c r="G90" s="32">
        <f>IF(B90-'폭압 파라메터 산정'!$E$19&gt;-0.25,'폭압 파라메터 산정'!$E$14*(1-F90/'폭압 파라메터 산정'!$E$20)*EXP(-Graph!$D$3*F90/'폭압 파라메터 산정'!$E$20),0)</f>
        <v>0</v>
      </c>
      <c r="H90" s="32">
        <f>IF(B90-'폭압 파라메터 산정'!$E$19&gt;-0.25,'폭압 파라메터 산정'!$E$16*(1-F90/'폭압 파라메터 산정'!$E$20)*EXP(-Graph!$D$3*F90/'폭압 파라메터 산정'!$E$20),0)</f>
        <v>0</v>
      </c>
    </row>
    <row r="91" spans="2:8" x14ac:dyDescent="0.3">
      <c r="B91">
        <f t="shared" si="1"/>
        <v>21</v>
      </c>
      <c r="C91" s="33" t="str">
        <f>IF(B91-'폭압 파라메터 산정'!$C$19&gt;0,B91-'폭압 파라메터 산정'!$C$19, IF(B91-'폭압 파라메터 산정'!$C$19&lt;-0.25,"none",0))</f>
        <v>none</v>
      </c>
      <c r="D91" s="32">
        <f>IF(B91-'폭압 파라메터 산정'!$C$19&gt;-0.25,'폭압 파라메터 산정'!$C$14*(1-Graph!C91/'폭압 파라메터 산정'!$C$20)*EXP(-Graph!$D$3*Graph!C91/'폭압 파라메터 산정'!$C$20),0)</f>
        <v>0</v>
      </c>
      <c r="E91" s="32">
        <f>IF(B91-'폭압 파라메터 산정'!$C$19&gt;-0.25,'폭압 파라메터 산정'!$C$16*(1-Graph!C91/'폭압 파라메터 산정'!$C$20)*EXP(-Graph!$D$3*Graph!C91/'폭압 파라메터 산정'!$C$20),0)</f>
        <v>0</v>
      </c>
      <c r="F91" s="34" t="str">
        <f>IF(B91-'폭압 파라메터 산정'!$E$19&gt;0,B91-'폭압 파라메터 산정'!$E$19, IF(B91-'폭압 파라메터 산정'!$E$19&lt;-0.25,"none",0))</f>
        <v>none</v>
      </c>
      <c r="G91" s="32">
        <f>IF(B91-'폭압 파라메터 산정'!$E$19&gt;-0.25,'폭압 파라메터 산정'!$E$14*(1-F91/'폭압 파라메터 산정'!$E$20)*EXP(-Graph!$D$3*F91/'폭압 파라메터 산정'!$E$20),0)</f>
        <v>0</v>
      </c>
      <c r="H91" s="32">
        <f>IF(B91-'폭압 파라메터 산정'!$E$19&gt;-0.25,'폭압 파라메터 산정'!$E$16*(1-F91/'폭압 파라메터 산정'!$E$20)*EXP(-Graph!$D$3*F91/'폭압 파라메터 산정'!$E$20),0)</f>
        <v>0</v>
      </c>
    </row>
    <row r="92" spans="2:8" x14ac:dyDescent="0.3">
      <c r="B92">
        <f t="shared" si="1"/>
        <v>21.25</v>
      </c>
      <c r="C92" s="33" t="str">
        <f>IF(B92-'폭압 파라메터 산정'!$C$19&gt;0,B92-'폭압 파라메터 산정'!$C$19, IF(B92-'폭압 파라메터 산정'!$C$19&lt;-0.25,"none",0))</f>
        <v>none</v>
      </c>
      <c r="D92" s="32">
        <f>IF(B92-'폭압 파라메터 산정'!$C$19&gt;-0.25,'폭압 파라메터 산정'!$C$14*(1-Graph!C92/'폭압 파라메터 산정'!$C$20)*EXP(-Graph!$D$3*Graph!C92/'폭압 파라메터 산정'!$C$20),0)</f>
        <v>0</v>
      </c>
      <c r="E92" s="32">
        <f>IF(B92-'폭압 파라메터 산정'!$C$19&gt;-0.25,'폭압 파라메터 산정'!$C$16*(1-Graph!C92/'폭압 파라메터 산정'!$C$20)*EXP(-Graph!$D$3*Graph!C92/'폭압 파라메터 산정'!$C$20),0)</f>
        <v>0</v>
      </c>
      <c r="F92" s="34" t="str">
        <f>IF(B92-'폭압 파라메터 산정'!$E$19&gt;0,B92-'폭압 파라메터 산정'!$E$19, IF(B92-'폭압 파라메터 산정'!$E$19&lt;-0.25,"none",0))</f>
        <v>none</v>
      </c>
      <c r="G92" s="32">
        <f>IF(B92-'폭압 파라메터 산정'!$E$19&gt;-0.25,'폭압 파라메터 산정'!$E$14*(1-F92/'폭압 파라메터 산정'!$E$20)*EXP(-Graph!$D$3*F92/'폭압 파라메터 산정'!$E$20),0)</f>
        <v>0</v>
      </c>
      <c r="H92" s="32">
        <f>IF(B92-'폭압 파라메터 산정'!$E$19&gt;-0.25,'폭압 파라메터 산정'!$E$16*(1-F92/'폭압 파라메터 산정'!$E$20)*EXP(-Graph!$D$3*F92/'폭압 파라메터 산정'!$E$20),0)</f>
        <v>0</v>
      </c>
    </row>
    <row r="93" spans="2:8" x14ac:dyDescent="0.3">
      <c r="B93">
        <f t="shared" si="1"/>
        <v>21.5</v>
      </c>
      <c r="C93" s="33" t="str">
        <f>IF(B93-'폭압 파라메터 산정'!$C$19&gt;0,B93-'폭압 파라메터 산정'!$C$19, IF(B93-'폭압 파라메터 산정'!$C$19&lt;-0.25,"none",0))</f>
        <v>none</v>
      </c>
      <c r="D93" s="32">
        <f>IF(B93-'폭압 파라메터 산정'!$C$19&gt;-0.25,'폭압 파라메터 산정'!$C$14*(1-Graph!C93/'폭압 파라메터 산정'!$C$20)*EXP(-Graph!$D$3*Graph!C93/'폭압 파라메터 산정'!$C$20),0)</f>
        <v>0</v>
      </c>
      <c r="E93" s="32">
        <f>IF(B93-'폭압 파라메터 산정'!$C$19&gt;-0.25,'폭압 파라메터 산정'!$C$16*(1-Graph!C93/'폭압 파라메터 산정'!$C$20)*EXP(-Graph!$D$3*Graph!C93/'폭압 파라메터 산정'!$C$20),0)</f>
        <v>0</v>
      </c>
      <c r="F93" s="34" t="str">
        <f>IF(B93-'폭압 파라메터 산정'!$E$19&gt;0,B93-'폭압 파라메터 산정'!$E$19, IF(B93-'폭압 파라메터 산정'!$E$19&lt;-0.25,"none",0))</f>
        <v>none</v>
      </c>
      <c r="G93" s="32">
        <f>IF(B93-'폭압 파라메터 산정'!$E$19&gt;-0.25,'폭압 파라메터 산정'!$E$14*(1-F93/'폭압 파라메터 산정'!$E$20)*EXP(-Graph!$D$3*F93/'폭압 파라메터 산정'!$E$20),0)</f>
        <v>0</v>
      </c>
      <c r="H93" s="32">
        <f>IF(B93-'폭압 파라메터 산정'!$E$19&gt;-0.25,'폭압 파라메터 산정'!$E$16*(1-F93/'폭압 파라메터 산정'!$E$20)*EXP(-Graph!$D$3*F93/'폭압 파라메터 산정'!$E$20),0)</f>
        <v>0</v>
      </c>
    </row>
    <row r="94" spans="2:8" x14ac:dyDescent="0.3">
      <c r="B94">
        <f t="shared" si="1"/>
        <v>21.75</v>
      </c>
      <c r="C94" s="33" t="str">
        <f>IF(B94-'폭압 파라메터 산정'!$C$19&gt;0,B94-'폭압 파라메터 산정'!$C$19, IF(B94-'폭압 파라메터 산정'!$C$19&lt;-0.25,"none",0))</f>
        <v>none</v>
      </c>
      <c r="D94" s="32">
        <f>IF(B94-'폭압 파라메터 산정'!$C$19&gt;-0.25,'폭압 파라메터 산정'!$C$14*(1-Graph!C94/'폭압 파라메터 산정'!$C$20)*EXP(-Graph!$D$3*Graph!C94/'폭압 파라메터 산정'!$C$20),0)</f>
        <v>0</v>
      </c>
      <c r="E94" s="32">
        <f>IF(B94-'폭압 파라메터 산정'!$C$19&gt;-0.25,'폭압 파라메터 산정'!$C$16*(1-Graph!C94/'폭압 파라메터 산정'!$C$20)*EXP(-Graph!$D$3*Graph!C94/'폭압 파라메터 산정'!$C$20),0)</f>
        <v>0</v>
      </c>
      <c r="F94" s="34" t="str">
        <f>IF(B94-'폭압 파라메터 산정'!$E$19&gt;0,B94-'폭압 파라메터 산정'!$E$19, IF(B94-'폭압 파라메터 산정'!$E$19&lt;-0.25,"none",0))</f>
        <v>none</v>
      </c>
      <c r="G94" s="32">
        <f>IF(B94-'폭압 파라메터 산정'!$E$19&gt;-0.25,'폭압 파라메터 산정'!$E$14*(1-F94/'폭압 파라메터 산정'!$E$20)*EXP(-Graph!$D$3*F94/'폭압 파라메터 산정'!$E$20),0)</f>
        <v>0</v>
      </c>
      <c r="H94" s="32">
        <f>IF(B94-'폭압 파라메터 산정'!$E$19&gt;-0.25,'폭압 파라메터 산정'!$E$16*(1-F94/'폭압 파라메터 산정'!$E$20)*EXP(-Graph!$D$3*F94/'폭압 파라메터 산정'!$E$20),0)</f>
        <v>0</v>
      </c>
    </row>
    <row r="95" spans="2:8" x14ac:dyDescent="0.3">
      <c r="B95">
        <f t="shared" si="1"/>
        <v>22</v>
      </c>
      <c r="C95" s="33" t="str">
        <f>IF(B95-'폭압 파라메터 산정'!$C$19&gt;0,B95-'폭압 파라메터 산정'!$C$19, IF(B95-'폭압 파라메터 산정'!$C$19&lt;-0.25,"none",0))</f>
        <v>none</v>
      </c>
      <c r="D95" s="32">
        <f>IF(B95-'폭압 파라메터 산정'!$C$19&gt;-0.25,'폭압 파라메터 산정'!$C$14*(1-Graph!C95/'폭압 파라메터 산정'!$C$20)*EXP(-Graph!$D$3*Graph!C95/'폭압 파라메터 산정'!$C$20),0)</f>
        <v>0</v>
      </c>
      <c r="E95" s="32">
        <f>IF(B95-'폭압 파라메터 산정'!$C$19&gt;-0.25,'폭압 파라메터 산정'!$C$16*(1-Graph!C95/'폭압 파라메터 산정'!$C$20)*EXP(-Graph!$D$3*Graph!C95/'폭압 파라메터 산정'!$C$20),0)</f>
        <v>0</v>
      </c>
      <c r="F95" s="34" t="str">
        <f>IF(B95-'폭압 파라메터 산정'!$E$19&gt;0,B95-'폭압 파라메터 산정'!$E$19, IF(B95-'폭압 파라메터 산정'!$E$19&lt;-0.25,"none",0))</f>
        <v>none</v>
      </c>
      <c r="G95" s="32">
        <f>IF(B95-'폭압 파라메터 산정'!$E$19&gt;-0.25,'폭압 파라메터 산정'!$E$14*(1-F95/'폭압 파라메터 산정'!$E$20)*EXP(-Graph!$D$3*F95/'폭압 파라메터 산정'!$E$20),0)</f>
        <v>0</v>
      </c>
      <c r="H95" s="32">
        <f>IF(B95-'폭압 파라메터 산정'!$E$19&gt;-0.25,'폭압 파라메터 산정'!$E$16*(1-F95/'폭압 파라메터 산정'!$E$20)*EXP(-Graph!$D$3*F95/'폭압 파라메터 산정'!$E$20),0)</f>
        <v>0</v>
      </c>
    </row>
    <row r="96" spans="2:8" x14ac:dyDescent="0.3">
      <c r="B96">
        <f t="shared" si="1"/>
        <v>22.25</v>
      </c>
      <c r="C96" s="33" t="str">
        <f>IF(B96-'폭압 파라메터 산정'!$C$19&gt;0,B96-'폭압 파라메터 산정'!$C$19, IF(B96-'폭압 파라메터 산정'!$C$19&lt;-0.25,"none",0))</f>
        <v>none</v>
      </c>
      <c r="D96" s="32">
        <f>IF(B96-'폭압 파라메터 산정'!$C$19&gt;-0.25,'폭압 파라메터 산정'!$C$14*(1-Graph!C96/'폭압 파라메터 산정'!$C$20)*EXP(-Graph!$D$3*Graph!C96/'폭압 파라메터 산정'!$C$20),0)</f>
        <v>0</v>
      </c>
      <c r="E96" s="32">
        <f>IF(B96-'폭압 파라메터 산정'!$C$19&gt;-0.25,'폭압 파라메터 산정'!$C$16*(1-Graph!C96/'폭압 파라메터 산정'!$C$20)*EXP(-Graph!$D$3*Graph!C96/'폭압 파라메터 산정'!$C$20),0)</f>
        <v>0</v>
      </c>
      <c r="F96" s="34" t="str">
        <f>IF(B96-'폭압 파라메터 산정'!$E$19&gt;0,B96-'폭압 파라메터 산정'!$E$19, IF(B96-'폭압 파라메터 산정'!$E$19&lt;-0.25,"none",0))</f>
        <v>none</v>
      </c>
      <c r="G96" s="32">
        <f>IF(B96-'폭압 파라메터 산정'!$E$19&gt;-0.25,'폭압 파라메터 산정'!$E$14*(1-F96/'폭압 파라메터 산정'!$E$20)*EXP(-Graph!$D$3*F96/'폭압 파라메터 산정'!$E$20),0)</f>
        <v>0</v>
      </c>
      <c r="H96" s="32">
        <f>IF(B96-'폭압 파라메터 산정'!$E$19&gt;-0.25,'폭압 파라메터 산정'!$E$16*(1-F96/'폭압 파라메터 산정'!$E$20)*EXP(-Graph!$D$3*F96/'폭압 파라메터 산정'!$E$20),0)</f>
        <v>0</v>
      </c>
    </row>
    <row r="97" spans="2:8" x14ac:dyDescent="0.3">
      <c r="B97">
        <f t="shared" si="1"/>
        <v>22.5</v>
      </c>
      <c r="C97" s="33" t="str">
        <f>IF(B97-'폭압 파라메터 산정'!$C$19&gt;0,B97-'폭압 파라메터 산정'!$C$19, IF(B97-'폭압 파라메터 산정'!$C$19&lt;-0.25,"none",0))</f>
        <v>none</v>
      </c>
      <c r="D97" s="32">
        <f>IF(B97-'폭압 파라메터 산정'!$C$19&gt;-0.25,'폭압 파라메터 산정'!$C$14*(1-Graph!C97/'폭압 파라메터 산정'!$C$20)*EXP(-Graph!$D$3*Graph!C97/'폭압 파라메터 산정'!$C$20),0)</f>
        <v>0</v>
      </c>
      <c r="E97" s="32">
        <f>IF(B97-'폭압 파라메터 산정'!$C$19&gt;-0.25,'폭압 파라메터 산정'!$C$16*(1-Graph!C97/'폭압 파라메터 산정'!$C$20)*EXP(-Graph!$D$3*Graph!C97/'폭압 파라메터 산정'!$C$20),0)</f>
        <v>0</v>
      </c>
      <c r="F97" s="34" t="str">
        <f>IF(B97-'폭압 파라메터 산정'!$E$19&gt;0,B97-'폭압 파라메터 산정'!$E$19, IF(B97-'폭압 파라메터 산정'!$E$19&lt;-0.25,"none",0))</f>
        <v>none</v>
      </c>
      <c r="G97" s="32">
        <f>IF(B97-'폭압 파라메터 산정'!$E$19&gt;-0.25,'폭압 파라메터 산정'!$E$14*(1-F97/'폭압 파라메터 산정'!$E$20)*EXP(-Graph!$D$3*F97/'폭압 파라메터 산정'!$E$20),0)</f>
        <v>0</v>
      </c>
      <c r="H97" s="32">
        <f>IF(B97-'폭압 파라메터 산정'!$E$19&gt;-0.25,'폭압 파라메터 산정'!$E$16*(1-F97/'폭압 파라메터 산정'!$E$20)*EXP(-Graph!$D$3*F97/'폭압 파라메터 산정'!$E$20),0)</f>
        <v>0</v>
      </c>
    </row>
    <row r="98" spans="2:8" x14ac:dyDescent="0.3">
      <c r="B98">
        <f t="shared" si="1"/>
        <v>22.75</v>
      </c>
      <c r="C98" s="33" t="str">
        <f>IF(B98-'폭압 파라메터 산정'!$C$19&gt;0,B98-'폭압 파라메터 산정'!$C$19, IF(B98-'폭압 파라메터 산정'!$C$19&lt;-0.25,"none",0))</f>
        <v>none</v>
      </c>
      <c r="D98" s="32">
        <f>IF(B98-'폭압 파라메터 산정'!$C$19&gt;-0.25,'폭압 파라메터 산정'!$C$14*(1-Graph!C98/'폭압 파라메터 산정'!$C$20)*EXP(-Graph!$D$3*Graph!C98/'폭압 파라메터 산정'!$C$20),0)</f>
        <v>0</v>
      </c>
      <c r="E98" s="32">
        <f>IF(B98-'폭압 파라메터 산정'!$C$19&gt;-0.25,'폭압 파라메터 산정'!$C$16*(1-Graph!C98/'폭압 파라메터 산정'!$C$20)*EXP(-Graph!$D$3*Graph!C98/'폭압 파라메터 산정'!$C$20),0)</f>
        <v>0</v>
      </c>
      <c r="F98" s="34" t="str">
        <f>IF(B98-'폭압 파라메터 산정'!$E$19&gt;0,B98-'폭압 파라메터 산정'!$E$19, IF(B98-'폭압 파라메터 산정'!$E$19&lt;-0.25,"none",0))</f>
        <v>none</v>
      </c>
      <c r="G98" s="32">
        <f>IF(B98-'폭압 파라메터 산정'!$E$19&gt;-0.25,'폭압 파라메터 산정'!$E$14*(1-F98/'폭압 파라메터 산정'!$E$20)*EXP(-Graph!$D$3*F98/'폭압 파라메터 산정'!$E$20),0)</f>
        <v>0</v>
      </c>
      <c r="H98" s="32">
        <f>IF(B98-'폭압 파라메터 산정'!$E$19&gt;-0.25,'폭압 파라메터 산정'!$E$16*(1-F98/'폭압 파라메터 산정'!$E$20)*EXP(-Graph!$D$3*F98/'폭압 파라메터 산정'!$E$20),0)</f>
        <v>0</v>
      </c>
    </row>
    <row r="99" spans="2:8" x14ac:dyDescent="0.3">
      <c r="B99">
        <f t="shared" si="1"/>
        <v>23</v>
      </c>
      <c r="C99" s="33" t="str">
        <f>IF(B99-'폭압 파라메터 산정'!$C$19&gt;0,B99-'폭압 파라메터 산정'!$C$19, IF(B99-'폭압 파라메터 산정'!$C$19&lt;-0.25,"none",0))</f>
        <v>none</v>
      </c>
      <c r="D99" s="32">
        <f>IF(B99-'폭압 파라메터 산정'!$C$19&gt;-0.25,'폭압 파라메터 산정'!$C$14*(1-Graph!C99/'폭압 파라메터 산정'!$C$20)*EXP(-Graph!$D$3*Graph!C99/'폭압 파라메터 산정'!$C$20),0)</f>
        <v>0</v>
      </c>
      <c r="E99" s="32">
        <f>IF(B99-'폭압 파라메터 산정'!$C$19&gt;-0.25,'폭압 파라메터 산정'!$C$16*(1-Graph!C99/'폭압 파라메터 산정'!$C$20)*EXP(-Graph!$D$3*Graph!C99/'폭압 파라메터 산정'!$C$20),0)</f>
        <v>0</v>
      </c>
      <c r="F99" s="34" t="str">
        <f>IF(B99-'폭압 파라메터 산정'!$E$19&gt;0,B99-'폭압 파라메터 산정'!$E$19, IF(B99-'폭압 파라메터 산정'!$E$19&lt;-0.25,"none",0))</f>
        <v>none</v>
      </c>
      <c r="G99" s="32">
        <f>IF(B99-'폭압 파라메터 산정'!$E$19&gt;-0.25,'폭압 파라메터 산정'!$E$14*(1-F99/'폭압 파라메터 산정'!$E$20)*EXP(-Graph!$D$3*F99/'폭압 파라메터 산정'!$E$20),0)</f>
        <v>0</v>
      </c>
      <c r="H99" s="32">
        <f>IF(B99-'폭압 파라메터 산정'!$E$19&gt;-0.25,'폭압 파라메터 산정'!$E$16*(1-F99/'폭압 파라메터 산정'!$E$20)*EXP(-Graph!$D$3*F99/'폭압 파라메터 산정'!$E$20),0)</f>
        <v>0</v>
      </c>
    </row>
    <row r="100" spans="2:8" x14ac:dyDescent="0.3">
      <c r="B100">
        <f t="shared" si="1"/>
        <v>23.25</v>
      </c>
      <c r="C100" s="33" t="str">
        <f>IF(B100-'폭압 파라메터 산정'!$C$19&gt;0,B100-'폭압 파라메터 산정'!$C$19, IF(B100-'폭압 파라메터 산정'!$C$19&lt;-0.25,"none",0))</f>
        <v>none</v>
      </c>
      <c r="D100" s="32">
        <f>IF(B100-'폭압 파라메터 산정'!$C$19&gt;-0.25,'폭압 파라메터 산정'!$C$14*(1-Graph!C100/'폭압 파라메터 산정'!$C$20)*EXP(-Graph!$D$3*Graph!C100/'폭압 파라메터 산정'!$C$20),0)</f>
        <v>0</v>
      </c>
      <c r="E100" s="32">
        <f>IF(B100-'폭압 파라메터 산정'!$C$19&gt;-0.25,'폭압 파라메터 산정'!$C$16*(1-Graph!C100/'폭압 파라메터 산정'!$C$20)*EXP(-Graph!$D$3*Graph!C100/'폭압 파라메터 산정'!$C$20),0)</f>
        <v>0</v>
      </c>
      <c r="F100" s="34" t="str">
        <f>IF(B100-'폭압 파라메터 산정'!$E$19&gt;0,B100-'폭압 파라메터 산정'!$E$19, IF(B100-'폭압 파라메터 산정'!$E$19&lt;-0.25,"none",0))</f>
        <v>none</v>
      </c>
      <c r="G100" s="32">
        <f>IF(B100-'폭압 파라메터 산정'!$E$19&gt;-0.25,'폭압 파라메터 산정'!$E$14*(1-F100/'폭압 파라메터 산정'!$E$20)*EXP(-Graph!$D$3*F100/'폭압 파라메터 산정'!$E$20),0)</f>
        <v>0</v>
      </c>
      <c r="H100" s="32">
        <f>IF(B100-'폭압 파라메터 산정'!$E$19&gt;-0.25,'폭압 파라메터 산정'!$E$16*(1-F100/'폭압 파라메터 산정'!$E$20)*EXP(-Graph!$D$3*F100/'폭압 파라메터 산정'!$E$20),0)</f>
        <v>0</v>
      </c>
    </row>
    <row r="101" spans="2:8" x14ac:dyDescent="0.3">
      <c r="B101">
        <f t="shared" si="1"/>
        <v>23.5</v>
      </c>
      <c r="C101" s="33" t="str">
        <f>IF(B101-'폭압 파라메터 산정'!$C$19&gt;0,B101-'폭압 파라메터 산정'!$C$19, IF(B101-'폭압 파라메터 산정'!$C$19&lt;-0.25,"none",0))</f>
        <v>none</v>
      </c>
      <c r="D101" s="32">
        <f>IF(B101-'폭압 파라메터 산정'!$C$19&gt;-0.25,'폭압 파라메터 산정'!$C$14*(1-Graph!C101/'폭압 파라메터 산정'!$C$20)*EXP(-Graph!$D$3*Graph!C101/'폭압 파라메터 산정'!$C$20),0)</f>
        <v>0</v>
      </c>
      <c r="E101" s="32">
        <f>IF(B101-'폭압 파라메터 산정'!$C$19&gt;-0.25,'폭압 파라메터 산정'!$C$16*(1-Graph!C101/'폭압 파라메터 산정'!$C$20)*EXP(-Graph!$D$3*Graph!C101/'폭압 파라메터 산정'!$C$20),0)</f>
        <v>0</v>
      </c>
      <c r="F101" s="34" t="str">
        <f>IF(B101-'폭압 파라메터 산정'!$E$19&gt;0,B101-'폭압 파라메터 산정'!$E$19, IF(B101-'폭압 파라메터 산정'!$E$19&lt;-0.25,"none",0))</f>
        <v>none</v>
      </c>
      <c r="G101" s="32">
        <f>IF(B101-'폭압 파라메터 산정'!$E$19&gt;-0.25,'폭압 파라메터 산정'!$E$14*(1-F101/'폭압 파라메터 산정'!$E$20)*EXP(-Graph!$D$3*F101/'폭압 파라메터 산정'!$E$20),0)</f>
        <v>0</v>
      </c>
      <c r="H101" s="32">
        <f>IF(B101-'폭압 파라메터 산정'!$E$19&gt;-0.25,'폭압 파라메터 산정'!$E$16*(1-F101/'폭압 파라메터 산정'!$E$20)*EXP(-Graph!$D$3*F101/'폭압 파라메터 산정'!$E$20),0)</f>
        <v>0</v>
      </c>
    </row>
    <row r="102" spans="2:8" x14ac:dyDescent="0.3">
      <c r="B102">
        <f t="shared" si="1"/>
        <v>23.75</v>
      </c>
      <c r="C102" s="33" t="str">
        <f>IF(B102-'폭압 파라메터 산정'!$C$19&gt;0,B102-'폭압 파라메터 산정'!$C$19, IF(B102-'폭압 파라메터 산정'!$C$19&lt;-0.25,"none",0))</f>
        <v>none</v>
      </c>
      <c r="D102" s="32">
        <f>IF(B102-'폭압 파라메터 산정'!$C$19&gt;-0.25,'폭압 파라메터 산정'!$C$14*(1-Graph!C102/'폭압 파라메터 산정'!$C$20)*EXP(-Graph!$D$3*Graph!C102/'폭압 파라메터 산정'!$C$20),0)</f>
        <v>0</v>
      </c>
      <c r="E102" s="32">
        <f>IF(B102-'폭압 파라메터 산정'!$C$19&gt;-0.25,'폭압 파라메터 산정'!$C$16*(1-Graph!C102/'폭압 파라메터 산정'!$C$20)*EXP(-Graph!$D$3*Graph!C102/'폭압 파라메터 산정'!$C$20),0)</f>
        <v>0</v>
      </c>
      <c r="F102" s="34" t="str">
        <f>IF(B102-'폭압 파라메터 산정'!$E$19&gt;0,B102-'폭압 파라메터 산정'!$E$19, IF(B102-'폭압 파라메터 산정'!$E$19&lt;-0.25,"none",0))</f>
        <v>none</v>
      </c>
      <c r="G102" s="32">
        <f>IF(B102-'폭압 파라메터 산정'!$E$19&gt;-0.25,'폭압 파라메터 산정'!$E$14*(1-F102/'폭압 파라메터 산정'!$E$20)*EXP(-Graph!$D$3*F102/'폭압 파라메터 산정'!$E$20),0)</f>
        <v>0</v>
      </c>
      <c r="H102" s="32">
        <f>IF(B102-'폭압 파라메터 산정'!$E$19&gt;-0.25,'폭압 파라메터 산정'!$E$16*(1-F102/'폭압 파라메터 산정'!$E$20)*EXP(-Graph!$D$3*F102/'폭압 파라메터 산정'!$E$20),0)</f>
        <v>0</v>
      </c>
    </row>
    <row r="103" spans="2:8" x14ac:dyDescent="0.3">
      <c r="B103">
        <f t="shared" si="1"/>
        <v>24</v>
      </c>
      <c r="C103" s="33" t="str">
        <f>IF(B103-'폭압 파라메터 산정'!$C$19&gt;0,B103-'폭압 파라메터 산정'!$C$19, IF(B103-'폭압 파라메터 산정'!$C$19&lt;-0.25,"none",0))</f>
        <v>none</v>
      </c>
      <c r="D103" s="32">
        <f>IF(B103-'폭압 파라메터 산정'!$C$19&gt;-0.25,'폭압 파라메터 산정'!$C$14*(1-Graph!C103/'폭압 파라메터 산정'!$C$20)*EXP(-Graph!$D$3*Graph!C103/'폭압 파라메터 산정'!$C$20),0)</f>
        <v>0</v>
      </c>
      <c r="E103" s="32">
        <f>IF(B103-'폭압 파라메터 산정'!$C$19&gt;-0.25,'폭압 파라메터 산정'!$C$16*(1-Graph!C103/'폭압 파라메터 산정'!$C$20)*EXP(-Graph!$D$3*Graph!C103/'폭압 파라메터 산정'!$C$20),0)</f>
        <v>0</v>
      </c>
      <c r="F103" s="34" t="str">
        <f>IF(B103-'폭압 파라메터 산정'!$E$19&gt;0,B103-'폭압 파라메터 산정'!$E$19, IF(B103-'폭압 파라메터 산정'!$E$19&lt;-0.25,"none",0))</f>
        <v>none</v>
      </c>
      <c r="G103" s="32">
        <f>IF(B103-'폭압 파라메터 산정'!$E$19&gt;-0.25,'폭압 파라메터 산정'!$E$14*(1-F103/'폭압 파라메터 산정'!$E$20)*EXP(-Graph!$D$3*F103/'폭압 파라메터 산정'!$E$20),0)</f>
        <v>0</v>
      </c>
      <c r="H103" s="32">
        <f>IF(B103-'폭압 파라메터 산정'!$E$19&gt;-0.25,'폭압 파라메터 산정'!$E$16*(1-F103/'폭압 파라메터 산정'!$E$20)*EXP(-Graph!$D$3*F103/'폭압 파라메터 산정'!$E$20),0)</f>
        <v>0</v>
      </c>
    </row>
    <row r="104" spans="2:8" x14ac:dyDescent="0.3">
      <c r="B104">
        <f t="shared" si="1"/>
        <v>24.25</v>
      </c>
      <c r="C104" s="33" t="str">
        <f>IF(B104-'폭압 파라메터 산정'!$C$19&gt;0,B104-'폭압 파라메터 산정'!$C$19, IF(B104-'폭압 파라메터 산정'!$C$19&lt;-0.25,"none",0))</f>
        <v>none</v>
      </c>
      <c r="D104" s="32">
        <f>IF(B104-'폭압 파라메터 산정'!$C$19&gt;-0.25,'폭압 파라메터 산정'!$C$14*(1-Graph!C104/'폭압 파라메터 산정'!$C$20)*EXP(-Graph!$D$3*Graph!C104/'폭압 파라메터 산정'!$C$20),0)</f>
        <v>0</v>
      </c>
      <c r="E104" s="32">
        <f>IF(B104-'폭압 파라메터 산정'!$C$19&gt;-0.25,'폭압 파라메터 산정'!$C$16*(1-Graph!C104/'폭압 파라메터 산정'!$C$20)*EXP(-Graph!$D$3*Graph!C104/'폭압 파라메터 산정'!$C$20),0)</f>
        <v>0</v>
      </c>
      <c r="F104" s="34" t="str">
        <f>IF(B104-'폭압 파라메터 산정'!$E$19&gt;0,B104-'폭압 파라메터 산정'!$E$19, IF(B104-'폭압 파라메터 산정'!$E$19&lt;-0.25,"none",0))</f>
        <v>none</v>
      </c>
      <c r="G104" s="32">
        <f>IF(B104-'폭압 파라메터 산정'!$E$19&gt;-0.25,'폭압 파라메터 산정'!$E$14*(1-F104/'폭압 파라메터 산정'!$E$20)*EXP(-Graph!$D$3*F104/'폭압 파라메터 산정'!$E$20),0)</f>
        <v>0</v>
      </c>
      <c r="H104" s="32">
        <f>IF(B104-'폭압 파라메터 산정'!$E$19&gt;-0.25,'폭압 파라메터 산정'!$E$16*(1-F104/'폭압 파라메터 산정'!$E$20)*EXP(-Graph!$D$3*F104/'폭압 파라메터 산정'!$E$20),0)</f>
        <v>0</v>
      </c>
    </row>
    <row r="105" spans="2:8" x14ac:dyDescent="0.3">
      <c r="B105">
        <f t="shared" si="1"/>
        <v>24.5</v>
      </c>
      <c r="C105" s="33" t="str">
        <f>IF(B105-'폭압 파라메터 산정'!$C$19&gt;0,B105-'폭압 파라메터 산정'!$C$19, IF(B105-'폭압 파라메터 산정'!$C$19&lt;-0.25,"none",0))</f>
        <v>none</v>
      </c>
      <c r="D105" s="32">
        <f>IF(B105-'폭압 파라메터 산정'!$C$19&gt;-0.25,'폭압 파라메터 산정'!$C$14*(1-Graph!C105/'폭압 파라메터 산정'!$C$20)*EXP(-Graph!$D$3*Graph!C105/'폭압 파라메터 산정'!$C$20),0)</f>
        <v>0</v>
      </c>
      <c r="E105" s="32">
        <f>IF(B105-'폭압 파라메터 산정'!$C$19&gt;-0.25,'폭압 파라메터 산정'!$C$16*(1-Graph!C105/'폭압 파라메터 산정'!$C$20)*EXP(-Graph!$D$3*Graph!C105/'폭압 파라메터 산정'!$C$20),0)</f>
        <v>0</v>
      </c>
      <c r="F105" s="34" t="str">
        <f>IF(B105-'폭압 파라메터 산정'!$E$19&gt;0,B105-'폭압 파라메터 산정'!$E$19, IF(B105-'폭압 파라메터 산정'!$E$19&lt;-0.25,"none",0))</f>
        <v>none</v>
      </c>
      <c r="G105" s="32">
        <f>IF(B105-'폭압 파라메터 산정'!$E$19&gt;-0.25,'폭압 파라메터 산정'!$E$14*(1-F105/'폭압 파라메터 산정'!$E$20)*EXP(-Graph!$D$3*F105/'폭압 파라메터 산정'!$E$20),0)</f>
        <v>0</v>
      </c>
      <c r="H105" s="32">
        <f>IF(B105-'폭압 파라메터 산정'!$E$19&gt;-0.25,'폭압 파라메터 산정'!$E$16*(1-F105/'폭압 파라메터 산정'!$E$20)*EXP(-Graph!$D$3*F105/'폭압 파라메터 산정'!$E$20),0)</f>
        <v>0</v>
      </c>
    </row>
    <row r="106" spans="2:8" x14ac:dyDescent="0.3">
      <c r="B106">
        <f t="shared" si="1"/>
        <v>24.75</v>
      </c>
      <c r="C106" s="33" t="str">
        <f>IF(B106-'폭압 파라메터 산정'!$C$19&gt;0,B106-'폭압 파라메터 산정'!$C$19, IF(B106-'폭압 파라메터 산정'!$C$19&lt;-0.25,"none",0))</f>
        <v>none</v>
      </c>
      <c r="D106" s="32">
        <f>IF(B106-'폭압 파라메터 산정'!$C$19&gt;-0.25,'폭압 파라메터 산정'!$C$14*(1-Graph!C106/'폭압 파라메터 산정'!$C$20)*EXP(-Graph!$D$3*Graph!C106/'폭압 파라메터 산정'!$C$20),0)</f>
        <v>0</v>
      </c>
      <c r="E106" s="32">
        <f>IF(B106-'폭압 파라메터 산정'!$C$19&gt;-0.25,'폭압 파라메터 산정'!$C$16*(1-Graph!C106/'폭압 파라메터 산정'!$C$20)*EXP(-Graph!$D$3*Graph!C106/'폭압 파라메터 산정'!$C$20),0)</f>
        <v>0</v>
      </c>
      <c r="F106" s="34" t="str">
        <f>IF(B106-'폭압 파라메터 산정'!$E$19&gt;0,B106-'폭압 파라메터 산정'!$E$19, IF(B106-'폭압 파라메터 산정'!$E$19&lt;-0.25,"none",0))</f>
        <v>none</v>
      </c>
      <c r="G106" s="32">
        <f>IF(B106-'폭압 파라메터 산정'!$E$19&gt;-0.25,'폭압 파라메터 산정'!$E$14*(1-F106/'폭압 파라메터 산정'!$E$20)*EXP(-Graph!$D$3*F106/'폭압 파라메터 산정'!$E$20),0)</f>
        <v>0</v>
      </c>
      <c r="H106" s="32">
        <f>IF(B106-'폭압 파라메터 산정'!$E$19&gt;-0.25,'폭압 파라메터 산정'!$E$16*(1-F106/'폭압 파라메터 산정'!$E$20)*EXP(-Graph!$D$3*F106/'폭압 파라메터 산정'!$E$20),0)</f>
        <v>0</v>
      </c>
    </row>
    <row r="107" spans="2:8" x14ac:dyDescent="0.3">
      <c r="B107">
        <f t="shared" si="1"/>
        <v>25</v>
      </c>
      <c r="C107" s="33" t="str">
        <f>IF(B107-'폭압 파라메터 산정'!$C$19&gt;0,B107-'폭압 파라메터 산정'!$C$19, IF(B107-'폭압 파라메터 산정'!$C$19&lt;-0.25,"none",0))</f>
        <v>none</v>
      </c>
      <c r="D107" s="32">
        <f>IF(B107-'폭압 파라메터 산정'!$C$19&gt;-0.25,'폭압 파라메터 산정'!$C$14*(1-Graph!C107/'폭압 파라메터 산정'!$C$20)*EXP(-Graph!$D$3*Graph!C107/'폭압 파라메터 산정'!$C$20),0)</f>
        <v>0</v>
      </c>
      <c r="E107" s="32">
        <f>IF(B107-'폭압 파라메터 산정'!$C$19&gt;-0.25,'폭압 파라메터 산정'!$C$16*(1-Graph!C107/'폭압 파라메터 산정'!$C$20)*EXP(-Graph!$D$3*Graph!C107/'폭압 파라메터 산정'!$C$20),0)</f>
        <v>0</v>
      </c>
      <c r="F107" s="34" t="str">
        <f>IF(B107-'폭압 파라메터 산정'!$E$19&gt;0,B107-'폭압 파라메터 산정'!$E$19, IF(B107-'폭압 파라메터 산정'!$E$19&lt;-0.25,"none",0))</f>
        <v>none</v>
      </c>
      <c r="G107" s="32">
        <f>IF(B107-'폭압 파라메터 산정'!$E$19&gt;-0.25,'폭압 파라메터 산정'!$E$14*(1-F107/'폭압 파라메터 산정'!$E$20)*EXP(-Graph!$D$3*F107/'폭압 파라메터 산정'!$E$20),0)</f>
        <v>0</v>
      </c>
      <c r="H107" s="32">
        <f>IF(B107-'폭압 파라메터 산정'!$E$19&gt;-0.25,'폭압 파라메터 산정'!$E$16*(1-F107/'폭압 파라메터 산정'!$E$20)*EXP(-Graph!$D$3*F107/'폭압 파라메터 산정'!$E$20),0)</f>
        <v>0</v>
      </c>
    </row>
    <row r="108" spans="2:8" x14ac:dyDescent="0.3">
      <c r="B108">
        <f t="shared" si="1"/>
        <v>25.25</v>
      </c>
      <c r="C108" s="33" t="str">
        <f>IF(B108-'폭압 파라메터 산정'!$C$19&gt;0,B108-'폭압 파라메터 산정'!$C$19, IF(B108-'폭압 파라메터 산정'!$C$19&lt;-0.25,"none",0))</f>
        <v>none</v>
      </c>
      <c r="D108" s="32">
        <f>IF(B108-'폭압 파라메터 산정'!$C$19&gt;-0.25,'폭압 파라메터 산정'!$C$14*(1-Graph!C108/'폭압 파라메터 산정'!$C$20)*EXP(-Graph!$D$3*Graph!C108/'폭압 파라메터 산정'!$C$20),0)</f>
        <v>0</v>
      </c>
      <c r="E108" s="32">
        <f>IF(B108-'폭압 파라메터 산정'!$C$19&gt;-0.25,'폭압 파라메터 산정'!$C$16*(1-Graph!C108/'폭압 파라메터 산정'!$C$20)*EXP(-Graph!$D$3*Graph!C108/'폭압 파라메터 산정'!$C$20),0)</f>
        <v>0</v>
      </c>
      <c r="F108" s="34" t="str">
        <f>IF(B108-'폭압 파라메터 산정'!$E$19&gt;0,B108-'폭압 파라메터 산정'!$E$19, IF(B108-'폭압 파라메터 산정'!$E$19&lt;-0.25,"none",0))</f>
        <v>none</v>
      </c>
      <c r="G108" s="32">
        <f>IF(B108-'폭압 파라메터 산정'!$E$19&gt;-0.25,'폭압 파라메터 산정'!$E$14*(1-F108/'폭압 파라메터 산정'!$E$20)*EXP(-Graph!$D$3*F108/'폭압 파라메터 산정'!$E$20),0)</f>
        <v>0</v>
      </c>
      <c r="H108" s="32">
        <f>IF(B108-'폭압 파라메터 산정'!$E$19&gt;-0.25,'폭압 파라메터 산정'!$E$16*(1-F108/'폭압 파라메터 산정'!$E$20)*EXP(-Graph!$D$3*F108/'폭압 파라메터 산정'!$E$20),0)</f>
        <v>0</v>
      </c>
    </row>
    <row r="109" spans="2:8" x14ac:dyDescent="0.3">
      <c r="B109">
        <f t="shared" si="1"/>
        <v>25.5</v>
      </c>
      <c r="C109" s="33" t="str">
        <f>IF(B109-'폭압 파라메터 산정'!$C$19&gt;0,B109-'폭압 파라메터 산정'!$C$19, IF(B109-'폭압 파라메터 산정'!$C$19&lt;-0.25,"none",0))</f>
        <v>none</v>
      </c>
      <c r="D109" s="32">
        <f>IF(B109-'폭압 파라메터 산정'!$C$19&gt;-0.25,'폭압 파라메터 산정'!$C$14*(1-Graph!C109/'폭압 파라메터 산정'!$C$20)*EXP(-Graph!$D$3*Graph!C109/'폭압 파라메터 산정'!$C$20),0)</f>
        <v>0</v>
      </c>
      <c r="E109" s="32">
        <f>IF(B109-'폭압 파라메터 산정'!$C$19&gt;-0.25,'폭압 파라메터 산정'!$C$16*(1-Graph!C109/'폭압 파라메터 산정'!$C$20)*EXP(-Graph!$D$3*Graph!C109/'폭압 파라메터 산정'!$C$20),0)</f>
        <v>0</v>
      </c>
      <c r="F109" s="34" t="str">
        <f>IF(B109-'폭압 파라메터 산정'!$E$19&gt;0,B109-'폭압 파라메터 산정'!$E$19, IF(B109-'폭압 파라메터 산정'!$E$19&lt;-0.25,"none",0))</f>
        <v>none</v>
      </c>
      <c r="G109" s="32">
        <f>IF(B109-'폭압 파라메터 산정'!$E$19&gt;-0.25,'폭압 파라메터 산정'!$E$14*(1-F109/'폭압 파라메터 산정'!$E$20)*EXP(-Graph!$D$3*F109/'폭압 파라메터 산정'!$E$20),0)</f>
        <v>0</v>
      </c>
      <c r="H109" s="32">
        <f>IF(B109-'폭압 파라메터 산정'!$E$19&gt;-0.25,'폭압 파라메터 산정'!$E$16*(1-F109/'폭압 파라메터 산정'!$E$20)*EXP(-Graph!$D$3*F109/'폭압 파라메터 산정'!$E$20),0)</f>
        <v>0</v>
      </c>
    </row>
    <row r="110" spans="2:8" x14ac:dyDescent="0.3">
      <c r="B110">
        <f t="shared" si="1"/>
        <v>25.75</v>
      </c>
      <c r="C110" s="33" t="str">
        <f>IF(B110-'폭압 파라메터 산정'!$C$19&gt;0,B110-'폭압 파라메터 산정'!$C$19, IF(B110-'폭압 파라메터 산정'!$C$19&lt;-0.25,"none",0))</f>
        <v>none</v>
      </c>
      <c r="D110" s="32">
        <f>IF(B110-'폭압 파라메터 산정'!$C$19&gt;-0.25,'폭압 파라메터 산정'!$C$14*(1-Graph!C110/'폭압 파라메터 산정'!$C$20)*EXP(-Graph!$D$3*Graph!C110/'폭압 파라메터 산정'!$C$20),0)</f>
        <v>0</v>
      </c>
      <c r="E110" s="32">
        <f>IF(B110-'폭압 파라메터 산정'!$C$19&gt;-0.25,'폭압 파라메터 산정'!$C$16*(1-Graph!C110/'폭압 파라메터 산정'!$C$20)*EXP(-Graph!$D$3*Graph!C110/'폭압 파라메터 산정'!$C$20),0)</f>
        <v>0</v>
      </c>
      <c r="F110" s="34" t="str">
        <f>IF(B110-'폭압 파라메터 산정'!$E$19&gt;0,B110-'폭압 파라메터 산정'!$E$19, IF(B110-'폭압 파라메터 산정'!$E$19&lt;-0.25,"none",0))</f>
        <v>none</v>
      </c>
      <c r="G110" s="32">
        <f>IF(B110-'폭압 파라메터 산정'!$E$19&gt;-0.25,'폭압 파라메터 산정'!$E$14*(1-F110/'폭압 파라메터 산정'!$E$20)*EXP(-Graph!$D$3*F110/'폭압 파라메터 산정'!$E$20),0)</f>
        <v>0</v>
      </c>
      <c r="H110" s="32">
        <f>IF(B110-'폭압 파라메터 산정'!$E$19&gt;-0.25,'폭압 파라메터 산정'!$E$16*(1-F110/'폭압 파라메터 산정'!$E$20)*EXP(-Graph!$D$3*F110/'폭압 파라메터 산정'!$E$20),0)</f>
        <v>0</v>
      </c>
    </row>
    <row r="111" spans="2:8" x14ac:dyDescent="0.3">
      <c r="B111">
        <f t="shared" si="1"/>
        <v>26</v>
      </c>
      <c r="C111" s="33" t="str">
        <f>IF(B111-'폭압 파라메터 산정'!$C$19&gt;0,B111-'폭압 파라메터 산정'!$C$19, IF(B111-'폭압 파라메터 산정'!$C$19&lt;-0.25,"none",0))</f>
        <v>none</v>
      </c>
      <c r="D111" s="32">
        <f>IF(B111-'폭압 파라메터 산정'!$C$19&gt;-0.25,'폭압 파라메터 산정'!$C$14*(1-Graph!C111/'폭압 파라메터 산정'!$C$20)*EXP(-Graph!$D$3*Graph!C111/'폭압 파라메터 산정'!$C$20),0)</f>
        <v>0</v>
      </c>
      <c r="E111" s="32">
        <f>IF(B111-'폭압 파라메터 산정'!$C$19&gt;-0.25,'폭압 파라메터 산정'!$C$16*(1-Graph!C111/'폭압 파라메터 산정'!$C$20)*EXP(-Graph!$D$3*Graph!C111/'폭압 파라메터 산정'!$C$20),0)</f>
        <v>0</v>
      </c>
      <c r="F111" s="34" t="str">
        <f>IF(B111-'폭압 파라메터 산정'!$E$19&gt;0,B111-'폭압 파라메터 산정'!$E$19, IF(B111-'폭압 파라메터 산정'!$E$19&lt;-0.25,"none",0))</f>
        <v>none</v>
      </c>
      <c r="G111" s="32">
        <f>IF(B111-'폭압 파라메터 산정'!$E$19&gt;-0.25,'폭압 파라메터 산정'!$E$14*(1-F111/'폭압 파라메터 산정'!$E$20)*EXP(-Graph!$D$3*F111/'폭압 파라메터 산정'!$E$20),0)</f>
        <v>0</v>
      </c>
      <c r="H111" s="32">
        <f>IF(B111-'폭압 파라메터 산정'!$E$19&gt;-0.25,'폭압 파라메터 산정'!$E$16*(1-F111/'폭압 파라메터 산정'!$E$20)*EXP(-Graph!$D$3*F111/'폭압 파라메터 산정'!$E$20),0)</f>
        <v>0</v>
      </c>
    </row>
    <row r="112" spans="2:8" x14ac:dyDescent="0.3">
      <c r="B112">
        <f t="shared" si="1"/>
        <v>26.25</v>
      </c>
      <c r="C112" s="33" t="str">
        <f>IF(B112-'폭압 파라메터 산정'!$C$19&gt;0,B112-'폭압 파라메터 산정'!$C$19, IF(B112-'폭압 파라메터 산정'!$C$19&lt;-0.25,"none",0))</f>
        <v>none</v>
      </c>
      <c r="D112" s="32">
        <f>IF(B112-'폭압 파라메터 산정'!$C$19&gt;-0.25,'폭압 파라메터 산정'!$C$14*(1-Graph!C112/'폭압 파라메터 산정'!$C$20)*EXP(-Graph!$D$3*Graph!C112/'폭압 파라메터 산정'!$C$20),0)</f>
        <v>0</v>
      </c>
      <c r="E112" s="32">
        <f>IF(B112-'폭압 파라메터 산정'!$C$19&gt;-0.25,'폭압 파라메터 산정'!$C$16*(1-Graph!C112/'폭압 파라메터 산정'!$C$20)*EXP(-Graph!$D$3*Graph!C112/'폭압 파라메터 산정'!$C$20),0)</f>
        <v>0</v>
      </c>
      <c r="F112" s="34" t="str">
        <f>IF(B112-'폭압 파라메터 산정'!$E$19&gt;0,B112-'폭압 파라메터 산정'!$E$19, IF(B112-'폭압 파라메터 산정'!$E$19&lt;-0.25,"none",0))</f>
        <v>none</v>
      </c>
      <c r="G112" s="32">
        <f>IF(B112-'폭압 파라메터 산정'!$E$19&gt;-0.25,'폭압 파라메터 산정'!$E$14*(1-F112/'폭압 파라메터 산정'!$E$20)*EXP(-Graph!$D$3*F112/'폭압 파라메터 산정'!$E$20),0)</f>
        <v>0</v>
      </c>
      <c r="H112" s="32">
        <f>IF(B112-'폭압 파라메터 산정'!$E$19&gt;-0.25,'폭압 파라메터 산정'!$E$16*(1-F112/'폭압 파라메터 산정'!$E$20)*EXP(-Graph!$D$3*F112/'폭압 파라메터 산정'!$E$20),0)</f>
        <v>0</v>
      </c>
    </row>
    <row r="113" spans="2:8" x14ac:dyDescent="0.3">
      <c r="B113">
        <f t="shared" si="1"/>
        <v>26.5</v>
      </c>
      <c r="C113" s="33" t="str">
        <f>IF(B113-'폭압 파라메터 산정'!$C$19&gt;0,B113-'폭압 파라메터 산정'!$C$19, IF(B113-'폭압 파라메터 산정'!$C$19&lt;-0.25,"none",0))</f>
        <v>none</v>
      </c>
      <c r="D113" s="32">
        <f>IF(B113-'폭압 파라메터 산정'!$C$19&gt;-0.25,'폭압 파라메터 산정'!$C$14*(1-Graph!C113/'폭압 파라메터 산정'!$C$20)*EXP(-Graph!$D$3*Graph!C113/'폭압 파라메터 산정'!$C$20),0)</f>
        <v>0</v>
      </c>
      <c r="E113" s="32">
        <f>IF(B113-'폭압 파라메터 산정'!$C$19&gt;-0.25,'폭압 파라메터 산정'!$C$16*(1-Graph!C113/'폭압 파라메터 산정'!$C$20)*EXP(-Graph!$D$3*Graph!C113/'폭압 파라메터 산정'!$C$20),0)</f>
        <v>0</v>
      </c>
      <c r="F113" s="34" t="str">
        <f>IF(B113-'폭압 파라메터 산정'!$E$19&gt;0,B113-'폭압 파라메터 산정'!$E$19, IF(B113-'폭압 파라메터 산정'!$E$19&lt;-0.25,"none",0))</f>
        <v>none</v>
      </c>
      <c r="G113" s="32">
        <f>IF(B113-'폭압 파라메터 산정'!$E$19&gt;-0.25,'폭압 파라메터 산정'!$E$14*(1-F113/'폭압 파라메터 산정'!$E$20)*EXP(-Graph!$D$3*F113/'폭압 파라메터 산정'!$E$20),0)</f>
        <v>0</v>
      </c>
      <c r="H113" s="32">
        <f>IF(B113-'폭압 파라메터 산정'!$E$19&gt;-0.25,'폭압 파라메터 산정'!$E$16*(1-F113/'폭압 파라메터 산정'!$E$20)*EXP(-Graph!$D$3*F113/'폭압 파라메터 산정'!$E$20),0)</f>
        <v>0</v>
      </c>
    </row>
    <row r="114" spans="2:8" x14ac:dyDescent="0.3">
      <c r="B114">
        <f t="shared" si="1"/>
        <v>26.75</v>
      </c>
      <c r="C114" s="33" t="str">
        <f>IF(B114-'폭압 파라메터 산정'!$C$19&gt;0,B114-'폭압 파라메터 산정'!$C$19, IF(B114-'폭압 파라메터 산정'!$C$19&lt;-0.25,"none",0))</f>
        <v>none</v>
      </c>
      <c r="D114" s="32">
        <f>IF(B114-'폭압 파라메터 산정'!$C$19&gt;-0.25,'폭압 파라메터 산정'!$C$14*(1-Graph!C114/'폭압 파라메터 산정'!$C$20)*EXP(-Graph!$D$3*Graph!C114/'폭압 파라메터 산정'!$C$20),0)</f>
        <v>0</v>
      </c>
      <c r="E114" s="32">
        <f>IF(B114-'폭압 파라메터 산정'!$C$19&gt;-0.25,'폭압 파라메터 산정'!$C$16*(1-Graph!C114/'폭압 파라메터 산정'!$C$20)*EXP(-Graph!$D$3*Graph!C114/'폭압 파라메터 산정'!$C$20),0)</f>
        <v>0</v>
      </c>
      <c r="F114" s="34" t="str">
        <f>IF(B114-'폭압 파라메터 산정'!$E$19&gt;0,B114-'폭압 파라메터 산정'!$E$19, IF(B114-'폭압 파라메터 산정'!$E$19&lt;-0.25,"none",0))</f>
        <v>none</v>
      </c>
      <c r="G114" s="32">
        <f>IF(B114-'폭압 파라메터 산정'!$E$19&gt;-0.25,'폭압 파라메터 산정'!$E$14*(1-F114/'폭압 파라메터 산정'!$E$20)*EXP(-Graph!$D$3*F114/'폭압 파라메터 산정'!$E$20),0)</f>
        <v>0</v>
      </c>
      <c r="H114" s="32">
        <f>IF(B114-'폭압 파라메터 산정'!$E$19&gt;-0.25,'폭압 파라메터 산정'!$E$16*(1-F114/'폭압 파라메터 산정'!$E$20)*EXP(-Graph!$D$3*F114/'폭압 파라메터 산정'!$E$20),0)</f>
        <v>0</v>
      </c>
    </row>
    <row r="115" spans="2:8" x14ac:dyDescent="0.3">
      <c r="B115">
        <f t="shared" si="1"/>
        <v>27</v>
      </c>
      <c r="C115" s="33" t="str">
        <f>IF(B115-'폭압 파라메터 산정'!$C$19&gt;0,B115-'폭압 파라메터 산정'!$C$19, IF(B115-'폭압 파라메터 산정'!$C$19&lt;-0.25,"none",0))</f>
        <v>none</v>
      </c>
      <c r="D115" s="32">
        <f>IF(B115-'폭압 파라메터 산정'!$C$19&gt;-0.25,'폭압 파라메터 산정'!$C$14*(1-Graph!C115/'폭압 파라메터 산정'!$C$20)*EXP(-Graph!$D$3*Graph!C115/'폭압 파라메터 산정'!$C$20),0)</f>
        <v>0</v>
      </c>
      <c r="E115" s="32">
        <f>IF(B115-'폭압 파라메터 산정'!$C$19&gt;-0.25,'폭압 파라메터 산정'!$C$16*(1-Graph!C115/'폭압 파라메터 산정'!$C$20)*EXP(-Graph!$D$3*Graph!C115/'폭압 파라메터 산정'!$C$20),0)</f>
        <v>0</v>
      </c>
      <c r="F115" s="34" t="str">
        <f>IF(B115-'폭압 파라메터 산정'!$E$19&gt;0,B115-'폭압 파라메터 산정'!$E$19, IF(B115-'폭압 파라메터 산정'!$E$19&lt;-0.25,"none",0))</f>
        <v>none</v>
      </c>
      <c r="G115" s="32">
        <f>IF(B115-'폭압 파라메터 산정'!$E$19&gt;-0.25,'폭압 파라메터 산정'!$E$14*(1-F115/'폭압 파라메터 산정'!$E$20)*EXP(-Graph!$D$3*F115/'폭압 파라메터 산정'!$E$20),0)</f>
        <v>0</v>
      </c>
      <c r="H115" s="32">
        <f>IF(B115-'폭압 파라메터 산정'!$E$19&gt;-0.25,'폭압 파라메터 산정'!$E$16*(1-F115/'폭압 파라메터 산정'!$E$20)*EXP(-Graph!$D$3*F115/'폭압 파라메터 산정'!$E$20),0)</f>
        <v>0</v>
      </c>
    </row>
    <row r="116" spans="2:8" x14ac:dyDescent="0.3">
      <c r="B116">
        <f t="shared" si="1"/>
        <v>27.25</v>
      </c>
      <c r="C116" s="33" t="str">
        <f>IF(B116-'폭압 파라메터 산정'!$C$19&gt;0,B116-'폭압 파라메터 산정'!$C$19, IF(B116-'폭압 파라메터 산정'!$C$19&lt;-0.25,"none",0))</f>
        <v>none</v>
      </c>
      <c r="D116" s="32">
        <f>IF(B116-'폭압 파라메터 산정'!$C$19&gt;-0.25,'폭압 파라메터 산정'!$C$14*(1-Graph!C116/'폭압 파라메터 산정'!$C$20)*EXP(-Graph!$D$3*Graph!C116/'폭압 파라메터 산정'!$C$20),0)</f>
        <v>0</v>
      </c>
      <c r="E116" s="32">
        <f>IF(B116-'폭압 파라메터 산정'!$C$19&gt;-0.25,'폭압 파라메터 산정'!$C$16*(1-Graph!C116/'폭압 파라메터 산정'!$C$20)*EXP(-Graph!$D$3*Graph!C116/'폭압 파라메터 산정'!$C$20),0)</f>
        <v>0</v>
      </c>
      <c r="F116" s="34" t="str">
        <f>IF(B116-'폭압 파라메터 산정'!$E$19&gt;0,B116-'폭압 파라메터 산정'!$E$19, IF(B116-'폭압 파라메터 산정'!$E$19&lt;-0.25,"none",0))</f>
        <v>none</v>
      </c>
      <c r="G116" s="32">
        <f>IF(B116-'폭압 파라메터 산정'!$E$19&gt;-0.25,'폭압 파라메터 산정'!$E$14*(1-F116/'폭압 파라메터 산정'!$E$20)*EXP(-Graph!$D$3*F116/'폭압 파라메터 산정'!$E$20),0)</f>
        <v>0</v>
      </c>
      <c r="H116" s="32">
        <f>IF(B116-'폭압 파라메터 산정'!$E$19&gt;-0.25,'폭압 파라메터 산정'!$E$16*(1-F116/'폭압 파라메터 산정'!$E$20)*EXP(-Graph!$D$3*F116/'폭압 파라메터 산정'!$E$20),0)</f>
        <v>0</v>
      </c>
    </row>
    <row r="117" spans="2:8" x14ac:dyDescent="0.3">
      <c r="B117">
        <f t="shared" si="1"/>
        <v>27.5</v>
      </c>
      <c r="C117" s="33" t="str">
        <f>IF(B117-'폭압 파라메터 산정'!$C$19&gt;0,B117-'폭압 파라메터 산정'!$C$19, IF(B117-'폭압 파라메터 산정'!$C$19&lt;-0.25,"none",0))</f>
        <v>none</v>
      </c>
      <c r="D117" s="32">
        <f>IF(B117-'폭압 파라메터 산정'!$C$19&gt;-0.25,'폭압 파라메터 산정'!$C$14*(1-Graph!C117/'폭압 파라메터 산정'!$C$20)*EXP(-Graph!$D$3*Graph!C117/'폭압 파라메터 산정'!$C$20),0)</f>
        <v>0</v>
      </c>
      <c r="E117" s="32">
        <f>IF(B117-'폭압 파라메터 산정'!$C$19&gt;-0.25,'폭압 파라메터 산정'!$C$16*(1-Graph!C117/'폭압 파라메터 산정'!$C$20)*EXP(-Graph!$D$3*Graph!C117/'폭압 파라메터 산정'!$C$20),0)</f>
        <v>0</v>
      </c>
      <c r="F117" s="34" t="str">
        <f>IF(B117-'폭압 파라메터 산정'!$E$19&gt;0,B117-'폭압 파라메터 산정'!$E$19, IF(B117-'폭압 파라메터 산정'!$E$19&lt;-0.25,"none",0))</f>
        <v>none</v>
      </c>
      <c r="G117" s="32">
        <f>IF(B117-'폭압 파라메터 산정'!$E$19&gt;-0.25,'폭압 파라메터 산정'!$E$14*(1-F117/'폭압 파라메터 산정'!$E$20)*EXP(-Graph!$D$3*F117/'폭압 파라메터 산정'!$E$20),0)</f>
        <v>0</v>
      </c>
      <c r="H117" s="32">
        <f>IF(B117-'폭압 파라메터 산정'!$E$19&gt;-0.25,'폭압 파라메터 산정'!$E$16*(1-F117/'폭압 파라메터 산정'!$E$20)*EXP(-Graph!$D$3*F117/'폭압 파라메터 산정'!$E$20),0)</f>
        <v>0</v>
      </c>
    </row>
    <row r="118" spans="2:8" x14ac:dyDescent="0.3">
      <c r="B118">
        <f t="shared" si="1"/>
        <v>27.75</v>
      </c>
      <c r="C118" s="33" t="str">
        <f>IF(B118-'폭압 파라메터 산정'!$C$19&gt;0,B118-'폭압 파라메터 산정'!$C$19, IF(B118-'폭압 파라메터 산정'!$C$19&lt;-0.25,"none",0))</f>
        <v>none</v>
      </c>
      <c r="D118" s="32">
        <f>IF(B118-'폭압 파라메터 산정'!$C$19&gt;-0.25,'폭압 파라메터 산정'!$C$14*(1-Graph!C118/'폭압 파라메터 산정'!$C$20)*EXP(-Graph!$D$3*Graph!C118/'폭압 파라메터 산정'!$C$20),0)</f>
        <v>0</v>
      </c>
      <c r="E118" s="32">
        <f>IF(B118-'폭압 파라메터 산정'!$C$19&gt;-0.25,'폭압 파라메터 산정'!$C$16*(1-Graph!C118/'폭압 파라메터 산정'!$C$20)*EXP(-Graph!$D$3*Graph!C118/'폭압 파라메터 산정'!$C$20),0)</f>
        <v>0</v>
      </c>
      <c r="F118" s="34" t="str">
        <f>IF(B118-'폭압 파라메터 산정'!$E$19&gt;0,B118-'폭압 파라메터 산정'!$E$19, IF(B118-'폭압 파라메터 산정'!$E$19&lt;-0.25,"none",0))</f>
        <v>none</v>
      </c>
      <c r="G118" s="32">
        <f>IF(B118-'폭압 파라메터 산정'!$E$19&gt;-0.25,'폭압 파라메터 산정'!$E$14*(1-F118/'폭압 파라메터 산정'!$E$20)*EXP(-Graph!$D$3*F118/'폭압 파라메터 산정'!$E$20),0)</f>
        <v>0</v>
      </c>
      <c r="H118" s="32">
        <f>IF(B118-'폭압 파라메터 산정'!$E$19&gt;-0.25,'폭압 파라메터 산정'!$E$16*(1-F118/'폭압 파라메터 산정'!$E$20)*EXP(-Graph!$D$3*F118/'폭압 파라메터 산정'!$E$20),0)</f>
        <v>0</v>
      </c>
    </row>
    <row r="119" spans="2:8" x14ac:dyDescent="0.3">
      <c r="B119">
        <f t="shared" si="1"/>
        <v>28</v>
      </c>
      <c r="C119" s="33" t="str">
        <f>IF(B119-'폭압 파라메터 산정'!$C$19&gt;0,B119-'폭압 파라메터 산정'!$C$19, IF(B119-'폭압 파라메터 산정'!$C$19&lt;-0.25,"none",0))</f>
        <v>none</v>
      </c>
      <c r="D119" s="32">
        <f>IF(B119-'폭압 파라메터 산정'!$C$19&gt;-0.25,'폭압 파라메터 산정'!$C$14*(1-Graph!C119/'폭압 파라메터 산정'!$C$20)*EXP(-Graph!$D$3*Graph!C119/'폭압 파라메터 산정'!$C$20),0)</f>
        <v>0</v>
      </c>
      <c r="E119" s="32">
        <f>IF(B119-'폭압 파라메터 산정'!$C$19&gt;-0.25,'폭압 파라메터 산정'!$C$16*(1-Graph!C119/'폭압 파라메터 산정'!$C$20)*EXP(-Graph!$D$3*Graph!C119/'폭압 파라메터 산정'!$C$20),0)</f>
        <v>0</v>
      </c>
      <c r="F119" s="34" t="str">
        <f>IF(B119-'폭압 파라메터 산정'!$E$19&gt;0,B119-'폭압 파라메터 산정'!$E$19, IF(B119-'폭압 파라메터 산정'!$E$19&lt;-0.25,"none",0))</f>
        <v>none</v>
      </c>
      <c r="G119" s="32">
        <f>IF(B119-'폭압 파라메터 산정'!$E$19&gt;-0.25,'폭압 파라메터 산정'!$E$14*(1-F119/'폭압 파라메터 산정'!$E$20)*EXP(-Graph!$D$3*F119/'폭압 파라메터 산정'!$E$20),0)</f>
        <v>0</v>
      </c>
      <c r="H119" s="32">
        <f>IF(B119-'폭압 파라메터 산정'!$E$19&gt;-0.25,'폭압 파라메터 산정'!$E$16*(1-F119/'폭압 파라메터 산정'!$E$20)*EXP(-Graph!$D$3*F119/'폭압 파라메터 산정'!$E$20),0)</f>
        <v>0</v>
      </c>
    </row>
    <row r="120" spans="2:8" x14ac:dyDescent="0.3">
      <c r="B120">
        <f t="shared" si="1"/>
        <v>28.25</v>
      </c>
      <c r="C120" s="33" t="str">
        <f>IF(B120-'폭압 파라메터 산정'!$C$19&gt;0,B120-'폭압 파라메터 산정'!$C$19, IF(B120-'폭압 파라메터 산정'!$C$19&lt;-0.25,"none",0))</f>
        <v>none</v>
      </c>
      <c r="D120" s="32">
        <f>IF(B120-'폭압 파라메터 산정'!$C$19&gt;-0.25,'폭압 파라메터 산정'!$C$14*(1-Graph!C120/'폭압 파라메터 산정'!$C$20)*EXP(-Graph!$D$3*Graph!C120/'폭압 파라메터 산정'!$C$20),0)</f>
        <v>0</v>
      </c>
      <c r="E120" s="32">
        <f>IF(B120-'폭압 파라메터 산정'!$C$19&gt;-0.25,'폭압 파라메터 산정'!$C$16*(1-Graph!C120/'폭압 파라메터 산정'!$C$20)*EXP(-Graph!$D$3*Graph!C120/'폭압 파라메터 산정'!$C$20),0)</f>
        <v>0</v>
      </c>
      <c r="F120" s="34" t="str">
        <f>IF(B120-'폭압 파라메터 산정'!$E$19&gt;0,B120-'폭압 파라메터 산정'!$E$19, IF(B120-'폭압 파라메터 산정'!$E$19&lt;-0.25,"none",0))</f>
        <v>none</v>
      </c>
      <c r="G120" s="32">
        <f>IF(B120-'폭압 파라메터 산정'!$E$19&gt;-0.25,'폭압 파라메터 산정'!$E$14*(1-F120/'폭압 파라메터 산정'!$E$20)*EXP(-Graph!$D$3*F120/'폭압 파라메터 산정'!$E$20),0)</f>
        <v>0</v>
      </c>
      <c r="H120" s="32">
        <f>IF(B120-'폭압 파라메터 산정'!$E$19&gt;-0.25,'폭압 파라메터 산정'!$E$16*(1-F120/'폭압 파라메터 산정'!$E$20)*EXP(-Graph!$D$3*F120/'폭압 파라메터 산정'!$E$20),0)</f>
        <v>0</v>
      </c>
    </row>
    <row r="121" spans="2:8" x14ac:dyDescent="0.3">
      <c r="B121">
        <f t="shared" si="1"/>
        <v>28.5</v>
      </c>
      <c r="C121" s="33" t="str">
        <f>IF(B121-'폭압 파라메터 산정'!$C$19&gt;0,B121-'폭압 파라메터 산정'!$C$19, IF(B121-'폭압 파라메터 산정'!$C$19&lt;-0.25,"none",0))</f>
        <v>none</v>
      </c>
      <c r="D121" s="32">
        <f>IF(B121-'폭압 파라메터 산정'!$C$19&gt;-0.25,'폭압 파라메터 산정'!$C$14*(1-Graph!C121/'폭압 파라메터 산정'!$C$20)*EXP(-Graph!$D$3*Graph!C121/'폭압 파라메터 산정'!$C$20),0)</f>
        <v>0</v>
      </c>
      <c r="E121" s="32">
        <f>IF(B121-'폭압 파라메터 산정'!$C$19&gt;-0.25,'폭압 파라메터 산정'!$C$16*(1-Graph!C121/'폭압 파라메터 산정'!$C$20)*EXP(-Graph!$D$3*Graph!C121/'폭압 파라메터 산정'!$C$20),0)</f>
        <v>0</v>
      </c>
      <c r="F121" s="34" t="str">
        <f>IF(B121-'폭압 파라메터 산정'!$E$19&gt;0,B121-'폭압 파라메터 산정'!$E$19, IF(B121-'폭압 파라메터 산정'!$E$19&lt;-0.25,"none",0))</f>
        <v>none</v>
      </c>
      <c r="G121" s="32">
        <f>IF(B121-'폭압 파라메터 산정'!$E$19&gt;-0.25,'폭압 파라메터 산정'!$E$14*(1-F121/'폭압 파라메터 산정'!$E$20)*EXP(-Graph!$D$3*F121/'폭압 파라메터 산정'!$E$20),0)</f>
        <v>0</v>
      </c>
      <c r="H121" s="32">
        <f>IF(B121-'폭압 파라메터 산정'!$E$19&gt;-0.25,'폭압 파라메터 산정'!$E$16*(1-F121/'폭압 파라메터 산정'!$E$20)*EXP(-Graph!$D$3*F121/'폭압 파라메터 산정'!$E$20),0)</f>
        <v>0</v>
      </c>
    </row>
    <row r="122" spans="2:8" x14ac:dyDescent="0.3">
      <c r="B122">
        <f t="shared" si="1"/>
        <v>28.75</v>
      </c>
      <c r="C122" s="33" t="str">
        <f>IF(B122-'폭압 파라메터 산정'!$C$19&gt;0,B122-'폭압 파라메터 산정'!$C$19, IF(B122-'폭압 파라메터 산정'!$C$19&lt;-0.25,"none",0))</f>
        <v>none</v>
      </c>
      <c r="D122" s="32">
        <f>IF(B122-'폭압 파라메터 산정'!$C$19&gt;-0.25,'폭압 파라메터 산정'!$C$14*(1-Graph!C122/'폭압 파라메터 산정'!$C$20)*EXP(-Graph!$D$3*Graph!C122/'폭압 파라메터 산정'!$C$20),0)</f>
        <v>0</v>
      </c>
      <c r="E122" s="32">
        <f>IF(B122-'폭압 파라메터 산정'!$C$19&gt;-0.25,'폭압 파라메터 산정'!$C$16*(1-Graph!C122/'폭압 파라메터 산정'!$C$20)*EXP(-Graph!$D$3*Graph!C122/'폭압 파라메터 산정'!$C$20),0)</f>
        <v>0</v>
      </c>
      <c r="F122" s="34" t="str">
        <f>IF(B122-'폭압 파라메터 산정'!$E$19&gt;0,B122-'폭압 파라메터 산정'!$E$19, IF(B122-'폭압 파라메터 산정'!$E$19&lt;-0.25,"none",0))</f>
        <v>none</v>
      </c>
      <c r="G122" s="32">
        <f>IF(B122-'폭압 파라메터 산정'!$E$19&gt;-0.25,'폭압 파라메터 산정'!$E$14*(1-F122/'폭압 파라메터 산정'!$E$20)*EXP(-Graph!$D$3*F122/'폭압 파라메터 산정'!$E$20),0)</f>
        <v>0</v>
      </c>
      <c r="H122" s="32">
        <f>IF(B122-'폭압 파라메터 산정'!$E$19&gt;-0.25,'폭압 파라메터 산정'!$E$16*(1-F122/'폭압 파라메터 산정'!$E$20)*EXP(-Graph!$D$3*F122/'폭압 파라메터 산정'!$E$20),0)</f>
        <v>0</v>
      </c>
    </row>
    <row r="123" spans="2:8" x14ac:dyDescent="0.3">
      <c r="B123">
        <f t="shared" si="1"/>
        <v>29</v>
      </c>
      <c r="C123" s="33" t="str">
        <f>IF(B123-'폭압 파라메터 산정'!$C$19&gt;0,B123-'폭압 파라메터 산정'!$C$19, IF(B123-'폭압 파라메터 산정'!$C$19&lt;-0.25,"none",0))</f>
        <v>none</v>
      </c>
      <c r="D123" s="32">
        <f>IF(B123-'폭압 파라메터 산정'!$C$19&gt;-0.25,'폭압 파라메터 산정'!$C$14*(1-Graph!C123/'폭압 파라메터 산정'!$C$20)*EXP(-Graph!$D$3*Graph!C123/'폭압 파라메터 산정'!$C$20),0)</f>
        <v>0</v>
      </c>
      <c r="E123" s="32">
        <f>IF(B123-'폭압 파라메터 산정'!$C$19&gt;-0.25,'폭압 파라메터 산정'!$C$16*(1-Graph!C123/'폭압 파라메터 산정'!$C$20)*EXP(-Graph!$D$3*Graph!C123/'폭압 파라메터 산정'!$C$20),0)</f>
        <v>0</v>
      </c>
      <c r="F123" s="34" t="str">
        <f>IF(B123-'폭압 파라메터 산정'!$E$19&gt;0,B123-'폭압 파라메터 산정'!$E$19, IF(B123-'폭압 파라메터 산정'!$E$19&lt;-0.25,"none",0))</f>
        <v>none</v>
      </c>
      <c r="G123" s="32">
        <f>IF(B123-'폭압 파라메터 산정'!$E$19&gt;-0.25,'폭압 파라메터 산정'!$E$14*(1-F123/'폭압 파라메터 산정'!$E$20)*EXP(-Graph!$D$3*F123/'폭압 파라메터 산정'!$E$20),0)</f>
        <v>0</v>
      </c>
      <c r="H123" s="32">
        <f>IF(B123-'폭압 파라메터 산정'!$E$19&gt;-0.25,'폭압 파라메터 산정'!$E$16*(1-F123/'폭압 파라메터 산정'!$E$20)*EXP(-Graph!$D$3*F123/'폭압 파라메터 산정'!$E$20),0)</f>
        <v>0</v>
      </c>
    </row>
    <row r="124" spans="2:8" x14ac:dyDescent="0.3">
      <c r="B124">
        <f t="shared" si="1"/>
        <v>29.25</v>
      </c>
      <c r="C124" s="33" t="str">
        <f>IF(B124-'폭압 파라메터 산정'!$C$19&gt;0,B124-'폭압 파라메터 산정'!$C$19, IF(B124-'폭압 파라메터 산정'!$C$19&lt;-0.25,"none",0))</f>
        <v>none</v>
      </c>
      <c r="D124" s="32">
        <f>IF(B124-'폭압 파라메터 산정'!$C$19&gt;-0.25,'폭압 파라메터 산정'!$C$14*(1-Graph!C124/'폭압 파라메터 산정'!$C$20)*EXP(-Graph!$D$3*Graph!C124/'폭압 파라메터 산정'!$C$20),0)</f>
        <v>0</v>
      </c>
      <c r="E124" s="32">
        <f>IF(B124-'폭압 파라메터 산정'!$C$19&gt;-0.25,'폭압 파라메터 산정'!$C$16*(1-Graph!C124/'폭압 파라메터 산정'!$C$20)*EXP(-Graph!$D$3*Graph!C124/'폭압 파라메터 산정'!$C$20),0)</f>
        <v>0</v>
      </c>
      <c r="F124" s="34" t="str">
        <f>IF(B124-'폭압 파라메터 산정'!$E$19&gt;0,B124-'폭압 파라메터 산정'!$E$19, IF(B124-'폭압 파라메터 산정'!$E$19&lt;-0.25,"none",0))</f>
        <v>none</v>
      </c>
      <c r="G124" s="32">
        <f>IF(B124-'폭압 파라메터 산정'!$E$19&gt;-0.25,'폭압 파라메터 산정'!$E$14*(1-F124/'폭압 파라메터 산정'!$E$20)*EXP(-Graph!$D$3*F124/'폭압 파라메터 산정'!$E$20),0)</f>
        <v>0</v>
      </c>
      <c r="H124" s="32">
        <f>IF(B124-'폭압 파라메터 산정'!$E$19&gt;-0.25,'폭압 파라메터 산정'!$E$16*(1-F124/'폭압 파라메터 산정'!$E$20)*EXP(-Graph!$D$3*F124/'폭압 파라메터 산정'!$E$20),0)</f>
        <v>0</v>
      </c>
    </row>
    <row r="125" spans="2:8" x14ac:dyDescent="0.3">
      <c r="B125">
        <f t="shared" si="1"/>
        <v>29.5</v>
      </c>
      <c r="C125" s="33" t="str">
        <f>IF(B125-'폭압 파라메터 산정'!$C$19&gt;0,B125-'폭압 파라메터 산정'!$C$19, IF(B125-'폭압 파라메터 산정'!$C$19&lt;-0.25,"none",0))</f>
        <v>none</v>
      </c>
      <c r="D125" s="32">
        <f>IF(B125-'폭압 파라메터 산정'!$C$19&gt;-0.25,'폭압 파라메터 산정'!$C$14*(1-Graph!C125/'폭압 파라메터 산정'!$C$20)*EXP(-Graph!$D$3*Graph!C125/'폭압 파라메터 산정'!$C$20),0)</f>
        <v>0</v>
      </c>
      <c r="E125" s="32">
        <f>IF(B125-'폭압 파라메터 산정'!$C$19&gt;-0.25,'폭압 파라메터 산정'!$C$16*(1-Graph!C125/'폭압 파라메터 산정'!$C$20)*EXP(-Graph!$D$3*Graph!C125/'폭압 파라메터 산정'!$C$20),0)</f>
        <v>0</v>
      </c>
      <c r="F125" s="34" t="str">
        <f>IF(B125-'폭압 파라메터 산정'!$E$19&gt;0,B125-'폭압 파라메터 산정'!$E$19, IF(B125-'폭압 파라메터 산정'!$E$19&lt;-0.25,"none",0))</f>
        <v>none</v>
      </c>
      <c r="G125" s="32">
        <f>IF(B125-'폭압 파라메터 산정'!$E$19&gt;-0.25,'폭압 파라메터 산정'!$E$14*(1-F125/'폭압 파라메터 산정'!$E$20)*EXP(-Graph!$D$3*F125/'폭압 파라메터 산정'!$E$20),0)</f>
        <v>0</v>
      </c>
      <c r="H125" s="32">
        <f>IF(B125-'폭압 파라메터 산정'!$E$19&gt;-0.25,'폭압 파라메터 산정'!$E$16*(1-F125/'폭압 파라메터 산정'!$E$20)*EXP(-Graph!$D$3*F125/'폭압 파라메터 산정'!$E$20),0)</f>
        <v>0</v>
      </c>
    </row>
    <row r="126" spans="2:8" x14ac:dyDescent="0.3">
      <c r="B126">
        <f t="shared" si="1"/>
        <v>29.75</v>
      </c>
      <c r="C126" s="33" t="str">
        <f>IF(B126-'폭압 파라메터 산정'!$C$19&gt;0,B126-'폭압 파라메터 산정'!$C$19, IF(B126-'폭압 파라메터 산정'!$C$19&lt;-0.25,"none",0))</f>
        <v>none</v>
      </c>
      <c r="D126" s="32">
        <f>IF(B126-'폭압 파라메터 산정'!$C$19&gt;-0.25,'폭압 파라메터 산정'!$C$14*(1-Graph!C126/'폭압 파라메터 산정'!$C$20)*EXP(-Graph!$D$3*Graph!C126/'폭압 파라메터 산정'!$C$20),0)</f>
        <v>0</v>
      </c>
      <c r="E126" s="32">
        <f>IF(B126-'폭압 파라메터 산정'!$C$19&gt;-0.25,'폭압 파라메터 산정'!$C$16*(1-Graph!C126/'폭압 파라메터 산정'!$C$20)*EXP(-Graph!$D$3*Graph!C126/'폭압 파라메터 산정'!$C$20),0)</f>
        <v>0</v>
      </c>
      <c r="F126" s="34" t="str">
        <f>IF(B126-'폭압 파라메터 산정'!$E$19&gt;0,B126-'폭압 파라메터 산정'!$E$19, IF(B126-'폭압 파라메터 산정'!$E$19&lt;-0.25,"none",0))</f>
        <v>none</v>
      </c>
      <c r="G126" s="32">
        <f>IF(B126-'폭압 파라메터 산정'!$E$19&gt;-0.25,'폭압 파라메터 산정'!$E$14*(1-F126/'폭압 파라메터 산정'!$E$20)*EXP(-Graph!$D$3*F126/'폭압 파라메터 산정'!$E$20),0)</f>
        <v>0</v>
      </c>
      <c r="H126" s="32">
        <f>IF(B126-'폭압 파라메터 산정'!$E$19&gt;-0.25,'폭압 파라메터 산정'!$E$16*(1-F126/'폭압 파라메터 산정'!$E$20)*EXP(-Graph!$D$3*F126/'폭압 파라메터 산정'!$E$20),0)</f>
        <v>0</v>
      </c>
    </row>
    <row r="127" spans="2:8" x14ac:dyDescent="0.3">
      <c r="B127">
        <f t="shared" si="1"/>
        <v>30</v>
      </c>
      <c r="C127" s="33" t="str">
        <f>IF(B127-'폭압 파라메터 산정'!$C$19&gt;0,B127-'폭압 파라메터 산정'!$C$19, IF(B127-'폭압 파라메터 산정'!$C$19&lt;-0.25,"none",0))</f>
        <v>none</v>
      </c>
      <c r="D127" s="32">
        <f>IF(B127-'폭압 파라메터 산정'!$C$19&gt;-0.25,'폭압 파라메터 산정'!$C$14*(1-Graph!C127/'폭압 파라메터 산정'!$C$20)*EXP(-Graph!$D$3*Graph!C127/'폭압 파라메터 산정'!$C$20),0)</f>
        <v>0</v>
      </c>
      <c r="E127" s="32">
        <f>IF(B127-'폭압 파라메터 산정'!$C$19&gt;-0.25,'폭압 파라메터 산정'!$C$16*(1-Graph!C127/'폭압 파라메터 산정'!$C$20)*EXP(-Graph!$D$3*Graph!C127/'폭압 파라메터 산정'!$C$20),0)</f>
        <v>0</v>
      </c>
      <c r="F127" s="34" t="str">
        <f>IF(B127-'폭압 파라메터 산정'!$E$19&gt;0,B127-'폭압 파라메터 산정'!$E$19, IF(B127-'폭압 파라메터 산정'!$E$19&lt;-0.25,"none",0))</f>
        <v>none</v>
      </c>
      <c r="G127" s="32">
        <f>IF(B127-'폭압 파라메터 산정'!$E$19&gt;-0.25,'폭압 파라메터 산정'!$E$14*(1-F127/'폭압 파라메터 산정'!$E$20)*EXP(-Graph!$D$3*F127/'폭압 파라메터 산정'!$E$20),0)</f>
        <v>0</v>
      </c>
      <c r="H127" s="32">
        <f>IF(B127-'폭압 파라메터 산정'!$E$19&gt;-0.25,'폭압 파라메터 산정'!$E$16*(1-F127/'폭압 파라메터 산정'!$E$20)*EXP(-Graph!$D$3*F127/'폭압 파라메터 산정'!$E$20),0)</f>
        <v>0</v>
      </c>
    </row>
    <row r="128" spans="2:8" x14ac:dyDescent="0.3">
      <c r="B128">
        <f t="shared" si="1"/>
        <v>30.25</v>
      </c>
      <c r="C128" s="33" t="str">
        <f>IF(B128-'폭압 파라메터 산정'!$C$19&gt;0,B128-'폭압 파라메터 산정'!$C$19, IF(B128-'폭압 파라메터 산정'!$C$19&lt;-0.25,"none",0))</f>
        <v>none</v>
      </c>
      <c r="D128" s="32">
        <f>IF(B128-'폭압 파라메터 산정'!$C$19&gt;-0.25,'폭압 파라메터 산정'!$C$14*(1-Graph!C128/'폭압 파라메터 산정'!$C$20)*EXP(-Graph!$D$3*Graph!C128/'폭압 파라메터 산정'!$C$20),0)</f>
        <v>0</v>
      </c>
      <c r="E128" s="32">
        <f>IF(B128-'폭압 파라메터 산정'!$C$19&gt;-0.25,'폭압 파라메터 산정'!$C$16*(1-Graph!C128/'폭압 파라메터 산정'!$C$20)*EXP(-Graph!$D$3*Graph!C128/'폭압 파라메터 산정'!$C$20),0)</f>
        <v>0</v>
      </c>
      <c r="F128" s="34" t="str">
        <f>IF(B128-'폭압 파라메터 산정'!$E$19&gt;0,B128-'폭압 파라메터 산정'!$E$19, IF(B128-'폭압 파라메터 산정'!$E$19&lt;-0.25,"none",0))</f>
        <v>none</v>
      </c>
      <c r="G128" s="32">
        <f>IF(B128-'폭압 파라메터 산정'!$E$19&gt;-0.25,'폭압 파라메터 산정'!$E$14*(1-F128/'폭압 파라메터 산정'!$E$20)*EXP(-Graph!$D$3*F128/'폭압 파라메터 산정'!$E$20),0)</f>
        <v>0</v>
      </c>
      <c r="H128" s="32">
        <f>IF(B128-'폭압 파라메터 산정'!$E$19&gt;-0.25,'폭압 파라메터 산정'!$E$16*(1-F128/'폭압 파라메터 산정'!$E$20)*EXP(-Graph!$D$3*F128/'폭압 파라메터 산정'!$E$20),0)</f>
        <v>0</v>
      </c>
    </row>
    <row r="129" spans="2:8" x14ac:dyDescent="0.3">
      <c r="B129">
        <f t="shared" si="1"/>
        <v>30.5</v>
      </c>
      <c r="C129" s="33" t="str">
        <f>IF(B129-'폭압 파라메터 산정'!$C$19&gt;0,B129-'폭압 파라메터 산정'!$C$19, IF(B129-'폭압 파라메터 산정'!$C$19&lt;-0.25,"none",0))</f>
        <v>none</v>
      </c>
      <c r="D129" s="32">
        <f>IF(B129-'폭압 파라메터 산정'!$C$19&gt;-0.25,'폭압 파라메터 산정'!$C$14*(1-Graph!C129/'폭압 파라메터 산정'!$C$20)*EXP(-Graph!$D$3*Graph!C129/'폭압 파라메터 산정'!$C$20),0)</f>
        <v>0</v>
      </c>
      <c r="E129" s="32">
        <f>IF(B129-'폭압 파라메터 산정'!$C$19&gt;-0.25,'폭압 파라메터 산정'!$C$16*(1-Graph!C129/'폭압 파라메터 산정'!$C$20)*EXP(-Graph!$D$3*Graph!C129/'폭압 파라메터 산정'!$C$20),0)</f>
        <v>0</v>
      </c>
      <c r="F129" s="34" t="str">
        <f>IF(B129-'폭압 파라메터 산정'!$E$19&gt;0,B129-'폭압 파라메터 산정'!$E$19, IF(B129-'폭압 파라메터 산정'!$E$19&lt;-0.25,"none",0))</f>
        <v>none</v>
      </c>
      <c r="G129" s="32">
        <f>IF(B129-'폭압 파라메터 산정'!$E$19&gt;-0.25,'폭압 파라메터 산정'!$E$14*(1-F129/'폭압 파라메터 산정'!$E$20)*EXP(-Graph!$D$3*F129/'폭압 파라메터 산정'!$E$20),0)</f>
        <v>0</v>
      </c>
      <c r="H129" s="32">
        <f>IF(B129-'폭압 파라메터 산정'!$E$19&gt;-0.25,'폭압 파라메터 산정'!$E$16*(1-F129/'폭압 파라메터 산정'!$E$20)*EXP(-Graph!$D$3*F129/'폭압 파라메터 산정'!$E$20),0)</f>
        <v>0</v>
      </c>
    </row>
    <row r="130" spans="2:8" x14ac:dyDescent="0.3">
      <c r="B130">
        <f t="shared" si="1"/>
        <v>30.75</v>
      </c>
      <c r="C130" s="33" t="str">
        <f>IF(B130-'폭압 파라메터 산정'!$C$19&gt;0,B130-'폭압 파라메터 산정'!$C$19, IF(B130-'폭압 파라메터 산정'!$C$19&lt;-0.25,"none",0))</f>
        <v>none</v>
      </c>
      <c r="D130" s="32">
        <f>IF(B130-'폭압 파라메터 산정'!$C$19&gt;-0.25,'폭압 파라메터 산정'!$C$14*(1-Graph!C130/'폭압 파라메터 산정'!$C$20)*EXP(-Graph!$D$3*Graph!C130/'폭압 파라메터 산정'!$C$20),0)</f>
        <v>0</v>
      </c>
      <c r="E130" s="32">
        <f>IF(B130-'폭압 파라메터 산정'!$C$19&gt;-0.25,'폭압 파라메터 산정'!$C$16*(1-Graph!C130/'폭압 파라메터 산정'!$C$20)*EXP(-Graph!$D$3*Graph!C130/'폭압 파라메터 산정'!$C$20),0)</f>
        <v>0</v>
      </c>
      <c r="F130" s="34" t="str">
        <f>IF(B130-'폭압 파라메터 산정'!$E$19&gt;0,B130-'폭압 파라메터 산정'!$E$19, IF(B130-'폭압 파라메터 산정'!$E$19&lt;-0.25,"none",0))</f>
        <v>none</v>
      </c>
      <c r="G130" s="32">
        <f>IF(B130-'폭압 파라메터 산정'!$E$19&gt;-0.25,'폭압 파라메터 산정'!$E$14*(1-F130/'폭압 파라메터 산정'!$E$20)*EXP(-Graph!$D$3*F130/'폭압 파라메터 산정'!$E$20),0)</f>
        <v>0</v>
      </c>
      <c r="H130" s="32">
        <f>IF(B130-'폭압 파라메터 산정'!$E$19&gt;-0.25,'폭압 파라메터 산정'!$E$16*(1-F130/'폭압 파라메터 산정'!$E$20)*EXP(-Graph!$D$3*F130/'폭압 파라메터 산정'!$E$20),0)</f>
        <v>0</v>
      </c>
    </row>
    <row r="131" spans="2:8" x14ac:dyDescent="0.3">
      <c r="B131">
        <f t="shared" si="1"/>
        <v>31</v>
      </c>
      <c r="C131" s="33" t="str">
        <f>IF(B131-'폭압 파라메터 산정'!$C$19&gt;0,B131-'폭압 파라메터 산정'!$C$19, IF(B131-'폭압 파라메터 산정'!$C$19&lt;-0.25,"none",0))</f>
        <v>none</v>
      </c>
      <c r="D131" s="32">
        <f>IF(B131-'폭압 파라메터 산정'!$C$19&gt;-0.25,'폭압 파라메터 산정'!$C$14*(1-Graph!C131/'폭압 파라메터 산정'!$C$20)*EXP(-Graph!$D$3*Graph!C131/'폭압 파라메터 산정'!$C$20),0)</f>
        <v>0</v>
      </c>
      <c r="E131" s="32">
        <f>IF(B131-'폭압 파라메터 산정'!$C$19&gt;-0.25,'폭압 파라메터 산정'!$C$16*(1-Graph!C131/'폭압 파라메터 산정'!$C$20)*EXP(-Graph!$D$3*Graph!C131/'폭압 파라메터 산정'!$C$20),0)</f>
        <v>0</v>
      </c>
      <c r="F131" s="34" t="str">
        <f>IF(B131-'폭압 파라메터 산정'!$E$19&gt;0,B131-'폭압 파라메터 산정'!$E$19, IF(B131-'폭압 파라메터 산정'!$E$19&lt;-0.25,"none",0))</f>
        <v>none</v>
      </c>
      <c r="G131" s="32">
        <f>IF(B131-'폭압 파라메터 산정'!$E$19&gt;-0.25,'폭압 파라메터 산정'!$E$14*(1-F131/'폭압 파라메터 산정'!$E$20)*EXP(-Graph!$D$3*F131/'폭압 파라메터 산정'!$E$20),0)</f>
        <v>0</v>
      </c>
      <c r="H131" s="32">
        <f>IF(B131-'폭압 파라메터 산정'!$E$19&gt;-0.25,'폭압 파라메터 산정'!$E$16*(1-F131/'폭압 파라메터 산정'!$E$20)*EXP(-Graph!$D$3*F131/'폭압 파라메터 산정'!$E$20),0)</f>
        <v>0</v>
      </c>
    </row>
    <row r="132" spans="2:8" x14ac:dyDescent="0.3">
      <c r="B132">
        <f t="shared" si="1"/>
        <v>31.25</v>
      </c>
      <c r="C132" s="33" t="str">
        <f>IF(B132-'폭압 파라메터 산정'!$C$19&gt;0,B132-'폭압 파라메터 산정'!$C$19, IF(B132-'폭압 파라메터 산정'!$C$19&lt;-0.25,"none",0))</f>
        <v>none</v>
      </c>
      <c r="D132" s="32">
        <f>IF(B132-'폭압 파라메터 산정'!$C$19&gt;-0.25,'폭압 파라메터 산정'!$C$14*(1-Graph!C132/'폭압 파라메터 산정'!$C$20)*EXP(-Graph!$D$3*Graph!C132/'폭압 파라메터 산정'!$C$20),0)</f>
        <v>0</v>
      </c>
      <c r="E132" s="32">
        <f>IF(B132-'폭압 파라메터 산정'!$C$19&gt;-0.25,'폭압 파라메터 산정'!$C$16*(1-Graph!C132/'폭압 파라메터 산정'!$C$20)*EXP(-Graph!$D$3*Graph!C132/'폭압 파라메터 산정'!$C$20),0)</f>
        <v>0</v>
      </c>
      <c r="F132" s="34" t="str">
        <f>IF(B132-'폭압 파라메터 산정'!$E$19&gt;0,B132-'폭압 파라메터 산정'!$E$19, IF(B132-'폭압 파라메터 산정'!$E$19&lt;-0.25,"none",0))</f>
        <v>none</v>
      </c>
      <c r="G132" s="32">
        <f>IF(B132-'폭압 파라메터 산정'!$E$19&gt;-0.25,'폭압 파라메터 산정'!$E$14*(1-F132/'폭압 파라메터 산정'!$E$20)*EXP(-Graph!$D$3*F132/'폭압 파라메터 산정'!$E$20),0)</f>
        <v>0</v>
      </c>
      <c r="H132" s="32">
        <f>IF(B132-'폭압 파라메터 산정'!$E$19&gt;-0.25,'폭압 파라메터 산정'!$E$16*(1-F132/'폭압 파라메터 산정'!$E$20)*EXP(-Graph!$D$3*F132/'폭압 파라메터 산정'!$E$20),0)</f>
        <v>0</v>
      </c>
    </row>
    <row r="133" spans="2:8" x14ac:dyDescent="0.3">
      <c r="B133">
        <f t="shared" si="1"/>
        <v>31.5</v>
      </c>
      <c r="C133" s="33" t="str">
        <f>IF(B133-'폭압 파라메터 산정'!$C$19&gt;0,B133-'폭압 파라메터 산정'!$C$19, IF(B133-'폭압 파라메터 산정'!$C$19&lt;-0.25,"none",0))</f>
        <v>none</v>
      </c>
      <c r="D133" s="32">
        <f>IF(B133-'폭압 파라메터 산정'!$C$19&gt;-0.25,'폭압 파라메터 산정'!$C$14*(1-Graph!C133/'폭압 파라메터 산정'!$C$20)*EXP(-Graph!$D$3*Graph!C133/'폭압 파라메터 산정'!$C$20),0)</f>
        <v>0</v>
      </c>
      <c r="E133" s="32">
        <f>IF(B133-'폭압 파라메터 산정'!$C$19&gt;-0.25,'폭압 파라메터 산정'!$C$16*(1-Graph!C133/'폭압 파라메터 산정'!$C$20)*EXP(-Graph!$D$3*Graph!C133/'폭압 파라메터 산정'!$C$20),0)</f>
        <v>0</v>
      </c>
      <c r="F133" s="34" t="str">
        <f>IF(B133-'폭압 파라메터 산정'!$E$19&gt;0,B133-'폭압 파라메터 산정'!$E$19, IF(B133-'폭압 파라메터 산정'!$E$19&lt;-0.25,"none",0))</f>
        <v>none</v>
      </c>
      <c r="G133" s="32">
        <f>IF(B133-'폭압 파라메터 산정'!$E$19&gt;-0.25,'폭압 파라메터 산정'!$E$14*(1-F133/'폭압 파라메터 산정'!$E$20)*EXP(-Graph!$D$3*F133/'폭압 파라메터 산정'!$E$20),0)</f>
        <v>0</v>
      </c>
      <c r="H133" s="32">
        <f>IF(B133-'폭압 파라메터 산정'!$E$19&gt;-0.25,'폭압 파라메터 산정'!$E$16*(1-F133/'폭압 파라메터 산정'!$E$20)*EXP(-Graph!$D$3*F133/'폭압 파라메터 산정'!$E$20),0)</f>
        <v>0</v>
      </c>
    </row>
    <row r="134" spans="2:8" x14ac:dyDescent="0.3">
      <c r="B134">
        <f t="shared" si="1"/>
        <v>31.75</v>
      </c>
      <c r="C134" s="33" t="str">
        <f>IF(B134-'폭압 파라메터 산정'!$C$19&gt;0,B134-'폭압 파라메터 산정'!$C$19, IF(B134-'폭압 파라메터 산정'!$C$19&lt;-0.25,"none",0))</f>
        <v>none</v>
      </c>
      <c r="D134" s="32">
        <f>IF(B134-'폭압 파라메터 산정'!$C$19&gt;-0.25,'폭압 파라메터 산정'!$C$14*(1-Graph!C134/'폭압 파라메터 산정'!$C$20)*EXP(-Graph!$D$3*Graph!C134/'폭압 파라메터 산정'!$C$20),0)</f>
        <v>0</v>
      </c>
      <c r="E134" s="32">
        <f>IF(B134-'폭압 파라메터 산정'!$C$19&gt;-0.25,'폭압 파라메터 산정'!$C$16*(1-Graph!C134/'폭압 파라메터 산정'!$C$20)*EXP(-Graph!$D$3*Graph!C134/'폭압 파라메터 산정'!$C$20),0)</f>
        <v>0</v>
      </c>
      <c r="F134" s="34" t="str">
        <f>IF(B134-'폭압 파라메터 산정'!$E$19&gt;0,B134-'폭압 파라메터 산정'!$E$19, IF(B134-'폭압 파라메터 산정'!$E$19&lt;-0.25,"none",0))</f>
        <v>none</v>
      </c>
      <c r="G134" s="32">
        <f>IF(B134-'폭압 파라메터 산정'!$E$19&gt;-0.25,'폭압 파라메터 산정'!$E$14*(1-F134/'폭압 파라메터 산정'!$E$20)*EXP(-Graph!$D$3*F134/'폭압 파라메터 산정'!$E$20),0)</f>
        <v>0</v>
      </c>
      <c r="H134" s="32">
        <f>IF(B134-'폭압 파라메터 산정'!$E$19&gt;-0.25,'폭압 파라메터 산정'!$E$16*(1-F134/'폭압 파라메터 산정'!$E$20)*EXP(-Graph!$D$3*F134/'폭압 파라메터 산정'!$E$20),0)</f>
        <v>0</v>
      </c>
    </row>
    <row r="135" spans="2:8" x14ac:dyDescent="0.3">
      <c r="B135">
        <f t="shared" si="1"/>
        <v>32</v>
      </c>
      <c r="C135" s="33" t="str">
        <f>IF(B135-'폭압 파라메터 산정'!$C$19&gt;0,B135-'폭압 파라메터 산정'!$C$19, IF(B135-'폭압 파라메터 산정'!$C$19&lt;-0.25,"none",0))</f>
        <v>none</v>
      </c>
      <c r="D135" s="32">
        <f>IF(B135-'폭압 파라메터 산정'!$C$19&gt;-0.25,'폭압 파라메터 산정'!$C$14*(1-Graph!C135/'폭압 파라메터 산정'!$C$20)*EXP(-Graph!$D$3*Graph!C135/'폭압 파라메터 산정'!$C$20),0)</f>
        <v>0</v>
      </c>
      <c r="E135" s="32">
        <f>IF(B135-'폭압 파라메터 산정'!$C$19&gt;-0.25,'폭압 파라메터 산정'!$C$16*(1-Graph!C135/'폭압 파라메터 산정'!$C$20)*EXP(-Graph!$D$3*Graph!C135/'폭압 파라메터 산정'!$C$20),0)</f>
        <v>0</v>
      </c>
      <c r="F135" s="34" t="str">
        <f>IF(B135-'폭압 파라메터 산정'!$E$19&gt;0,B135-'폭압 파라메터 산정'!$E$19, IF(B135-'폭압 파라메터 산정'!$E$19&lt;-0.25,"none",0))</f>
        <v>none</v>
      </c>
      <c r="G135" s="32">
        <f>IF(B135-'폭압 파라메터 산정'!$E$19&gt;-0.25,'폭압 파라메터 산정'!$E$14*(1-F135/'폭압 파라메터 산정'!$E$20)*EXP(-Graph!$D$3*F135/'폭압 파라메터 산정'!$E$20),0)</f>
        <v>0</v>
      </c>
      <c r="H135" s="32">
        <f>IF(B135-'폭압 파라메터 산정'!$E$19&gt;-0.25,'폭압 파라메터 산정'!$E$16*(1-F135/'폭압 파라메터 산정'!$E$20)*EXP(-Graph!$D$3*F135/'폭압 파라메터 산정'!$E$20),0)</f>
        <v>0</v>
      </c>
    </row>
    <row r="136" spans="2:8" x14ac:dyDescent="0.3">
      <c r="B136">
        <f t="shared" si="1"/>
        <v>32.25</v>
      </c>
      <c r="C136" s="33" t="str">
        <f>IF(B136-'폭압 파라메터 산정'!$C$19&gt;0,B136-'폭압 파라메터 산정'!$C$19, IF(B136-'폭압 파라메터 산정'!$C$19&lt;-0.25,"none",0))</f>
        <v>none</v>
      </c>
      <c r="D136" s="32">
        <f>IF(B136-'폭압 파라메터 산정'!$C$19&gt;-0.25,'폭압 파라메터 산정'!$C$14*(1-Graph!C136/'폭압 파라메터 산정'!$C$20)*EXP(-Graph!$D$3*Graph!C136/'폭압 파라메터 산정'!$C$20),0)</f>
        <v>0</v>
      </c>
      <c r="E136" s="32">
        <f>IF(B136-'폭압 파라메터 산정'!$C$19&gt;-0.25,'폭압 파라메터 산정'!$C$16*(1-Graph!C136/'폭압 파라메터 산정'!$C$20)*EXP(-Graph!$D$3*Graph!C136/'폭압 파라메터 산정'!$C$20),0)</f>
        <v>0</v>
      </c>
      <c r="F136" s="34" t="str">
        <f>IF(B136-'폭압 파라메터 산정'!$E$19&gt;0,B136-'폭압 파라메터 산정'!$E$19, IF(B136-'폭압 파라메터 산정'!$E$19&lt;-0.25,"none",0))</f>
        <v>none</v>
      </c>
      <c r="G136" s="32">
        <f>IF(B136-'폭압 파라메터 산정'!$E$19&gt;-0.25,'폭압 파라메터 산정'!$E$14*(1-F136/'폭압 파라메터 산정'!$E$20)*EXP(-Graph!$D$3*F136/'폭압 파라메터 산정'!$E$20),0)</f>
        <v>0</v>
      </c>
      <c r="H136" s="32">
        <f>IF(B136-'폭압 파라메터 산정'!$E$19&gt;-0.25,'폭압 파라메터 산정'!$E$16*(1-F136/'폭압 파라메터 산정'!$E$20)*EXP(-Graph!$D$3*F136/'폭압 파라메터 산정'!$E$20),0)</f>
        <v>0</v>
      </c>
    </row>
    <row r="137" spans="2:8" x14ac:dyDescent="0.3">
      <c r="B137">
        <f t="shared" ref="B137:B200" si="2">B136+0.25</f>
        <v>32.5</v>
      </c>
      <c r="C137" s="33" t="str">
        <f>IF(B137-'폭압 파라메터 산정'!$C$19&gt;0,B137-'폭압 파라메터 산정'!$C$19, IF(B137-'폭압 파라메터 산정'!$C$19&lt;-0.25,"none",0))</f>
        <v>none</v>
      </c>
      <c r="D137" s="32">
        <f>IF(B137-'폭압 파라메터 산정'!$C$19&gt;-0.25,'폭압 파라메터 산정'!$C$14*(1-Graph!C137/'폭압 파라메터 산정'!$C$20)*EXP(-Graph!$D$3*Graph!C137/'폭압 파라메터 산정'!$C$20),0)</f>
        <v>0</v>
      </c>
      <c r="E137" s="32">
        <f>IF(B137-'폭압 파라메터 산정'!$C$19&gt;-0.25,'폭압 파라메터 산정'!$C$16*(1-Graph!C137/'폭압 파라메터 산정'!$C$20)*EXP(-Graph!$D$3*Graph!C137/'폭압 파라메터 산정'!$C$20),0)</f>
        <v>0</v>
      </c>
      <c r="F137" s="34" t="str">
        <f>IF(B137-'폭압 파라메터 산정'!$E$19&gt;0,B137-'폭압 파라메터 산정'!$E$19, IF(B137-'폭압 파라메터 산정'!$E$19&lt;-0.25,"none",0))</f>
        <v>none</v>
      </c>
      <c r="G137" s="32">
        <f>IF(B137-'폭압 파라메터 산정'!$E$19&gt;-0.25,'폭압 파라메터 산정'!$E$14*(1-F137/'폭압 파라메터 산정'!$E$20)*EXP(-Graph!$D$3*F137/'폭압 파라메터 산정'!$E$20),0)</f>
        <v>0</v>
      </c>
      <c r="H137" s="32">
        <f>IF(B137-'폭압 파라메터 산정'!$E$19&gt;-0.25,'폭압 파라메터 산정'!$E$16*(1-F137/'폭압 파라메터 산정'!$E$20)*EXP(-Graph!$D$3*F137/'폭압 파라메터 산정'!$E$20),0)</f>
        <v>0</v>
      </c>
    </row>
    <row r="138" spans="2:8" x14ac:dyDescent="0.3">
      <c r="B138">
        <f t="shared" si="2"/>
        <v>32.75</v>
      </c>
      <c r="C138" s="33" t="str">
        <f>IF(B138-'폭압 파라메터 산정'!$C$19&gt;0,B138-'폭압 파라메터 산정'!$C$19, IF(B138-'폭압 파라메터 산정'!$C$19&lt;-0.25,"none",0))</f>
        <v>none</v>
      </c>
      <c r="D138" s="32">
        <f>IF(B138-'폭압 파라메터 산정'!$C$19&gt;-0.25,'폭압 파라메터 산정'!$C$14*(1-Graph!C138/'폭압 파라메터 산정'!$C$20)*EXP(-Graph!$D$3*Graph!C138/'폭압 파라메터 산정'!$C$20),0)</f>
        <v>0</v>
      </c>
      <c r="E138" s="32">
        <f>IF(B138-'폭압 파라메터 산정'!$C$19&gt;-0.25,'폭압 파라메터 산정'!$C$16*(1-Graph!C138/'폭압 파라메터 산정'!$C$20)*EXP(-Graph!$D$3*Graph!C138/'폭압 파라메터 산정'!$C$20),0)</f>
        <v>0</v>
      </c>
      <c r="F138" s="34" t="str">
        <f>IF(B138-'폭압 파라메터 산정'!$E$19&gt;0,B138-'폭압 파라메터 산정'!$E$19, IF(B138-'폭압 파라메터 산정'!$E$19&lt;-0.25,"none",0))</f>
        <v>none</v>
      </c>
      <c r="G138" s="32">
        <f>IF(B138-'폭압 파라메터 산정'!$E$19&gt;-0.25,'폭압 파라메터 산정'!$E$14*(1-F138/'폭압 파라메터 산정'!$E$20)*EXP(-Graph!$D$3*F138/'폭압 파라메터 산정'!$E$20),0)</f>
        <v>0</v>
      </c>
      <c r="H138" s="32">
        <f>IF(B138-'폭압 파라메터 산정'!$E$19&gt;-0.25,'폭압 파라메터 산정'!$E$16*(1-F138/'폭압 파라메터 산정'!$E$20)*EXP(-Graph!$D$3*F138/'폭압 파라메터 산정'!$E$20),0)</f>
        <v>0</v>
      </c>
    </row>
    <row r="139" spans="2:8" x14ac:dyDescent="0.3">
      <c r="B139">
        <f t="shared" si="2"/>
        <v>33</v>
      </c>
      <c r="C139" s="33" t="str">
        <f>IF(B139-'폭압 파라메터 산정'!$C$19&gt;0,B139-'폭압 파라메터 산정'!$C$19, IF(B139-'폭압 파라메터 산정'!$C$19&lt;-0.25,"none",0))</f>
        <v>none</v>
      </c>
      <c r="D139" s="32">
        <f>IF(B139-'폭압 파라메터 산정'!$C$19&gt;-0.25,'폭압 파라메터 산정'!$C$14*(1-Graph!C139/'폭압 파라메터 산정'!$C$20)*EXP(-Graph!$D$3*Graph!C139/'폭압 파라메터 산정'!$C$20),0)</f>
        <v>0</v>
      </c>
      <c r="E139" s="32">
        <f>IF(B139-'폭압 파라메터 산정'!$C$19&gt;-0.25,'폭압 파라메터 산정'!$C$16*(1-Graph!C139/'폭압 파라메터 산정'!$C$20)*EXP(-Graph!$D$3*Graph!C139/'폭압 파라메터 산정'!$C$20),0)</f>
        <v>0</v>
      </c>
      <c r="F139" s="34" t="str">
        <f>IF(B139-'폭압 파라메터 산정'!$E$19&gt;0,B139-'폭압 파라메터 산정'!$E$19, IF(B139-'폭압 파라메터 산정'!$E$19&lt;-0.25,"none",0))</f>
        <v>none</v>
      </c>
      <c r="G139" s="32">
        <f>IF(B139-'폭압 파라메터 산정'!$E$19&gt;-0.25,'폭압 파라메터 산정'!$E$14*(1-F139/'폭압 파라메터 산정'!$E$20)*EXP(-Graph!$D$3*F139/'폭압 파라메터 산정'!$E$20),0)</f>
        <v>0</v>
      </c>
      <c r="H139" s="32">
        <f>IF(B139-'폭압 파라메터 산정'!$E$19&gt;-0.25,'폭압 파라메터 산정'!$E$16*(1-F139/'폭압 파라메터 산정'!$E$20)*EXP(-Graph!$D$3*F139/'폭압 파라메터 산정'!$E$20),0)</f>
        <v>0</v>
      </c>
    </row>
    <row r="140" spans="2:8" x14ac:dyDescent="0.3">
      <c r="B140">
        <f t="shared" si="2"/>
        <v>33.25</v>
      </c>
      <c r="C140" s="33" t="str">
        <f>IF(B140-'폭압 파라메터 산정'!$C$19&gt;0,B140-'폭압 파라메터 산정'!$C$19, IF(B140-'폭압 파라메터 산정'!$C$19&lt;-0.25,"none",0))</f>
        <v>none</v>
      </c>
      <c r="D140" s="32">
        <f>IF(B140-'폭압 파라메터 산정'!$C$19&gt;-0.25,'폭압 파라메터 산정'!$C$14*(1-Graph!C140/'폭압 파라메터 산정'!$C$20)*EXP(-Graph!$D$3*Graph!C140/'폭압 파라메터 산정'!$C$20),0)</f>
        <v>0</v>
      </c>
      <c r="E140" s="32">
        <f>IF(B140-'폭압 파라메터 산정'!$C$19&gt;-0.25,'폭압 파라메터 산정'!$C$16*(1-Graph!C140/'폭압 파라메터 산정'!$C$20)*EXP(-Graph!$D$3*Graph!C140/'폭압 파라메터 산정'!$C$20),0)</f>
        <v>0</v>
      </c>
      <c r="F140" s="34" t="str">
        <f>IF(B140-'폭압 파라메터 산정'!$E$19&gt;0,B140-'폭압 파라메터 산정'!$E$19, IF(B140-'폭압 파라메터 산정'!$E$19&lt;-0.25,"none",0))</f>
        <v>none</v>
      </c>
      <c r="G140" s="32">
        <f>IF(B140-'폭압 파라메터 산정'!$E$19&gt;-0.25,'폭압 파라메터 산정'!$E$14*(1-F140/'폭압 파라메터 산정'!$E$20)*EXP(-Graph!$D$3*F140/'폭압 파라메터 산정'!$E$20),0)</f>
        <v>0</v>
      </c>
      <c r="H140" s="32">
        <f>IF(B140-'폭압 파라메터 산정'!$E$19&gt;-0.25,'폭압 파라메터 산정'!$E$16*(1-F140/'폭압 파라메터 산정'!$E$20)*EXP(-Graph!$D$3*F140/'폭압 파라메터 산정'!$E$20),0)</f>
        <v>0</v>
      </c>
    </row>
    <row r="141" spans="2:8" x14ac:dyDescent="0.3">
      <c r="B141">
        <f t="shared" si="2"/>
        <v>33.5</v>
      </c>
      <c r="C141" s="33" t="str">
        <f>IF(B141-'폭압 파라메터 산정'!$C$19&gt;0,B141-'폭압 파라메터 산정'!$C$19, IF(B141-'폭압 파라메터 산정'!$C$19&lt;-0.25,"none",0))</f>
        <v>none</v>
      </c>
      <c r="D141" s="32">
        <f>IF(B141-'폭압 파라메터 산정'!$C$19&gt;-0.25,'폭압 파라메터 산정'!$C$14*(1-Graph!C141/'폭압 파라메터 산정'!$C$20)*EXP(-Graph!$D$3*Graph!C141/'폭압 파라메터 산정'!$C$20),0)</f>
        <v>0</v>
      </c>
      <c r="E141" s="32">
        <f>IF(B141-'폭압 파라메터 산정'!$C$19&gt;-0.25,'폭압 파라메터 산정'!$C$16*(1-Graph!C141/'폭압 파라메터 산정'!$C$20)*EXP(-Graph!$D$3*Graph!C141/'폭압 파라메터 산정'!$C$20),0)</f>
        <v>0</v>
      </c>
      <c r="F141" s="34" t="str">
        <f>IF(B141-'폭압 파라메터 산정'!$E$19&gt;0,B141-'폭압 파라메터 산정'!$E$19, IF(B141-'폭압 파라메터 산정'!$E$19&lt;-0.25,"none",0))</f>
        <v>none</v>
      </c>
      <c r="G141" s="32">
        <f>IF(B141-'폭압 파라메터 산정'!$E$19&gt;-0.25,'폭압 파라메터 산정'!$E$14*(1-F141/'폭압 파라메터 산정'!$E$20)*EXP(-Graph!$D$3*F141/'폭압 파라메터 산정'!$E$20),0)</f>
        <v>0</v>
      </c>
      <c r="H141" s="32">
        <f>IF(B141-'폭압 파라메터 산정'!$E$19&gt;-0.25,'폭압 파라메터 산정'!$E$16*(1-F141/'폭압 파라메터 산정'!$E$20)*EXP(-Graph!$D$3*F141/'폭압 파라메터 산정'!$E$20),0)</f>
        <v>0</v>
      </c>
    </row>
    <row r="142" spans="2:8" x14ac:dyDescent="0.3">
      <c r="B142">
        <f t="shared" si="2"/>
        <v>33.75</v>
      </c>
      <c r="C142" s="33" t="str">
        <f>IF(B142-'폭압 파라메터 산정'!$C$19&gt;0,B142-'폭압 파라메터 산정'!$C$19, IF(B142-'폭압 파라메터 산정'!$C$19&lt;-0.25,"none",0))</f>
        <v>none</v>
      </c>
      <c r="D142" s="32">
        <f>IF(B142-'폭압 파라메터 산정'!$C$19&gt;-0.25,'폭압 파라메터 산정'!$C$14*(1-Graph!C142/'폭압 파라메터 산정'!$C$20)*EXP(-Graph!$D$3*Graph!C142/'폭압 파라메터 산정'!$C$20),0)</f>
        <v>0</v>
      </c>
      <c r="E142" s="32">
        <f>IF(B142-'폭압 파라메터 산정'!$C$19&gt;-0.25,'폭압 파라메터 산정'!$C$16*(1-Graph!C142/'폭압 파라메터 산정'!$C$20)*EXP(-Graph!$D$3*Graph!C142/'폭압 파라메터 산정'!$C$20),0)</f>
        <v>0</v>
      </c>
      <c r="F142" s="34" t="str">
        <f>IF(B142-'폭압 파라메터 산정'!$E$19&gt;0,B142-'폭압 파라메터 산정'!$E$19, IF(B142-'폭압 파라메터 산정'!$E$19&lt;-0.25,"none",0))</f>
        <v>none</v>
      </c>
      <c r="G142" s="32">
        <f>IF(B142-'폭압 파라메터 산정'!$E$19&gt;-0.25,'폭압 파라메터 산정'!$E$14*(1-F142/'폭압 파라메터 산정'!$E$20)*EXP(-Graph!$D$3*F142/'폭압 파라메터 산정'!$E$20),0)</f>
        <v>0</v>
      </c>
      <c r="H142" s="32">
        <f>IF(B142-'폭압 파라메터 산정'!$E$19&gt;-0.25,'폭압 파라메터 산정'!$E$16*(1-F142/'폭압 파라메터 산정'!$E$20)*EXP(-Graph!$D$3*F142/'폭압 파라메터 산정'!$E$20),0)</f>
        <v>0</v>
      </c>
    </row>
    <row r="143" spans="2:8" x14ac:dyDescent="0.3">
      <c r="B143">
        <f t="shared" si="2"/>
        <v>34</v>
      </c>
      <c r="C143" s="33" t="str">
        <f>IF(B143-'폭압 파라메터 산정'!$C$19&gt;0,B143-'폭압 파라메터 산정'!$C$19, IF(B143-'폭압 파라메터 산정'!$C$19&lt;-0.25,"none",0))</f>
        <v>none</v>
      </c>
      <c r="D143" s="32">
        <f>IF(B143-'폭압 파라메터 산정'!$C$19&gt;-0.25,'폭압 파라메터 산정'!$C$14*(1-Graph!C143/'폭압 파라메터 산정'!$C$20)*EXP(-Graph!$D$3*Graph!C143/'폭압 파라메터 산정'!$C$20),0)</f>
        <v>0</v>
      </c>
      <c r="E143" s="32">
        <f>IF(B143-'폭압 파라메터 산정'!$C$19&gt;-0.25,'폭압 파라메터 산정'!$C$16*(1-Graph!C143/'폭압 파라메터 산정'!$C$20)*EXP(-Graph!$D$3*Graph!C143/'폭압 파라메터 산정'!$C$20),0)</f>
        <v>0</v>
      </c>
      <c r="F143" s="34" t="str">
        <f>IF(B143-'폭압 파라메터 산정'!$E$19&gt;0,B143-'폭압 파라메터 산정'!$E$19, IF(B143-'폭압 파라메터 산정'!$E$19&lt;-0.25,"none",0))</f>
        <v>none</v>
      </c>
      <c r="G143" s="32">
        <f>IF(B143-'폭압 파라메터 산정'!$E$19&gt;-0.25,'폭압 파라메터 산정'!$E$14*(1-F143/'폭압 파라메터 산정'!$E$20)*EXP(-Graph!$D$3*F143/'폭압 파라메터 산정'!$E$20),0)</f>
        <v>0</v>
      </c>
      <c r="H143" s="32">
        <f>IF(B143-'폭압 파라메터 산정'!$E$19&gt;-0.25,'폭압 파라메터 산정'!$E$16*(1-F143/'폭압 파라메터 산정'!$E$20)*EXP(-Graph!$D$3*F143/'폭압 파라메터 산정'!$E$20),0)</f>
        <v>0</v>
      </c>
    </row>
    <row r="144" spans="2:8" x14ac:dyDescent="0.3">
      <c r="B144">
        <f t="shared" si="2"/>
        <v>34.25</v>
      </c>
      <c r="C144" s="33" t="str">
        <f>IF(B144-'폭압 파라메터 산정'!$C$19&gt;0,B144-'폭압 파라메터 산정'!$C$19, IF(B144-'폭압 파라메터 산정'!$C$19&lt;-0.25,"none",0))</f>
        <v>none</v>
      </c>
      <c r="D144" s="32">
        <f>IF(B144-'폭압 파라메터 산정'!$C$19&gt;-0.25,'폭압 파라메터 산정'!$C$14*(1-Graph!C144/'폭압 파라메터 산정'!$C$20)*EXP(-Graph!$D$3*Graph!C144/'폭압 파라메터 산정'!$C$20),0)</f>
        <v>0</v>
      </c>
      <c r="E144" s="32">
        <f>IF(B144-'폭압 파라메터 산정'!$C$19&gt;-0.25,'폭압 파라메터 산정'!$C$16*(1-Graph!C144/'폭압 파라메터 산정'!$C$20)*EXP(-Graph!$D$3*Graph!C144/'폭압 파라메터 산정'!$C$20),0)</f>
        <v>0</v>
      </c>
      <c r="F144" s="34" t="str">
        <f>IF(B144-'폭압 파라메터 산정'!$E$19&gt;0,B144-'폭압 파라메터 산정'!$E$19, IF(B144-'폭압 파라메터 산정'!$E$19&lt;-0.25,"none",0))</f>
        <v>none</v>
      </c>
      <c r="G144" s="32">
        <f>IF(B144-'폭압 파라메터 산정'!$E$19&gt;-0.25,'폭압 파라메터 산정'!$E$14*(1-F144/'폭압 파라메터 산정'!$E$20)*EXP(-Graph!$D$3*F144/'폭압 파라메터 산정'!$E$20),0)</f>
        <v>0</v>
      </c>
      <c r="H144" s="32">
        <f>IF(B144-'폭압 파라메터 산정'!$E$19&gt;-0.25,'폭압 파라메터 산정'!$E$16*(1-F144/'폭압 파라메터 산정'!$E$20)*EXP(-Graph!$D$3*F144/'폭압 파라메터 산정'!$E$20),0)</f>
        <v>0</v>
      </c>
    </row>
    <row r="145" spans="2:8" x14ac:dyDescent="0.3">
      <c r="B145">
        <f t="shared" si="2"/>
        <v>34.5</v>
      </c>
      <c r="C145" s="33" t="str">
        <f>IF(B145-'폭압 파라메터 산정'!$C$19&gt;0,B145-'폭압 파라메터 산정'!$C$19, IF(B145-'폭압 파라메터 산정'!$C$19&lt;-0.25,"none",0))</f>
        <v>none</v>
      </c>
      <c r="D145" s="32">
        <f>IF(B145-'폭압 파라메터 산정'!$C$19&gt;-0.25,'폭압 파라메터 산정'!$C$14*(1-Graph!C145/'폭압 파라메터 산정'!$C$20)*EXP(-Graph!$D$3*Graph!C145/'폭압 파라메터 산정'!$C$20),0)</f>
        <v>0</v>
      </c>
      <c r="E145" s="32">
        <f>IF(B145-'폭압 파라메터 산정'!$C$19&gt;-0.25,'폭압 파라메터 산정'!$C$16*(1-Graph!C145/'폭압 파라메터 산정'!$C$20)*EXP(-Graph!$D$3*Graph!C145/'폭압 파라메터 산정'!$C$20),0)</f>
        <v>0</v>
      </c>
      <c r="F145" s="34" t="str">
        <f>IF(B145-'폭압 파라메터 산정'!$E$19&gt;0,B145-'폭압 파라메터 산정'!$E$19, IF(B145-'폭압 파라메터 산정'!$E$19&lt;-0.25,"none",0))</f>
        <v>none</v>
      </c>
      <c r="G145" s="32">
        <f>IF(B145-'폭압 파라메터 산정'!$E$19&gt;-0.25,'폭압 파라메터 산정'!$E$14*(1-F145/'폭압 파라메터 산정'!$E$20)*EXP(-Graph!$D$3*F145/'폭압 파라메터 산정'!$E$20),0)</f>
        <v>0</v>
      </c>
      <c r="H145" s="32">
        <f>IF(B145-'폭압 파라메터 산정'!$E$19&gt;-0.25,'폭압 파라메터 산정'!$E$16*(1-F145/'폭압 파라메터 산정'!$E$20)*EXP(-Graph!$D$3*F145/'폭압 파라메터 산정'!$E$20),0)</f>
        <v>0</v>
      </c>
    </row>
    <row r="146" spans="2:8" x14ac:dyDescent="0.3">
      <c r="B146">
        <f t="shared" si="2"/>
        <v>34.75</v>
      </c>
      <c r="C146" s="33" t="str">
        <f>IF(B146-'폭압 파라메터 산정'!$C$19&gt;0,B146-'폭압 파라메터 산정'!$C$19, IF(B146-'폭압 파라메터 산정'!$C$19&lt;-0.25,"none",0))</f>
        <v>none</v>
      </c>
      <c r="D146" s="32">
        <f>IF(B146-'폭압 파라메터 산정'!$C$19&gt;-0.25,'폭압 파라메터 산정'!$C$14*(1-Graph!C146/'폭압 파라메터 산정'!$C$20)*EXP(-Graph!$D$3*Graph!C146/'폭압 파라메터 산정'!$C$20),0)</f>
        <v>0</v>
      </c>
      <c r="E146" s="32">
        <f>IF(B146-'폭압 파라메터 산정'!$C$19&gt;-0.25,'폭압 파라메터 산정'!$C$16*(1-Graph!C146/'폭압 파라메터 산정'!$C$20)*EXP(-Graph!$D$3*Graph!C146/'폭압 파라메터 산정'!$C$20),0)</f>
        <v>0</v>
      </c>
      <c r="F146" s="34" t="str">
        <f>IF(B146-'폭압 파라메터 산정'!$E$19&gt;0,B146-'폭압 파라메터 산정'!$E$19, IF(B146-'폭압 파라메터 산정'!$E$19&lt;-0.25,"none",0))</f>
        <v>none</v>
      </c>
      <c r="G146" s="32">
        <f>IF(B146-'폭압 파라메터 산정'!$E$19&gt;-0.25,'폭압 파라메터 산정'!$E$14*(1-F146/'폭압 파라메터 산정'!$E$20)*EXP(-Graph!$D$3*F146/'폭압 파라메터 산정'!$E$20),0)</f>
        <v>0</v>
      </c>
      <c r="H146" s="32">
        <f>IF(B146-'폭압 파라메터 산정'!$E$19&gt;-0.25,'폭압 파라메터 산정'!$E$16*(1-F146/'폭압 파라메터 산정'!$E$20)*EXP(-Graph!$D$3*F146/'폭압 파라메터 산정'!$E$20),0)</f>
        <v>0</v>
      </c>
    </row>
    <row r="147" spans="2:8" x14ac:dyDescent="0.3">
      <c r="B147">
        <f t="shared" si="2"/>
        <v>35</v>
      </c>
      <c r="C147" s="33" t="str">
        <f>IF(B147-'폭압 파라메터 산정'!$C$19&gt;0,B147-'폭압 파라메터 산정'!$C$19, IF(B147-'폭압 파라메터 산정'!$C$19&lt;-0.25,"none",0))</f>
        <v>none</v>
      </c>
      <c r="D147" s="32">
        <f>IF(B147-'폭압 파라메터 산정'!$C$19&gt;-0.25,'폭압 파라메터 산정'!$C$14*(1-Graph!C147/'폭압 파라메터 산정'!$C$20)*EXP(-Graph!$D$3*Graph!C147/'폭압 파라메터 산정'!$C$20),0)</f>
        <v>0</v>
      </c>
      <c r="E147" s="32">
        <f>IF(B147-'폭압 파라메터 산정'!$C$19&gt;-0.25,'폭압 파라메터 산정'!$C$16*(1-Graph!C147/'폭압 파라메터 산정'!$C$20)*EXP(-Graph!$D$3*Graph!C147/'폭압 파라메터 산정'!$C$20),0)</f>
        <v>0</v>
      </c>
      <c r="F147" s="34" t="str">
        <f>IF(B147-'폭압 파라메터 산정'!$E$19&gt;0,B147-'폭압 파라메터 산정'!$E$19, IF(B147-'폭압 파라메터 산정'!$E$19&lt;-0.25,"none",0))</f>
        <v>none</v>
      </c>
      <c r="G147" s="32">
        <f>IF(B147-'폭압 파라메터 산정'!$E$19&gt;-0.25,'폭압 파라메터 산정'!$E$14*(1-F147/'폭압 파라메터 산정'!$E$20)*EXP(-Graph!$D$3*F147/'폭압 파라메터 산정'!$E$20),0)</f>
        <v>0</v>
      </c>
      <c r="H147" s="32">
        <f>IF(B147-'폭압 파라메터 산정'!$E$19&gt;-0.25,'폭압 파라메터 산정'!$E$16*(1-F147/'폭압 파라메터 산정'!$E$20)*EXP(-Graph!$D$3*F147/'폭압 파라메터 산정'!$E$20),0)</f>
        <v>0</v>
      </c>
    </row>
    <row r="148" spans="2:8" x14ac:dyDescent="0.3">
      <c r="B148">
        <f t="shared" si="2"/>
        <v>35.25</v>
      </c>
      <c r="C148" s="33" t="str">
        <f>IF(B148-'폭압 파라메터 산정'!$C$19&gt;0,B148-'폭압 파라메터 산정'!$C$19, IF(B148-'폭압 파라메터 산정'!$C$19&lt;-0.25,"none",0))</f>
        <v>none</v>
      </c>
      <c r="D148" s="32">
        <f>IF(B148-'폭압 파라메터 산정'!$C$19&gt;-0.25,'폭압 파라메터 산정'!$C$14*(1-Graph!C148/'폭압 파라메터 산정'!$C$20)*EXP(-Graph!$D$3*Graph!C148/'폭압 파라메터 산정'!$C$20),0)</f>
        <v>0</v>
      </c>
      <c r="E148" s="32">
        <f>IF(B148-'폭압 파라메터 산정'!$C$19&gt;-0.25,'폭압 파라메터 산정'!$C$16*(1-Graph!C148/'폭압 파라메터 산정'!$C$20)*EXP(-Graph!$D$3*Graph!C148/'폭압 파라메터 산정'!$C$20),0)</f>
        <v>0</v>
      </c>
      <c r="F148" s="34" t="str">
        <f>IF(B148-'폭압 파라메터 산정'!$E$19&gt;0,B148-'폭압 파라메터 산정'!$E$19, IF(B148-'폭압 파라메터 산정'!$E$19&lt;-0.25,"none",0))</f>
        <v>none</v>
      </c>
      <c r="G148" s="32">
        <f>IF(B148-'폭압 파라메터 산정'!$E$19&gt;-0.25,'폭압 파라메터 산정'!$E$14*(1-F148/'폭압 파라메터 산정'!$E$20)*EXP(-Graph!$D$3*F148/'폭압 파라메터 산정'!$E$20),0)</f>
        <v>0</v>
      </c>
      <c r="H148" s="32">
        <f>IF(B148-'폭압 파라메터 산정'!$E$19&gt;-0.25,'폭압 파라메터 산정'!$E$16*(1-F148/'폭압 파라메터 산정'!$E$20)*EXP(-Graph!$D$3*F148/'폭압 파라메터 산정'!$E$20),0)</f>
        <v>0</v>
      </c>
    </row>
    <row r="149" spans="2:8" x14ac:dyDescent="0.3">
      <c r="B149">
        <f t="shared" si="2"/>
        <v>35.5</v>
      </c>
      <c r="C149" s="33" t="str">
        <f>IF(B149-'폭압 파라메터 산정'!$C$19&gt;0,B149-'폭압 파라메터 산정'!$C$19, IF(B149-'폭압 파라메터 산정'!$C$19&lt;-0.25,"none",0))</f>
        <v>none</v>
      </c>
      <c r="D149" s="32">
        <f>IF(B149-'폭압 파라메터 산정'!$C$19&gt;-0.25,'폭압 파라메터 산정'!$C$14*(1-Graph!C149/'폭압 파라메터 산정'!$C$20)*EXP(-Graph!$D$3*Graph!C149/'폭압 파라메터 산정'!$C$20),0)</f>
        <v>0</v>
      </c>
      <c r="E149" s="32">
        <f>IF(B149-'폭압 파라메터 산정'!$C$19&gt;-0.25,'폭압 파라메터 산정'!$C$16*(1-Graph!C149/'폭압 파라메터 산정'!$C$20)*EXP(-Graph!$D$3*Graph!C149/'폭압 파라메터 산정'!$C$20),0)</f>
        <v>0</v>
      </c>
      <c r="F149" s="34" t="str">
        <f>IF(B149-'폭압 파라메터 산정'!$E$19&gt;0,B149-'폭압 파라메터 산정'!$E$19, IF(B149-'폭압 파라메터 산정'!$E$19&lt;-0.25,"none",0))</f>
        <v>none</v>
      </c>
      <c r="G149" s="32">
        <f>IF(B149-'폭압 파라메터 산정'!$E$19&gt;-0.25,'폭압 파라메터 산정'!$E$14*(1-F149/'폭압 파라메터 산정'!$E$20)*EXP(-Graph!$D$3*F149/'폭압 파라메터 산정'!$E$20),0)</f>
        <v>0</v>
      </c>
      <c r="H149" s="32">
        <f>IF(B149-'폭압 파라메터 산정'!$E$19&gt;-0.25,'폭압 파라메터 산정'!$E$16*(1-F149/'폭압 파라메터 산정'!$E$20)*EXP(-Graph!$D$3*F149/'폭압 파라메터 산정'!$E$20),0)</f>
        <v>0</v>
      </c>
    </row>
    <row r="150" spans="2:8" x14ac:dyDescent="0.3">
      <c r="B150">
        <f t="shared" si="2"/>
        <v>35.75</v>
      </c>
      <c r="C150" s="33" t="str">
        <f>IF(B150-'폭압 파라메터 산정'!$C$19&gt;0,B150-'폭압 파라메터 산정'!$C$19, IF(B150-'폭압 파라메터 산정'!$C$19&lt;-0.25,"none",0))</f>
        <v>none</v>
      </c>
      <c r="D150" s="32">
        <f>IF(B150-'폭압 파라메터 산정'!$C$19&gt;-0.25,'폭압 파라메터 산정'!$C$14*(1-Graph!C150/'폭압 파라메터 산정'!$C$20)*EXP(-Graph!$D$3*Graph!C150/'폭압 파라메터 산정'!$C$20),0)</f>
        <v>0</v>
      </c>
      <c r="E150" s="32">
        <f>IF(B150-'폭압 파라메터 산정'!$C$19&gt;-0.25,'폭압 파라메터 산정'!$C$16*(1-Graph!C150/'폭압 파라메터 산정'!$C$20)*EXP(-Graph!$D$3*Graph!C150/'폭압 파라메터 산정'!$C$20),0)</f>
        <v>0</v>
      </c>
      <c r="F150" s="34" t="str">
        <f>IF(B150-'폭압 파라메터 산정'!$E$19&gt;0,B150-'폭압 파라메터 산정'!$E$19, IF(B150-'폭압 파라메터 산정'!$E$19&lt;-0.25,"none",0))</f>
        <v>none</v>
      </c>
      <c r="G150" s="32">
        <f>IF(B150-'폭압 파라메터 산정'!$E$19&gt;-0.25,'폭압 파라메터 산정'!$E$14*(1-F150/'폭압 파라메터 산정'!$E$20)*EXP(-Graph!$D$3*F150/'폭압 파라메터 산정'!$E$20),0)</f>
        <v>0</v>
      </c>
      <c r="H150" s="32">
        <f>IF(B150-'폭압 파라메터 산정'!$E$19&gt;-0.25,'폭압 파라메터 산정'!$E$16*(1-F150/'폭압 파라메터 산정'!$E$20)*EXP(-Graph!$D$3*F150/'폭압 파라메터 산정'!$E$20),0)</f>
        <v>0</v>
      </c>
    </row>
    <row r="151" spans="2:8" x14ac:dyDescent="0.3">
      <c r="B151">
        <f t="shared" si="2"/>
        <v>36</v>
      </c>
      <c r="C151" s="33" t="str">
        <f>IF(B151-'폭압 파라메터 산정'!$C$19&gt;0,B151-'폭압 파라메터 산정'!$C$19, IF(B151-'폭압 파라메터 산정'!$C$19&lt;-0.25,"none",0))</f>
        <v>none</v>
      </c>
      <c r="D151" s="32">
        <f>IF(B151-'폭압 파라메터 산정'!$C$19&gt;-0.25,'폭압 파라메터 산정'!$C$14*(1-Graph!C151/'폭압 파라메터 산정'!$C$20)*EXP(-Graph!$D$3*Graph!C151/'폭압 파라메터 산정'!$C$20),0)</f>
        <v>0</v>
      </c>
      <c r="E151" s="32">
        <f>IF(B151-'폭압 파라메터 산정'!$C$19&gt;-0.25,'폭압 파라메터 산정'!$C$16*(1-Graph!C151/'폭압 파라메터 산정'!$C$20)*EXP(-Graph!$D$3*Graph!C151/'폭압 파라메터 산정'!$C$20),0)</f>
        <v>0</v>
      </c>
      <c r="F151" s="34" t="str">
        <f>IF(B151-'폭압 파라메터 산정'!$E$19&gt;0,B151-'폭압 파라메터 산정'!$E$19, IF(B151-'폭압 파라메터 산정'!$E$19&lt;-0.25,"none",0))</f>
        <v>none</v>
      </c>
      <c r="G151" s="32">
        <f>IF(B151-'폭압 파라메터 산정'!$E$19&gt;-0.25,'폭압 파라메터 산정'!$E$14*(1-F151/'폭압 파라메터 산정'!$E$20)*EXP(-Graph!$D$3*F151/'폭압 파라메터 산정'!$E$20),0)</f>
        <v>0</v>
      </c>
      <c r="H151" s="32">
        <f>IF(B151-'폭압 파라메터 산정'!$E$19&gt;-0.25,'폭압 파라메터 산정'!$E$16*(1-F151/'폭압 파라메터 산정'!$E$20)*EXP(-Graph!$D$3*F151/'폭압 파라메터 산정'!$E$20),0)</f>
        <v>0</v>
      </c>
    </row>
    <row r="152" spans="2:8" x14ac:dyDescent="0.3">
      <c r="B152">
        <f t="shared" si="2"/>
        <v>36.25</v>
      </c>
      <c r="C152" s="33" t="str">
        <f>IF(B152-'폭압 파라메터 산정'!$C$19&gt;0,B152-'폭압 파라메터 산정'!$C$19, IF(B152-'폭압 파라메터 산정'!$C$19&lt;-0.25,"none",0))</f>
        <v>none</v>
      </c>
      <c r="D152" s="32">
        <f>IF(B152-'폭압 파라메터 산정'!$C$19&gt;-0.25,'폭압 파라메터 산정'!$C$14*(1-Graph!C152/'폭압 파라메터 산정'!$C$20)*EXP(-Graph!$D$3*Graph!C152/'폭압 파라메터 산정'!$C$20),0)</f>
        <v>0</v>
      </c>
      <c r="E152" s="32">
        <f>IF(B152-'폭압 파라메터 산정'!$C$19&gt;-0.25,'폭압 파라메터 산정'!$C$16*(1-Graph!C152/'폭압 파라메터 산정'!$C$20)*EXP(-Graph!$D$3*Graph!C152/'폭압 파라메터 산정'!$C$20),0)</f>
        <v>0</v>
      </c>
      <c r="F152" s="34" t="str">
        <f>IF(B152-'폭압 파라메터 산정'!$E$19&gt;0,B152-'폭압 파라메터 산정'!$E$19, IF(B152-'폭압 파라메터 산정'!$E$19&lt;-0.25,"none",0))</f>
        <v>none</v>
      </c>
      <c r="G152" s="32">
        <f>IF(B152-'폭압 파라메터 산정'!$E$19&gt;-0.25,'폭압 파라메터 산정'!$E$14*(1-F152/'폭압 파라메터 산정'!$E$20)*EXP(-Graph!$D$3*F152/'폭압 파라메터 산정'!$E$20),0)</f>
        <v>0</v>
      </c>
      <c r="H152" s="32">
        <f>IF(B152-'폭압 파라메터 산정'!$E$19&gt;-0.25,'폭압 파라메터 산정'!$E$16*(1-F152/'폭압 파라메터 산정'!$E$20)*EXP(-Graph!$D$3*F152/'폭압 파라메터 산정'!$E$20),0)</f>
        <v>0</v>
      </c>
    </row>
    <row r="153" spans="2:8" x14ac:dyDescent="0.3">
      <c r="B153">
        <f t="shared" si="2"/>
        <v>36.5</v>
      </c>
      <c r="C153" s="33" t="str">
        <f>IF(B153-'폭압 파라메터 산정'!$C$19&gt;0,B153-'폭압 파라메터 산정'!$C$19, IF(B153-'폭압 파라메터 산정'!$C$19&lt;-0.25,"none",0))</f>
        <v>none</v>
      </c>
      <c r="D153" s="32">
        <f>IF(B153-'폭압 파라메터 산정'!$C$19&gt;-0.25,'폭압 파라메터 산정'!$C$14*(1-Graph!C153/'폭압 파라메터 산정'!$C$20)*EXP(-Graph!$D$3*Graph!C153/'폭압 파라메터 산정'!$C$20),0)</f>
        <v>0</v>
      </c>
      <c r="E153" s="32">
        <f>IF(B153-'폭압 파라메터 산정'!$C$19&gt;-0.25,'폭압 파라메터 산정'!$C$16*(1-Graph!C153/'폭압 파라메터 산정'!$C$20)*EXP(-Graph!$D$3*Graph!C153/'폭압 파라메터 산정'!$C$20),0)</f>
        <v>0</v>
      </c>
      <c r="F153" s="34" t="str">
        <f>IF(B153-'폭압 파라메터 산정'!$E$19&gt;0,B153-'폭압 파라메터 산정'!$E$19, IF(B153-'폭압 파라메터 산정'!$E$19&lt;-0.25,"none",0))</f>
        <v>none</v>
      </c>
      <c r="G153" s="32">
        <f>IF(B153-'폭압 파라메터 산정'!$E$19&gt;-0.25,'폭압 파라메터 산정'!$E$14*(1-F153/'폭압 파라메터 산정'!$E$20)*EXP(-Graph!$D$3*F153/'폭압 파라메터 산정'!$E$20),0)</f>
        <v>0</v>
      </c>
      <c r="H153" s="32">
        <f>IF(B153-'폭압 파라메터 산정'!$E$19&gt;-0.25,'폭압 파라메터 산정'!$E$16*(1-F153/'폭압 파라메터 산정'!$E$20)*EXP(-Graph!$D$3*F153/'폭압 파라메터 산정'!$E$20),0)</f>
        <v>0</v>
      </c>
    </row>
    <row r="154" spans="2:8" x14ac:dyDescent="0.3">
      <c r="B154">
        <f t="shared" si="2"/>
        <v>36.75</v>
      </c>
      <c r="C154" s="33" t="str">
        <f>IF(B154-'폭압 파라메터 산정'!$C$19&gt;0,B154-'폭압 파라메터 산정'!$C$19, IF(B154-'폭압 파라메터 산정'!$C$19&lt;-0.25,"none",0))</f>
        <v>none</v>
      </c>
      <c r="D154" s="32">
        <f>IF(B154-'폭압 파라메터 산정'!$C$19&gt;-0.25,'폭압 파라메터 산정'!$C$14*(1-Graph!C154/'폭압 파라메터 산정'!$C$20)*EXP(-Graph!$D$3*Graph!C154/'폭압 파라메터 산정'!$C$20),0)</f>
        <v>0</v>
      </c>
      <c r="E154" s="32">
        <f>IF(B154-'폭압 파라메터 산정'!$C$19&gt;-0.25,'폭압 파라메터 산정'!$C$16*(1-Graph!C154/'폭압 파라메터 산정'!$C$20)*EXP(-Graph!$D$3*Graph!C154/'폭압 파라메터 산정'!$C$20),0)</f>
        <v>0</v>
      </c>
      <c r="F154" s="34" t="str">
        <f>IF(B154-'폭압 파라메터 산정'!$E$19&gt;0,B154-'폭압 파라메터 산정'!$E$19, IF(B154-'폭압 파라메터 산정'!$E$19&lt;-0.25,"none",0))</f>
        <v>none</v>
      </c>
      <c r="G154" s="32">
        <f>IF(B154-'폭압 파라메터 산정'!$E$19&gt;-0.25,'폭압 파라메터 산정'!$E$14*(1-F154/'폭압 파라메터 산정'!$E$20)*EXP(-Graph!$D$3*F154/'폭압 파라메터 산정'!$E$20),0)</f>
        <v>0</v>
      </c>
      <c r="H154" s="32">
        <f>IF(B154-'폭압 파라메터 산정'!$E$19&gt;-0.25,'폭압 파라메터 산정'!$E$16*(1-F154/'폭압 파라메터 산정'!$E$20)*EXP(-Graph!$D$3*F154/'폭압 파라메터 산정'!$E$20),0)</f>
        <v>0</v>
      </c>
    </row>
    <row r="155" spans="2:8" x14ac:dyDescent="0.3">
      <c r="B155">
        <f t="shared" si="2"/>
        <v>37</v>
      </c>
      <c r="C155" s="33" t="str">
        <f>IF(B155-'폭압 파라메터 산정'!$C$19&gt;0,B155-'폭압 파라메터 산정'!$C$19, IF(B155-'폭압 파라메터 산정'!$C$19&lt;-0.25,"none",0))</f>
        <v>none</v>
      </c>
      <c r="D155" s="32">
        <f>IF(B155-'폭압 파라메터 산정'!$C$19&gt;-0.25,'폭압 파라메터 산정'!$C$14*(1-Graph!C155/'폭압 파라메터 산정'!$C$20)*EXP(-Graph!$D$3*Graph!C155/'폭압 파라메터 산정'!$C$20),0)</f>
        <v>0</v>
      </c>
      <c r="E155" s="32">
        <f>IF(B155-'폭압 파라메터 산정'!$C$19&gt;-0.25,'폭압 파라메터 산정'!$C$16*(1-Graph!C155/'폭압 파라메터 산정'!$C$20)*EXP(-Graph!$D$3*Graph!C155/'폭압 파라메터 산정'!$C$20),0)</f>
        <v>0</v>
      </c>
      <c r="F155" s="34" t="str">
        <f>IF(B155-'폭압 파라메터 산정'!$E$19&gt;0,B155-'폭압 파라메터 산정'!$E$19, IF(B155-'폭압 파라메터 산정'!$E$19&lt;-0.25,"none",0))</f>
        <v>none</v>
      </c>
      <c r="G155" s="32">
        <f>IF(B155-'폭압 파라메터 산정'!$E$19&gt;-0.25,'폭압 파라메터 산정'!$E$14*(1-F155/'폭압 파라메터 산정'!$E$20)*EXP(-Graph!$D$3*F155/'폭압 파라메터 산정'!$E$20),0)</f>
        <v>0</v>
      </c>
      <c r="H155" s="32">
        <f>IF(B155-'폭압 파라메터 산정'!$E$19&gt;-0.25,'폭압 파라메터 산정'!$E$16*(1-F155/'폭압 파라메터 산정'!$E$20)*EXP(-Graph!$D$3*F155/'폭압 파라메터 산정'!$E$20),0)</f>
        <v>0</v>
      </c>
    </row>
    <row r="156" spans="2:8" x14ac:dyDescent="0.3">
      <c r="B156">
        <f t="shared" si="2"/>
        <v>37.25</v>
      </c>
      <c r="C156" s="33" t="str">
        <f>IF(B156-'폭압 파라메터 산정'!$C$19&gt;0,B156-'폭압 파라메터 산정'!$C$19, IF(B156-'폭압 파라메터 산정'!$C$19&lt;-0.25,"none",0))</f>
        <v>none</v>
      </c>
      <c r="D156" s="32">
        <f>IF(B156-'폭압 파라메터 산정'!$C$19&gt;-0.25,'폭압 파라메터 산정'!$C$14*(1-Graph!C156/'폭압 파라메터 산정'!$C$20)*EXP(-Graph!$D$3*Graph!C156/'폭압 파라메터 산정'!$C$20),0)</f>
        <v>0</v>
      </c>
      <c r="E156" s="32">
        <f>IF(B156-'폭압 파라메터 산정'!$C$19&gt;-0.25,'폭압 파라메터 산정'!$C$16*(1-Graph!C156/'폭압 파라메터 산정'!$C$20)*EXP(-Graph!$D$3*Graph!C156/'폭압 파라메터 산정'!$C$20),0)</f>
        <v>0</v>
      </c>
      <c r="F156" s="34" t="str">
        <f>IF(B156-'폭압 파라메터 산정'!$E$19&gt;0,B156-'폭압 파라메터 산정'!$E$19, IF(B156-'폭압 파라메터 산정'!$E$19&lt;-0.25,"none",0))</f>
        <v>none</v>
      </c>
      <c r="G156" s="32">
        <f>IF(B156-'폭압 파라메터 산정'!$E$19&gt;-0.25,'폭압 파라메터 산정'!$E$14*(1-F156/'폭압 파라메터 산정'!$E$20)*EXP(-Graph!$D$3*F156/'폭압 파라메터 산정'!$E$20),0)</f>
        <v>0</v>
      </c>
      <c r="H156" s="32">
        <f>IF(B156-'폭압 파라메터 산정'!$E$19&gt;-0.25,'폭압 파라메터 산정'!$E$16*(1-F156/'폭압 파라메터 산정'!$E$20)*EXP(-Graph!$D$3*F156/'폭압 파라메터 산정'!$E$20),0)</f>
        <v>0</v>
      </c>
    </row>
    <row r="157" spans="2:8" x14ac:dyDescent="0.3">
      <c r="B157">
        <f t="shared" si="2"/>
        <v>37.5</v>
      </c>
      <c r="C157" s="33" t="str">
        <f>IF(B157-'폭압 파라메터 산정'!$C$19&gt;0,B157-'폭압 파라메터 산정'!$C$19, IF(B157-'폭압 파라메터 산정'!$C$19&lt;-0.25,"none",0))</f>
        <v>none</v>
      </c>
      <c r="D157" s="32">
        <f>IF(B157-'폭압 파라메터 산정'!$C$19&gt;-0.25,'폭압 파라메터 산정'!$C$14*(1-Graph!C157/'폭압 파라메터 산정'!$C$20)*EXP(-Graph!$D$3*Graph!C157/'폭압 파라메터 산정'!$C$20),0)</f>
        <v>0</v>
      </c>
      <c r="E157" s="32">
        <f>IF(B157-'폭압 파라메터 산정'!$C$19&gt;-0.25,'폭압 파라메터 산정'!$C$16*(1-Graph!C157/'폭압 파라메터 산정'!$C$20)*EXP(-Graph!$D$3*Graph!C157/'폭압 파라메터 산정'!$C$20),0)</f>
        <v>0</v>
      </c>
      <c r="F157" s="34" t="str">
        <f>IF(B157-'폭압 파라메터 산정'!$E$19&gt;0,B157-'폭압 파라메터 산정'!$E$19, IF(B157-'폭압 파라메터 산정'!$E$19&lt;-0.25,"none",0))</f>
        <v>none</v>
      </c>
      <c r="G157" s="32">
        <f>IF(B157-'폭압 파라메터 산정'!$E$19&gt;-0.25,'폭압 파라메터 산정'!$E$14*(1-F157/'폭압 파라메터 산정'!$E$20)*EXP(-Graph!$D$3*F157/'폭압 파라메터 산정'!$E$20),0)</f>
        <v>0</v>
      </c>
      <c r="H157" s="32">
        <f>IF(B157-'폭압 파라메터 산정'!$E$19&gt;-0.25,'폭압 파라메터 산정'!$E$16*(1-F157/'폭압 파라메터 산정'!$E$20)*EXP(-Graph!$D$3*F157/'폭압 파라메터 산정'!$E$20),0)</f>
        <v>0</v>
      </c>
    </row>
    <row r="158" spans="2:8" x14ac:dyDescent="0.3">
      <c r="B158">
        <f t="shared" si="2"/>
        <v>37.75</v>
      </c>
      <c r="C158" s="33" t="str">
        <f>IF(B158-'폭압 파라메터 산정'!$C$19&gt;0,B158-'폭압 파라메터 산정'!$C$19, IF(B158-'폭압 파라메터 산정'!$C$19&lt;-0.25,"none",0))</f>
        <v>none</v>
      </c>
      <c r="D158" s="32">
        <f>IF(B158-'폭압 파라메터 산정'!$C$19&gt;-0.25,'폭압 파라메터 산정'!$C$14*(1-Graph!C158/'폭압 파라메터 산정'!$C$20)*EXP(-Graph!$D$3*Graph!C158/'폭압 파라메터 산정'!$C$20),0)</f>
        <v>0</v>
      </c>
      <c r="E158" s="32">
        <f>IF(B158-'폭압 파라메터 산정'!$C$19&gt;-0.25,'폭압 파라메터 산정'!$C$16*(1-Graph!C158/'폭압 파라메터 산정'!$C$20)*EXP(-Graph!$D$3*Graph!C158/'폭압 파라메터 산정'!$C$20),0)</f>
        <v>0</v>
      </c>
      <c r="F158" s="34" t="str">
        <f>IF(B158-'폭압 파라메터 산정'!$E$19&gt;0,B158-'폭압 파라메터 산정'!$E$19, IF(B158-'폭압 파라메터 산정'!$E$19&lt;-0.25,"none",0))</f>
        <v>none</v>
      </c>
      <c r="G158" s="32">
        <f>IF(B158-'폭압 파라메터 산정'!$E$19&gt;-0.25,'폭압 파라메터 산정'!$E$14*(1-F158/'폭압 파라메터 산정'!$E$20)*EXP(-Graph!$D$3*F158/'폭압 파라메터 산정'!$E$20),0)</f>
        <v>0</v>
      </c>
      <c r="H158" s="32">
        <f>IF(B158-'폭압 파라메터 산정'!$E$19&gt;-0.25,'폭압 파라메터 산정'!$E$16*(1-F158/'폭압 파라메터 산정'!$E$20)*EXP(-Graph!$D$3*F158/'폭압 파라메터 산정'!$E$20),0)</f>
        <v>0</v>
      </c>
    </row>
    <row r="159" spans="2:8" x14ac:dyDescent="0.3">
      <c r="B159">
        <f t="shared" si="2"/>
        <v>38</v>
      </c>
      <c r="C159" s="33" t="str">
        <f>IF(B159-'폭압 파라메터 산정'!$C$19&gt;0,B159-'폭압 파라메터 산정'!$C$19, IF(B159-'폭압 파라메터 산정'!$C$19&lt;-0.25,"none",0))</f>
        <v>none</v>
      </c>
      <c r="D159" s="32">
        <f>IF(B159-'폭압 파라메터 산정'!$C$19&gt;-0.25,'폭압 파라메터 산정'!$C$14*(1-Graph!C159/'폭압 파라메터 산정'!$C$20)*EXP(-Graph!$D$3*Graph!C159/'폭압 파라메터 산정'!$C$20),0)</f>
        <v>0</v>
      </c>
      <c r="E159" s="32">
        <f>IF(B159-'폭압 파라메터 산정'!$C$19&gt;-0.25,'폭압 파라메터 산정'!$C$16*(1-Graph!C159/'폭압 파라메터 산정'!$C$20)*EXP(-Graph!$D$3*Graph!C159/'폭압 파라메터 산정'!$C$20),0)</f>
        <v>0</v>
      </c>
      <c r="F159" s="34" t="str">
        <f>IF(B159-'폭압 파라메터 산정'!$E$19&gt;0,B159-'폭압 파라메터 산정'!$E$19, IF(B159-'폭압 파라메터 산정'!$E$19&lt;-0.25,"none",0))</f>
        <v>none</v>
      </c>
      <c r="G159" s="32">
        <f>IF(B159-'폭압 파라메터 산정'!$E$19&gt;-0.25,'폭압 파라메터 산정'!$E$14*(1-F159/'폭압 파라메터 산정'!$E$20)*EXP(-Graph!$D$3*F159/'폭압 파라메터 산정'!$E$20),0)</f>
        <v>0</v>
      </c>
      <c r="H159" s="32">
        <f>IF(B159-'폭압 파라메터 산정'!$E$19&gt;-0.25,'폭압 파라메터 산정'!$E$16*(1-F159/'폭압 파라메터 산정'!$E$20)*EXP(-Graph!$D$3*F159/'폭압 파라메터 산정'!$E$20),0)</f>
        <v>0</v>
      </c>
    </row>
    <row r="160" spans="2:8" x14ac:dyDescent="0.3">
      <c r="B160">
        <f t="shared" si="2"/>
        <v>38.25</v>
      </c>
      <c r="C160" s="33" t="str">
        <f>IF(B160-'폭압 파라메터 산정'!$C$19&gt;0,B160-'폭압 파라메터 산정'!$C$19, IF(B160-'폭압 파라메터 산정'!$C$19&lt;-0.25,"none",0))</f>
        <v>none</v>
      </c>
      <c r="D160" s="32">
        <f>IF(B160-'폭압 파라메터 산정'!$C$19&gt;-0.25,'폭압 파라메터 산정'!$C$14*(1-Graph!C160/'폭압 파라메터 산정'!$C$20)*EXP(-Graph!$D$3*Graph!C160/'폭압 파라메터 산정'!$C$20),0)</f>
        <v>0</v>
      </c>
      <c r="E160" s="32">
        <f>IF(B160-'폭압 파라메터 산정'!$C$19&gt;-0.25,'폭압 파라메터 산정'!$C$16*(1-Graph!C160/'폭압 파라메터 산정'!$C$20)*EXP(-Graph!$D$3*Graph!C160/'폭압 파라메터 산정'!$C$20),0)</f>
        <v>0</v>
      </c>
      <c r="F160" s="34" t="str">
        <f>IF(B160-'폭압 파라메터 산정'!$E$19&gt;0,B160-'폭압 파라메터 산정'!$E$19, IF(B160-'폭압 파라메터 산정'!$E$19&lt;-0.25,"none",0))</f>
        <v>none</v>
      </c>
      <c r="G160" s="32">
        <f>IF(B160-'폭압 파라메터 산정'!$E$19&gt;-0.25,'폭압 파라메터 산정'!$E$14*(1-F160/'폭압 파라메터 산정'!$E$20)*EXP(-Graph!$D$3*F160/'폭압 파라메터 산정'!$E$20),0)</f>
        <v>0</v>
      </c>
      <c r="H160" s="32">
        <f>IF(B160-'폭압 파라메터 산정'!$E$19&gt;-0.25,'폭압 파라메터 산정'!$E$16*(1-F160/'폭압 파라메터 산정'!$E$20)*EXP(-Graph!$D$3*F160/'폭압 파라메터 산정'!$E$20),0)</f>
        <v>0</v>
      </c>
    </row>
    <row r="161" spans="2:8" x14ac:dyDescent="0.3">
      <c r="B161">
        <f t="shared" si="2"/>
        <v>38.5</v>
      </c>
      <c r="C161" s="33" t="str">
        <f>IF(B161-'폭압 파라메터 산정'!$C$19&gt;0,B161-'폭압 파라메터 산정'!$C$19, IF(B161-'폭압 파라메터 산정'!$C$19&lt;-0.25,"none",0))</f>
        <v>none</v>
      </c>
      <c r="D161" s="32">
        <f>IF(B161-'폭압 파라메터 산정'!$C$19&gt;-0.25,'폭압 파라메터 산정'!$C$14*(1-Graph!C161/'폭압 파라메터 산정'!$C$20)*EXP(-Graph!$D$3*Graph!C161/'폭압 파라메터 산정'!$C$20),0)</f>
        <v>0</v>
      </c>
      <c r="E161" s="32">
        <f>IF(B161-'폭압 파라메터 산정'!$C$19&gt;-0.25,'폭압 파라메터 산정'!$C$16*(1-Graph!C161/'폭압 파라메터 산정'!$C$20)*EXP(-Graph!$D$3*Graph!C161/'폭압 파라메터 산정'!$C$20),0)</f>
        <v>0</v>
      </c>
      <c r="F161" s="34" t="str">
        <f>IF(B161-'폭압 파라메터 산정'!$E$19&gt;0,B161-'폭압 파라메터 산정'!$E$19, IF(B161-'폭압 파라메터 산정'!$E$19&lt;-0.25,"none",0))</f>
        <v>none</v>
      </c>
      <c r="G161" s="32">
        <f>IF(B161-'폭압 파라메터 산정'!$E$19&gt;-0.25,'폭압 파라메터 산정'!$E$14*(1-F161/'폭압 파라메터 산정'!$E$20)*EXP(-Graph!$D$3*F161/'폭압 파라메터 산정'!$E$20),0)</f>
        <v>0</v>
      </c>
      <c r="H161" s="32">
        <f>IF(B161-'폭압 파라메터 산정'!$E$19&gt;-0.25,'폭압 파라메터 산정'!$E$16*(1-F161/'폭압 파라메터 산정'!$E$20)*EXP(-Graph!$D$3*F161/'폭압 파라메터 산정'!$E$20),0)</f>
        <v>0</v>
      </c>
    </row>
    <row r="162" spans="2:8" x14ac:dyDescent="0.3">
      <c r="B162">
        <f t="shared" si="2"/>
        <v>38.75</v>
      </c>
      <c r="C162" s="33" t="str">
        <f>IF(B162-'폭압 파라메터 산정'!$C$19&gt;0,B162-'폭압 파라메터 산정'!$C$19, IF(B162-'폭압 파라메터 산정'!$C$19&lt;-0.25,"none",0))</f>
        <v>none</v>
      </c>
      <c r="D162" s="32">
        <f>IF(B162-'폭압 파라메터 산정'!$C$19&gt;-0.25,'폭압 파라메터 산정'!$C$14*(1-Graph!C162/'폭압 파라메터 산정'!$C$20)*EXP(-Graph!$D$3*Graph!C162/'폭압 파라메터 산정'!$C$20),0)</f>
        <v>0</v>
      </c>
      <c r="E162" s="32">
        <f>IF(B162-'폭압 파라메터 산정'!$C$19&gt;-0.25,'폭압 파라메터 산정'!$C$16*(1-Graph!C162/'폭압 파라메터 산정'!$C$20)*EXP(-Graph!$D$3*Graph!C162/'폭압 파라메터 산정'!$C$20),0)</f>
        <v>0</v>
      </c>
      <c r="F162" s="34" t="str">
        <f>IF(B162-'폭압 파라메터 산정'!$E$19&gt;0,B162-'폭압 파라메터 산정'!$E$19, IF(B162-'폭압 파라메터 산정'!$E$19&lt;-0.25,"none",0))</f>
        <v>none</v>
      </c>
      <c r="G162" s="32">
        <f>IF(B162-'폭압 파라메터 산정'!$E$19&gt;-0.25,'폭압 파라메터 산정'!$E$14*(1-F162/'폭압 파라메터 산정'!$E$20)*EXP(-Graph!$D$3*F162/'폭압 파라메터 산정'!$E$20),0)</f>
        <v>0</v>
      </c>
      <c r="H162" s="32">
        <f>IF(B162-'폭압 파라메터 산정'!$E$19&gt;-0.25,'폭압 파라메터 산정'!$E$16*(1-F162/'폭압 파라메터 산정'!$E$20)*EXP(-Graph!$D$3*F162/'폭압 파라메터 산정'!$E$20),0)</f>
        <v>0</v>
      </c>
    </row>
    <row r="163" spans="2:8" x14ac:dyDescent="0.3">
      <c r="B163">
        <f t="shared" si="2"/>
        <v>39</v>
      </c>
      <c r="C163" s="33" t="str">
        <f>IF(B163-'폭압 파라메터 산정'!$C$19&gt;0,B163-'폭압 파라메터 산정'!$C$19, IF(B163-'폭압 파라메터 산정'!$C$19&lt;-0.25,"none",0))</f>
        <v>none</v>
      </c>
      <c r="D163" s="32">
        <f>IF(B163-'폭압 파라메터 산정'!$C$19&gt;-0.25,'폭압 파라메터 산정'!$C$14*(1-Graph!C163/'폭압 파라메터 산정'!$C$20)*EXP(-Graph!$D$3*Graph!C163/'폭압 파라메터 산정'!$C$20),0)</f>
        <v>0</v>
      </c>
      <c r="E163" s="32">
        <f>IF(B163-'폭압 파라메터 산정'!$C$19&gt;-0.25,'폭압 파라메터 산정'!$C$16*(1-Graph!C163/'폭압 파라메터 산정'!$C$20)*EXP(-Graph!$D$3*Graph!C163/'폭압 파라메터 산정'!$C$20),0)</f>
        <v>0</v>
      </c>
      <c r="F163" s="34" t="str">
        <f>IF(B163-'폭압 파라메터 산정'!$E$19&gt;0,B163-'폭압 파라메터 산정'!$E$19, IF(B163-'폭압 파라메터 산정'!$E$19&lt;-0.25,"none",0))</f>
        <v>none</v>
      </c>
      <c r="G163" s="32">
        <f>IF(B163-'폭압 파라메터 산정'!$E$19&gt;-0.25,'폭압 파라메터 산정'!$E$14*(1-F163/'폭압 파라메터 산정'!$E$20)*EXP(-Graph!$D$3*F163/'폭압 파라메터 산정'!$E$20),0)</f>
        <v>0</v>
      </c>
      <c r="H163" s="32">
        <f>IF(B163-'폭압 파라메터 산정'!$E$19&gt;-0.25,'폭압 파라메터 산정'!$E$16*(1-F163/'폭압 파라메터 산정'!$E$20)*EXP(-Graph!$D$3*F163/'폭압 파라메터 산정'!$E$20),0)</f>
        <v>0</v>
      </c>
    </row>
    <row r="164" spans="2:8" x14ac:dyDescent="0.3">
      <c r="B164">
        <f t="shared" si="2"/>
        <v>39.25</v>
      </c>
      <c r="C164" s="33" t="str">
        <f>IF(B164-'폭압 파라메터 산정'!$C$19&gt;0,B164-'폭압 파라메터 산정'!$C$19, IF(B164-'폭압 파라메터 산정'!$C$19&lt;-0.25,"none",0))</f>
        <v>none</v>
      </c>
      <c r="D164" s="32">
        <f>IF(B164-'폭압 파라메터 산정'!$C$19&gt;-0.25,'폭압 파라메터 산정'!$C$14*(1-Graph!C164/'폭압 파라메터 산정'!$C$20)*EXP(-Graph!$D$3*Graph!C164/'폭압 파라메터 산정'!$C$20),0)</f>
        <v>0</v>
      </c>
      <c r="E164" s="32">
        <f>IF(B164-'폭압 파라메터 산정'!$C$19&gt;-0.25,'폭압 파라메터 산정'!$C$16*(1-Graph!C164/'폭압 파라메터 산정'!$C$20)*EXP(-Graph!$D$3*Graph!C164/'폭압 파라메터 산정'!$C$20),0)</f>
        <v>0</v>
      </c>
      <c r="F164" s="34" t="str">
        <f>IF(B164-'폭압 파라메터 산정'!$E$19&gt;0,B164-'폭압 파라메터 산정'!$E$19, IF(B164-'폭압 파라메터 산정'!$E$19&lt;-0.25,"none",0))</f>
        <v>none</v>
      </c>
      <c r="G164" s="32">
        <f>IF(B164-'폭압 파라메터 산정'!$E$19&gt;-0.25,'폭압 파라메터 산정'!$E$14*(1-F164/'폭압 파라메터 산정'!$E$20)*EXP(-Graph!$D$3*F164/'폭압 파라메터 산정'!$E$20),0)</f>
        <v>0</v>
      </c>
      <c r="H164" s="32">
        <f>IF(B164-'폭압 파라메터 산정'!$E$19&gt;-0.25,'폭압 파라메터 산정'!$E$16*(1-F164/'폭압 파라메터 산정'!$E$20)*EXP(-Graph!$D$3*F164/'폭압 파라메터 산정'!$E$20),0)</f>
        <v>0</v>
      </c>
    </row>
    <row r="165" spans="2:8" x14ac:dyDescent="0.3">
      <c r="B165">
        <f t="shared" si="2"/>
        <v>39.5</v>
      </c>
      <c r="C165" s="33" t="str">
        <f>IF(B165-'폭압 파라메터 산정'!$C$19&gt;0,B165-'폭압 파라메터 산정'!$C$19, IF(B165-'폭압 파라메터 산정'!$C$19&lt;-0.25,"none",0))</f>
        <v>none</v>
      </c>
      <c r="D165" s="32">
        <f>IF(B165-'폭압 파라메터 산정'!$C$19&gt;-0.25,'폭압 파라메터 산정'!$C$14*(1-Graph!C165/'폭압 파라메터 산정'!$C$20)*EXP(-Graph!$D$3*Graph!C165/'폭압 파라메터 산정'!$C$20),0)</f>
        <v>0</v>
      </c>
      <c r="E165" s="32">
        <f>IF(B165-'폭압 파라메터 산정'!$C$19&gt;-0.25,'폭압 파라메터 산정'!$C$16*(1-Graph!C165/'폭압 파라메터 산정'!$C$20)*EXP(-Graph!$D$3*Graph!C165/'폭압 파라메터 산정'!$C$20),0)</f>
        <v>0</v>
      </c>
      <c r="F165" s="34" t="str">
        <f>IF(B165-'폭압 파라메터 산정'!$E$19&gt;0,B165-'폭압 파라메터 산정'!$E$19, IF(B165-'폭압 파라메터 산정'!$E$19&lt;-0.25,"none",0))</f>
        <v>none</v>
      </c>
      <c r="G165" s="32">
        <f>IF(B165-'폭압 파라메터 산정'!$E$19&gt;-0.25,'폭압 파라메터 산정'!$E$14*(1-F165/'폭압 파라메터 산정'!$E$20)*EXP(-Graph!$D$3*F165/'폭압 파라메터 산정'!$E$20),0)</f>
        <v>0</v>
      </c>
      <c r="H165" s="32">
        <f>IF(B165-'폭압 파라메터 산정'!$E$19&gt;-0.25,'폭압 파라메터 산정'!$E$16*(1-F165/'폭압 파라메터 산정'!$E$20)*EXP(-Graph!$D$3*F165/'폭압 파라메터 산정'!$E$20),0)</f>
        <v>0</v>
      </c>
    </row>
    <row r="166" spans="2:8" x14ac:dyDescent="0.3">
      <c r="B166">
        <f t="shared" si="2"/>
        <v>39.75</v>
      </c>
      <c r="C166" s="33" t="str">
        <f>IF(B166-'폭압 파라메터 산정'!$C$19&gt;0,B166-'폭압 파라메터 산정'!$C$19, IF(B166-'폭압 파라메터 산정'!$C$19&lt;-0.25,"none",0))</f>
        <v>none</v>
      </c>
      <c r="D166" s="32">
        <f>IF(B166-'폭압 파라메터 산정'!$C$19&gt;-0.25,'폭압 파라메터 산정'!$C$14*(1-Graph!C166/'폭압 파라메터 산정'!$C$20)*EXP(-Graph!$D$3*Graph!C166/'폭압 파라메터 산정'!$C$20),0)</f>
        <v>0</v>
      </c>
      <c r="E166" s="32">
        <f>IF(B166-'폭압 파라메터 산정'!$C$19&gt;-0.25,'폭압 파라메터 산정'!$C$16*(1-Graph!C166/'폭압 파라메터 산정'!$C$20)*EXP(-Graph!$D$3*Graph!C166/'폭압 파라메터 산정'!$C$20),0)</f>
        <v>0</v>
      </c>
      <c r="F166" s="34" t="str">
        <f>IF(B166-'폭압 파라메터 산정'!$E$19&gt;0,B166-'폭압 파라메터 산정'!$E$19, IF(B166-'폭압 파라메터 산정'!$E$19&lt;-0.25,"none",0))</f>
        <v>none</v>
      </c>
      <c r="G166" s="32">
        <f>IF(B166-'폭압 파라메터 산정'!$E$19&gt;-0.25,'폭압 파라메터 산정'!$E$14*(1-F166/'폭압 파라메터 산정'!$E$20)*EXP(-Graph!$D$3*F166/'폭압 파라메터 산정'!$E$20),0)</f>
        <v>0</v>
      </c>
      <c r="H166" s="32">
        <f>IF(B166-'폭압 파라메터 산정'!$E$19&gt;-0.25,'폭압 파라메터 산정'!$E$16*(1-F166/'폭압 파라메터 산정'!$E$20)*EXP(-Graph!$D$3*F166/'폭압 파라메터 산정'!$E$20),0)</f>
        <v>0</v>
      </c>
    </row>
    <row r="167" spans="2:8" x14ac:dyDescent="0.3">
      <c r="B167">
        <f t="shared" si="2"/>
        <v>40</v>
      </c>
      <c r="C167" s="33" t="str">
        <f>IF(B167-'폭압 파라메터 산정'!$C$19&gt;0,B167-'폭압 파라메터 산정'!$C$19, IF(B167-'폭압 파라메터 산정'!$C$19&lt;-0.25,"none",0))</f>
        <v>none</v>
      </c>
      <c r="D167" s="32">
        <f>IF(B167-'폭압 파라메터 산정'!$C$19&gt;-0.25,'폭압 파라메터 산정'!$C$14*(1-Graph!C167/'폭압 파라메터 산정'!$C$20)*EXP(-Graph!$D$3*Graph!C167/'폭압 파라메터 산정'!$C$20),0)</f>
        <v>0</v>
      </c>
      <c r="E167" s="32">
        <f>IF(B167-'폭압 파라메터 산정'!$C$19&gt;-0.25,'폭압 파라메터 산정'!$C$16*(1-Graph!C167/'폭압 파라메터 산정'!$C$20)*EXP(-Graph!$D$3*Graph!C167/'폭압 파라메터 산정'!$C$20),0)</f>
        <v>0</v>
      </c>
      <c r="F167" s="34" t="str">
        <f>IF(B167-'폭압 파라메터 산정'!$E$19&gt;0,B167-'폭압 파라메터 산정'!$E$19, IF(B167-'폭압 파라메터 산정'!$E$19&lt;-0.25,"none",0))</f>
        <v>none</v>
      </c>
      <c r="G167" s="32">
        <f>IF(B167-'폭압 파라메터 산정'!$E$19&gt;-0.25,'폭압 파라메터 산정'!$E$14*(1-F167/'폭압 파라메터 산정'!$E$20)*EXP(-Graph!$D$3*F167/'폭압 파라메터 산정'!$E$20),0)</f>
        <v>0</v>
      </c>
      <c r="H167" s="32">
        <f>IF(B167-'폭압 파라메터 산정'!$E$19&gt;-0.25,'폭압 파라메터 산정'!$E$16*(1-F167/'폭압 파라메터 산정'!$E$20)*EXP(-Graph!$D$3*F167/'폭압 파라메터 산정'!$E$20),0)</f>
        <v>0</v>
      </c>
    </row>
    <row r="168" spans="2:8" x14ac:dyDescent="0.3">
      <c r="B168">
        <f t="shared" si="2"/>
        <v>40.25</v>
      </c>
      <c r="C168" s="33" t="str">
        <f>IF(B168-'폭압 파라메터 산정'!$C$19&gt;0,B168-'폭압 파라메터 산정'!$C$19, IF(B168-'폭압 파라메터 산정'!$C$19&lt;-0.25,"none",0))</f>
        <v>none</v>
      </c>
      <c r="D168" s="32">
        <f>IF(B168-'폭압 파라메터 산정'!$C$19&gt;-0.25,'폭압 파라메터 산정'!$C$14*(1-Graph!C168/'폭압 파라메터 산정'!$C$20)*EXP(-Graph!$D$3*Graph!C168/'폭압 파라메터 산정'!$C$20),0)</f>
        <v>0</v>
      </c>
      <c r="E168" s="32">
        <f>IF(B168-'폭압 파라메터 산정'!$C$19&gt;-0.25,'폭압 파라메터 산정'!$C$16*(1-Graph!C168/'폭압 파라메터 산정'!$C$20)*EXP(-Graph!$D$3*Graph!C168/'폭압 파라메터 산정'!$C$20),0)</f>
        <v>0</v>
      </c>
      <c r="F168" s="34" t="str">
        <f>IF(B168-'폭압 파라메터 산정'!$E$19&gt;0,B168-'폭압 파라메터 산정'!$E$19, IF(B168-'폭압 파라메터 산정'!$E$19&lt;-0.25,"none",0))</f>
        <v>none</v>
      </c>
      <c r="G168" s="32">
        <f>IF(B168-'폭압 파라메터 산정'!$E$19&gt;-0.25,'폭압 파라메터 산정'!$E$14*(1-F168/'폭압 파라메터 산정'!$E$20)*EXP(-Graph!$D$3*F168/'폭압 파라메터 산정'!$E$20),0)</f>
        <v>0</v>
      </c>
      <c r="H168" s="32">
        <f>IF(B168-'폭압 파라메터 산정'!$E$19&gt;-0.25,'폭압 파라메터 산정'!$E$16*(1-F168/'폭압 파라메터 산정'!$E$20)*EXP(-Graph!$D$3*F168/'폭압 파라메터 산정'!$E$20),0)</f>
        <v>0</v>
      </c>
    </row>
    <row r="169" spans="2:8" x14ac:dyDescent="0.3">
      <c r="B169">
        <f t="shared" si="2"/>
        <v>40.5</v>
      </c>
      <c r="C169" s="33" t="str">
        <f>IF(B169-'폭압 파라메터 산정'!$C$19&gt;0,B169-'폭압 파라메터 산정'!$C$19, IF(B169-'폭압 파라메터 산정'!$C$19&lt;-0.25,"none",0))</f>
        <v>none</v>
      </c>
      <c r="D169" s="32">
        <f>IF(B169-'폭압 파라메터 산정'!$C$19&gt;-0.25,'폭압 파라메터 산정'!$C$14*(1-Graph!C169/'폭압 파라메터 산정'!$C$20)*EXP(-Graph!$D$3*Graph!C169/'폭압 파라메터 산정'!$C$20),0)</f>
        <v>0</v>
      </c>
      <c r="E169" s="32">
        <f>IF(B169-'폭압 파라메터 산정'!$C$19&gt;-0.25,'폭압 파라메터 산정'!$C$16*(1-Graph!C169/'폭압 파라메터 산정'!$C$20)*EXP(-Graph!$D$3*Graph!C169/'폭압 파라메터 산정'!$C$20),0)</f>
        <v>0</v>
      </c>
      <c r="F169" s="34" t="str">
        <f>IF(B169-'폭압 파라메터 산정'!$E$19&gt;0,B169-'폭압 파라메터 산정'!$E$19, IF(B169-'폭압 파라메터 산정'!$E$19&lt;-0.25,"none",0))</f>
        <v>none</v>
      </c>
      <c r="G169" s="32">
        <f>IF(B169-'폭압 파라메터 산정'!$E$19&gt;-0.25,'폭압 파라메터 산정'!$E$14*(1-F169/'폭압 파라메터 산정'!$E$20)*EXP(-Graph!$D$3*F169/'폭압 파라메터 산정'!$E$20),0)</f>
        <v>0</v>
      </c>
      <c r="H169" s="32">
        <f>IF(B169-'폭압 파라메터 산정'!$E$19&gt;-0.25,'폭압 파라메터 산정'!$E$16*(1-F169/'폭압 파라메터 산정'!$E$20)*EXP(-Graph!$D$3*F169/'폭압 파라메터 산정'!$E$20),0)</f>
        <v>0</v>
      </c>
    </row>
    <row r="170" spans="2:8" x14ac:dyDescent="0.3">
      <c r="B170">
        <f t="shared" si="2"/>
        <v>40.75</v>
      </c>
      <c r="C170" s="33" t="str">
        <f>IF(B170-'폭압 파라메터 산정'!$C$19&gt;0,B170-'폭압 파라메터 산정'!$C$19, IF(B170-'폭압 파라메터 산정'!$C$19&lt;-0.25,"none",0))</f>
        <v>none</v>
      </c>
      <c r="D170" s="32">
        <f>IF(B170-'폭압 파라메터 산정'!$C$19&gt;-0.25,'폭압 파라메터 산정'!$C$14*(1-Graph!C170/'폭압 파라메터 산정'!$C$20)*EXP(-Graph!$D$3*Graph!C170/'폭압 파라메터 산정'!$C$20),0)</f>
        <v>0</v>
      </c>
      <c r="E170" s="32">
        <f>IF(B170-'폭압 파라메터 산정'!$C$19&gt;-0.25,'폭압 파라메터 산정'!$C$16*(1-Graph!C170/'폭압 파라메터 산정'!$C$20)*EXP(-Graph!$D$3*Graph!C170/'폭압 파라메터 산정'!$C$20),0)</f>
        <v>0</v>
      </c>
      <c r="F170" s="34" t="str">
        <f>IF(B170-'폭압 파라메터 산정'!$E$19&gt;0,B170-'폭압 파라메터 산정'!$E$19, IF(B170-'폭압 파라메터 산정'!$E$19&lt;-0.25,"none",0))</f>
        <v>none</v>
      </c>
      <c r="G170" s="32">
        <f>IF(B170-'폭압 파라메터 산정'!$E$19&gt;-0.25,'폭압 파라메터 산정'!$E$14*(1-F170/'폭압 파라메터 산정'!$E$20)*EXP(-Graph!$D$3*F170/'폭압 파라메터 산정'!$E$20),0)</f>
        <v>0</v>
      </c>
      <c r="H170" s="32">
        <f>IF(B170-'폭압 파라메터 산정'!$E$19&gt;-0.25,'폭압 파라메터 산정'!$E$16*(1-F170/'폭압 파라메터 산정'!$E$20)*EXP(-Graph!$D$3*F170/'폭압 파라메터 산정'!$E$20),0)</f>
        <v>0</v>
      </c>
    </row>
    <row r="171" spans="2:8" x14ac:dyDescent="0.3">
      <c r="B171">
        <f t="shared" si="2"/>
        <v>41</v>
      </c>
      <c r="C171" s="33" t="str">
        <f>IF(B171-'폭압 파라메터 산정'!$C$19&gt;0,B171-'폭압 파라메터 산정'!$C$19, IF(B171-'폭압 파라메터 산정'!$C$19&lt;-0.25,"none",0))</f>
        <v>none</v>
      </c>
      <c r="D171" s="32">
        <f>IF(B171-'폭압 파라메터 산정'!$C$19&gt;-0.25,'폭압 파라메터 산정'!$C$14*(1-Graph!C171/'폭압 파라메터 산정'!$C$20)*EXP(-Graph!$D$3*Graph!C171/'폭압 파라메터 산정'!$C$20),0)</f>
        <v>0</v>
      </c>
      <c r="E171" s="32">
        <f>IF(B171-'폭압 파라메터 산정'!$C$19&gt;-0.25,'폭압 파라메터 산정'!$C$16*(1-Graph!C171/'폭압 파라메터 산정'!$C$20)*EXP(-Graph!$D$3*Graph!C171/'폭압 파라메터 산정'!$C$20),0)</f>
        <v>0</v>
      </c>
      <c r="F171" s="34" t="str">
        <f>IF(B171-'폭압 파라메터 산정'!$E$19&gt;0,B171-'폭압 파라메터 산정'!$E$19, IF(B171-'폭압 파라메터 산정'!$E$19&lt;-0.25,"none",0))</f>
        <v>none</v>
      </c>
      <c r="G171" s="32">
        <f>IF(B171-'폭압 파라메터 산정'!$E$19&gt;-0.25,'폭압 파라메터 산정'!$E$14*(1-F171/'폭압 파라메터 산정'!$E$20)*EXP(-Graph!$D$3*F171/'폭압 파라메터 산정'!$E$20),0)</f>
        <v>0</v>
      </c>
      <c r="H171" s="32">
        <f>IF(B171-'폭압 파라메터 산정'!$E$19&gt;-0.25,'폭압 파라메터 산정'!$E$16*(1-F171/'폭압 파라메터 산정'!$E$20)*EXP(-Graph!$D$3*F171/'폭압 파라메터 산정'!$E$20),0)</f>
        <v>0</v>
      </c>
    </row>
    <row r="172" spans="2:8" x14ac:dyDescent="0.3">
      <c r="B172">
        <f t="shared" si="2"/>
        <v>41.25</v>
      </c>
      <c r="C172" s="33" t="str">
        <f>IF(B172-'폭압 파라메터 산정'!$C$19&gt;0,B172-'폭압 파라메터 산정'!$C$19, IF(B172-'폭압 파라메터 산정'!$C$19&lt;-0.25,"none",0))</f>
        <v>none</v>
      </c>
      <c r="D172" s="32">
        <f>IF(B172-'폭압 파라메터 산정'!$C$19&gt;-0.25,'폭압 파라메터 산정'!$C$14*(1-Graph!C172/'폭압 파라메터 산정'!$C$20)*EXP(-Graph!$D$3*Graph!C172/'폭압 파라메터 산정'!$C$20),0)</f>
        <v>0</v>
      </c>
      <c r="E172" s="32">
        <f>IF(B172-'폭압 파라메터 산정'!$C$19&gt;-0.25,'폭압 파라메터 산정'!$C$16*(1-Graph!C172/'폭압 파라메터 산정'!$C$20)*EXP(-Graph!$D$3*Graph!C172/'폭압 파라메터 산정'!$C$20),0)</f>
        <v>0</v>
      </c>
      <c r="F172" s="34" t="str">
        <f>IF(B172-'폭압 파라메터 산정'!$E$19&gt;0,B172-'폭압 파라메터 산정'!$E$19, IF(B172-'폭압 파라메터 산정'!$E$19&lt;-0.25,"none",0))</f>
        <v>none</v>
      </c>
      <c r="G172" s="32">
        <f>IF(B172-'폭압 파라메터 산정'!$E$19&gt;-0.25,'폭압 파라메터 산정'!$E$14*(1-F172/'폭압 파라메터 산정'!$E$20)*EXP(-Graph!$D$3*F172/'폭압 파라메터 산정'!$E$20),0)</f>
        <v>0</v>
      </c>
      <c r="H172" s="32">
        <f>IF(B172-'폭압 파라메터 산정'!$E$19&gt;-0.25,'폭압 파라메터 산정'!$E$16*(1-F172/'폭압 파라메터 산정'!$E$20)*EXP(-Graph!$D$3*F172/'폭압 파라메터 산정'!$E$20),0)</f>
        <v>0</v>
      </c>
    </row>
    <row r="173" spans="2:8" x14ac:dyDescent="0.3">
      <c r="B173">
        <f t="shared" si="2"/>
        <v>41.5</v>
      </c>
      <c r="C173" s="33" t="str">
        <f>IF(B173-'폭압 파라메터 산정'!$C$19&gt;0,B173-'폭압 파라메터 산정'!$C$19, IF(B173-'폭압 파라메터 산정'!$C$19&lt;-0.25,"none",0))</f>
        <v>none</v>
      </c>
      <c r="D173" s="32">
        <f>IF(B173-'폭압 파라메터 산정'!$C$19&gt;-0.25,'폭압 파라메터 산정'!$C$14*(1-Graph!C173/'폭압 파라메터 산정'!$C$20)*EXP(-Graph!$D$3*Graph!C173/'폭압 파라메터 산정'!$C$20),0)</f>
        <v>0</v>
      </c>
      <c r="E173" s="32">
        <f>IF(B173-'폭압 파라메터 산정'!$C$19&gt;-0.25,'폭압 파라메터 산정'!$C$16*(1-Graph!C173/'폭압 파라메터 산정'!$C$20)*EXP(-Graph!$D$3*Graph!C173/'폭압 파라메터 산정'!$C$20),0)</f>
        <v>0</v>
      </c>
      <c r="F173" s="34" t="str">
        <f>IF(B173-'폭압 파라메터 산정'!$E$19&gt;0,B173-'폭압 파라메터 산정'!$E$19, IF(B173-'폭압 파라메터 산정'!$E$19&lt;-0.25,"none",0))</f>
        <v>none</v>
      </c>
      <c r="G173" s="32">
        <f>IF(B173-'폭압 파라메터 산정'!$E$19&gt;-0.25,'폭압 파라메터 산정'!$E$14*(1-F173/'폭압 파라메터 산정'!$E$20)*EXP(-Graph!$D$3*F173/'폭압 파라메터 산정'!$E$20),0)</f>
        <v>0</v>
      </c>
      <c r="H173" s="32">
        <f>IF(B173-'폭압 파라메터 산정'!$E$19&gt;-0.25,'폭압 파라메터 산정'!$E$16*(1-F173/'폭압 파라메터 산정'!$E$20)*EXP(-Graph!$D$3*F173/'폭압 파라메터 산정'!$E$20),0)</f>
        <v>0</v>
      </c>
    </row>
    <row r="174" spans="2:8" x14ac:dyDescent="0.3">
      <c r="B174">
        <f t="shared" si="2"/>
        <v>41.75</v>
      </c>
      <c r="C174" s="33" t="str">
        <f>IF(B174-'폭압 파라메터 산정'!$C$19&gt;0,B174-'폭압 파라메터 산정'!$C$19, IF(B174-'폭압 파라메터 산정'!$C$19&lt;-0.25,"none",0))</f>
        <v>none</v>
      </c>
      <c r="D174" s="32">
        <f>IF(B174-'폭압 파라메터 산정'!$C$19&gt;-0.25,'폭압 파라메터 산정'!$C$14*(1-Graph!C174/'폭압 파라메터 산정'!$C$20)*EXP(-Graph!$D$3*Graph!C174/'폭압 파라메터 산정'!$C$20),0)</f>
        <v>0</v>
      </c>
      <c r="E174" s="32">
        <f>IF(B174-'폭압 파라메터 산정'!$C$19&gt;-0.25,'폭압 파라메터 산정'!$C$16*(1-Graph!C174/'폭압 파라메터 산정'!$C$20)*EXP(-Graph!$D$3*Graph!C174/'폭압 파라메터 산정'!$C$20),0)</f>
        <v>0</v>
      </c>
      <c r="F174" s="34" t="str">
        <f>IF(B174-'폭압 파라메터 산정'!$E$19&gt;0,B174-'폭압 파라메터 산정'!$E$19, IF(B174-'폭압 파라메터 산정'!$E$19&lt;-0.25,"none",0))</f>
        <v>none</v>
      </c>
      <c r="G174" s="32">
        <f>IF(B174-'폭압 파라메터 산정'!$E$19&gt;-0.25,'폭압 파라메터 산정'!$E$14*(1-F174/'폭압 파라메터 산정'!$E$20)*EXP(-Graph!$D$3*F174/'폭압 파라메터 산정'!$E$20),0)</f>
        <v>0</v>
      </c>
      <c r="H174" s="32">
        <f>IF(B174-'폭압 파라메터 산정'!$E$19&gt;-0.25,'폭압 파라메터 산정'!$E$16*(1-F174/'폭압 파라메터 산정'!$E$20)*EXP(-Graph!$D$3*F174/'폭압 파라메터 산정'!$E$20),0)</f>
        <v>0</v>
      </c>
    </row>
    <row r="175" spans="2:8" x14ac:dyDescent="0.3">
      <c r="B175">
        <f t="shared" si="2"/>
        <v>42</v>
      </c>
      <c r="C175" s="33" t="str">
        <f>IF(B175-'폭압 파라메터 산정'!$C$19&gt;0,B175-'폭압 파라메터 산정'!$C$19, IF(B175-'폭압 파라메터 산정'!$C$19&lt;-0.25,"none",0))</f>
        <v>none</v>
      </c>
      <c r="D175" s="32">
        <f>IF(B175-'폭압 파라메터 산정'!$C$19&gt;-0.25,'폭압 파라메터 산정'!$C$14*(1-Graph!C175/'폭압 파라메터 산정'!$C$20)*EXP(-Graph!$D$3*Graph!C175/'폭압 파라메터 산정'!$C$20),0)</f>
        <v>0</v>
      </c>
      <c r="E175" s="32">
        <f>IF(B175-'폭압 파라메터 산정'!$C$19&gt;-0.25,'폭압 파라메터 산정'!$C$16*(1-Graph!C175/'폭압 파라메터 산정'!$C$20)*EXP(-Graph!$D$3*Graph!C175/'폭압 파라메터 산정'!$C$20),0)</f>
        <v>0</v>
      </c>
      <c r="F175" s="34" t="str">
        <f>IF(B175-'폭압 파라메터 산정'!$E$19&gt;0,B175-'폭압 파라메터 산정'!$E$19, IF(B175-'폭압 파라메터 산정'!$E$19&lt;-0.25,"none",0))</f>
        <v>none</v>
      </c>
      <c r="G175" s="32">
        <f>IF(B175-'폭압 파라메터 산정'!$E$19&gt;-0.25,'폭압 파라메터 산정'!$E$14*(1-F175/'폭압 파라메터 산정'!$E$20)*EXP(-Graph!$D$3*F175/'폭압 파라메터 산정'!$E$20),0)</f>
        <v>0</v>
      </c>
      <c r="H175" s="32">
        <f>IF(B175-'폭압 파라메터 산정'!$E$19&gt;-0.25,'폭압 파라메터 산정'!$E$16*(1-F175/'폭압 파라메터 산정'!$E$20)*EXP(-Graph!$D$3*F175/'폭압 파라메터 산정'!$E$20),0)</f>
        <v>0</v>
      </c>
    </row>
    <row r="176" spans="2:8" x14ac:dyDescent="0.3">
      <c r="B176">
        <f t="shared" si="2"/>
        <v>42.25</v>
      </c>
      <c r="C176" s="33" t="str">
        <f>IF(B176-'폭압 파라메터 산정'!$C$19&gt;0,B176-'폭압 파라메터 산정'!$C$19, IF(B176-'폭압 파라메터 산정'!$C$19&lt;-0.25,"none",0))</f>
        <v>none</v>
      </c>
      <c r="D176" s="32">
        <f>IF(B176-'폭압 파라메터 산정'!$C$19&gt;-0.25,'폭압 파라메터 산정'!$C$14*(1-Graph!C176/'폭압 파라메터 산정'!$C$20)*EXP(-Graph!$D$3*Graph!C176/'폭압 파라메터 산정'!$C$20),0)</f>
        <v>0</v>
      </c>
      <c r="E176" s="32">
        <f>IF(B176-'폭압 파라메터 산정'!$C$19&gt;-0.25,'폭압 파라메터 산정'!$C$16*(1-Graph!C176/'폭압 파라메터 산정'!$C$20)*EXP(-Graph!$D$3*Graph!C176/'폭압 파라메터 산정'!$C$20),0)</f>
        <v>0</v>
      </c>
      <c r="F176" s="34" t="str">
        <f>IF(B176-'폭압 파라메터 산정'!$E$19&gt;0,B176-'폭압 파라메터 산정'!$E$19, IF(B176-'폭압 파라메터 산정'!$E$19&lt;-0.25,"none",0))</f>
        <v>none</v>
      </c>
      <c r="G176" s="32">
        <f>IF(B176-'폭압 파라메터 산정'!$E$19&gt;-0.25,'폭압 파라메터 산정'!$E$14*(1-F176/'폭압 파라메터 산정'!$E$20)*EXP(-Graph!$D$3*F176/'폭압 파라메터 산정'!$E$20),0)</f>
        <v>0</v>
      </c>
      <c r="H176" s="32">
        <f>IF(B176-'폭압 파라메터 산정'!$E$19&gt;-0.25,'폭압 파라메터 산정'!$E$16*(1-F176/'폭압 파라메터 산정'!$E$20)*EXP(-Graph!$D$3*F176/'폭압 파라메터 산정'!$E$20),0)</f>
        <v>0</v>
      </c>
    </row>
    <row r="177" spans="2:8" x14ac:dyDescent="0.3">
      <c r="B177">
        <f t="shared" si="2"/>
        <v>42.5</v>
      </c>
      <c r="C177" s="33" t="str">
        <f>IF(B177-'폭압 파라메터 산정'!$C$19&gt;0,B177-'폭압 파라메터 산정'!$C$19, IF(B177-'폭압 파라메터 산정'!$C$19&lt;-0.25,"none",0))</f>
        <v>none</v>
      </c>
      <c r="D177" s="32">
        <f>IF(B177-'폭압 파라메터 산정'!$C$19&gt;-0.25,'폭압 파라메터 산정'!$C$14*(1-Graph!C177/'폭압 파라메터 산정'!$C$20)*EXP(-Graph!$D$3*Graph!C177/'폭압 파라메터 산정'!$C$20),0)</f>
        <v>0</v>
      </c>
      <c r="E177" s="32">
        <f>IF(B177-'폭압 파라메터 산정'!$C$19&gt;-0.25,'폭압 파라메터 산정'!$C$16*(1-Graph!C177/'폭압 파라메터 산정'!$C$20)*EXP(-Graph!$D$3*Graph!C177/'폭압 파라메터 산정'!$C$20),0)</f>
        <v>0</v>
      </c>
      <c r="F177" s="34" t="str">
        <f>IF(B177-'폭압 파라메터 산정'!$E$19&gt;0,B177-'폭압 파라메터 산정'!$E$19, IF(B177-'폭압 파라메터 산정'!$E$19&lt;-0.25,"none",0))</f>
        <v>none</v>
      </c>
      <c r="G177" s="32">
        <f>IF(B177-'폭압 파라메터 산정'!$E$19&gt;-0.25,'폭압 파라메터 산정'!$E$14*(1-F177/'폭압 파라메터 산정'!$E$20)*EXP(-Graph!$D$3*F177/'폭압 파라메터 산정'!$E$20),0)</f>
        <v>0</v>
      </c>
      <c r="H177" s="32">
        <f>IF(B177-'폭압 파라메터 산정'!$E$19&gt;-0.25,'폭압 파라메터 산정'!$E$16*(1-F177/'폭압 파라메터 산정'!$E$20)*EXP(-Graph!$D$3*F177/'폭압 파라메터 산정'!$E$20),0)</f>
        <v>0</v>
      </c>
    </row>
    <row r="178" spans="2:8" x14ac:dyDescent="0.3">
      <c r="B178">
        <f t="shared" si="2"/>
        <v>42.75</v>
      </c>
      <c r="C178" s="33" t="str">
        <f>IF(B178-'폭압 파라메터 산정'!$C$19&gt;0,B178-'폭압 파라메터 산정'!$C$19, IF(B178-'폭압 파라메터 산정'!$C$19&lt;-0.25,"none",0))</f>
        <v>none</v>
      </c>
      <c r="D178" s="32">
        <f>IF(B178-'폭압 파라메터 산정'!$C$19&gt;-0.25,'폭압 파라메터 산정'!$C$14*(1-Graph!C178/'폭압 파라메터 산정'!$C$20)*EXP(-Graph!$D$3*Graph!C178/'폭압 파라메터 산정'!$C$20),0)</f>
        <v>0</v>
      </c>
      <c r="E178" s="32">
        <f>IF(B178-'폭압 파라메터 산정'!$C$19&gt;-0.25,'폭압 파라메터 산정'!$C$16*(1-Graph!C178/'폭압 파라메터 산정'!$C$20)*EXP(-Graph!$D$3*Graph!C178/'폭압 파라메터 산정'!$C$20),0)</f>
        <v>0</v>
      </c>
      <c r="F178" s="34" t="str">
        <f>IF(B178-'폭압 파라메터 산정'!$E$19&gt;0,B178-'폭압 파라메터 산정'!$E$19, IF(B178-'폭압 파라메터 산정'!$E$19&lt;-0.25,"none",0))</f>
        <v>none</v>
      </c>
      <c r="G178" s="32">
        <f>IF(B178-'폭압 파라메터 산정'!$E$19&gt;-0.25,'폭압 파라메터 산정'!$E$14*(1-F178/'폭압 파라메터 산정'!$E$20)*EXP(-Graph!$D$3*F178/'폭압 파라메터 산정'!$E$20),0)</f>
        <v>0</v>
      </c>
      <c r="H178" s="32">
        <f>IF(B178-'폭압 파라메터 산정'!$E$19&gt;-0.25,'폭압 파라메터 산정'!$E$16*(1-F178/'폭압 파라메터 산정'!$E$20)*EXP(-Graph!$D$3*F178/'폭압 파라메터 산정'!$E$20),0)</f>
        <v>0</v>
      </c>
    </row>
    <row r="179" spans="2:8" x14ac:dyDescent="0.3">
      <c r="B179">
        <f t="shared" si="2"/>
        <v>43</v>
      </c>
      <c r="C179" s="33" t="str">
        <f>IF(B179-'폭압 파라메터 산정'!$C$19&gt;0,B179-'폭압 파라메터 산정'!$C$19, IF(B179-'폭압 파라메터 산정'!$C$19&lt;-0.25,"none",0))</f>
        <v>none</v>
      </c>
      <c r="D179" s="32">
        <f>IF(B179-'폭압 파라메터 산정'!$C$19&gt;-0.25,'폭압 파라메터 산정'!$C$14*(1-Graph!C179/'폭압 파라메터 산정'!$C$20)*EXP(-Graph!$D$3*Graph!C179/'폭압 파라메터 산정'!$C$20),0)</f>
        <v>0</v>
      </c>
      <c r="E179" s="32">
        <f>IF(B179-'폭압 파라메터 산정'!$C$19&gt;-0.25,'폭압 파라메터 산정'!$C$16*(1-Graph!C179/'폭압 파라메터 산정'!$C$20)*EXP(-Graph!$D$3*Graph!C179/'폭압 파라메터 산정'!$C$20),0)</f>
        <v>0</v>
      </c>
      <c r="F179" s="34" t="str">
        <f>IF(B179-'폭압 파라메터 산정'!$E$19&gt;0,B179-'폭압 파라메터 산정'!$E$19, IF(B179-'폭압 파라메터 산정'!$E$19&lt;-0.25,"none",0))</f>
        <v>none</v>
      </c>
      <c r="G179" s="32">
        <f>IF(B179-'폭압 파라메터 산정'!$E$19&gt;-0.25,'폭압 파라메터 산정'!$E$14*(1-F179/'폭압 파라메터 산정'!$E$20)*EXP(-Graph!$D$3*F179/'폭압 파라메터 산정'!$E$20),0)</f>
        <v>0</v>
      </c>
      <c r="H179" s="32">
        <f>IF(B179-'폭압 파라메터 산정'!$E$19&gt;-0.25,'폭압 파라메터 산정'!$E$16*(1-F179/'폭압 파라메터 산정'!$E$20)*EXP(-Graph!$D$3*F179/'폭압 파라메터 산정'!$E$20),0)</f>
        <v>0</v>
      </c>
    </row>
    <row r="180" spans="2:8" x14ac:dyDescent="0.3">
      <c r="B180">
        <f t="shared" si="2"/>
        <v>43.25</v>
      </c>
      <c r="C180" s="33" t="str">
        <f>IF(B180-'폭압 파라메터 산정'!$C$19&gt;0,B180-'폭압 파라메터 산정'!$C$19, IF(B180-'폭압 파라메터 산정'!$C$19&lt;-0.25,"none",0))</f>
        <v>none</v>
      </c>
      <c r="D180" s="32">
        <f>IF(B180-'폭압 파라메터 산정'!$C$19&gt;-0.25,'폭압 파라메터 산정'!$C$14*(1-Graph!C180/'폭압 파라메터 산정'!$C$20)*EXP(-Graph!$D$3*Graph!C180/'폭압 파라메터 산정'!$C$20),0)</f>
        <v>0</v>
      </c>
      <c r="E180" s="32">
        <f>IF(B180-'폭압 파라메터 산정'!$C$19&gt;-0.25,'폭압 파라메터 산정'!$C$16*(1-Graph!C180/'폭압 파라메터 산정'!$C$20)*EXP(-Graph!$D$3*Graph!C180/'폭압 파라메터 산정'!$C$20),0)</f>
        <v>0</v>
      </c>
      <c r="F180" s="34" t="str">
        <f>IF(B180-'폭압 파라메터 산정'!$E$19&gt;0,B180-'폭압 파라메터 산정'!$E$19, IF(B180-'폭압 파라메터 산정'!$E$19&lt;-0.25,"none",0))</f>
        <v>none</v>
      </c>
      <c r="G180" s="32">
        <f>IF(B180-'폭압 파라메터 산정'!$E$19&gt;-0.25,'폭압 파라메터 산정'!$E$14*(1-F180/'폭압 파라메터 산정'!$E$20)*EXP(-Graph!$D$3*F180/'폭압 파라메터 산정'!$E$20),0)</f>
        <v>0</v>
      </c>
      <c r="H180" s="32">
        <f>IF(B180-'폭압 파라메터 산정'!$E$19&gt;-0.25,'폭압 파라메터 산정'!$E$16*(1-F180/'폭압 파라메터 산정'!$E$20)*EXP(-Graph!$D$3*F180/'폭압 파라메터 산정'!$E$20),0)</f>
        <v>0</v>
      </c>
    </row>
    <row r="181" spans="2:8" x14ac:dyDescent="0.3">
      <c r="B181">
        <f t="shared" si="2"/>
        <v>43.5</v>
      </c>
      <c r="C181" s="33" t="str">
        <f>IF(B181-'폭압 파라메터 산정'!$C$19&gt;0,B181-'폭압 파라메터 산정'!$C$19, IF(B181-'폭압 파라메터 산정'!$C$19&lt;-0.25,"none",0))</f>
        <v>none</v>
      </c>
      <c r="D181" s="32">
        <f>IF(B181-'폭압 파라메터 산정'!$C$19&gt;-0.25,'폭압 파라메터 산정'!$C$14*(1-Graph!C181/'폭압 파라메터 산정'!$C$20)*EXP(-Graph!$D$3*Graph!C181/'폭압 파라메터 산정'!$C$20),0)</f>
        <v>0</v>
      </c>
      <c r="E181" s="32">
        <f>IF(B181-'폭압 파라메터 산정'!$C$19&gt;-0.25,'폭압 파라메터 산정'!$C$16*(1-Graph!C181/'폭압 파라메터 산정'!$C$20)*EXP(-Graph!$D$3*Graph!C181/'폭압 파라메터 산정'!$C$20),0)</f>
        <v>0</v>
      </c>
      <c r="F181" s="34" t="str">
        <f>IF(B181-'폭압 파라메터 산정'!$E$19&gt;0,B181-'폭압 파라메터 산정'!$E$19, IF(B181-'폭압 파라메터 산정'!$E$19&lt;-0.25,"none",0))</f>
        <v>none</v>
      </c>
      <c r="G181" s="32">
        <f>IF(B181-'폭압 파라메터 산정'!$E$19&gt;-0.25,'폭압 파라메터 산정'!$E$14*(1-F181/'폭압 파라메터 산정'!$E$20)*EXP(-Graph!$D$3*F181/'폭압 파라메터 산정'!$E$20),0)</f>
        <v>0</v>
      </c>
      <c r="H181" s="32">
        <f>IF(B181-'폭압 파라메터 산정'!$E$19&gt;-0.25,'폭압 파라메터 산정'!$E$16*(1-F181/'폭압 파라메터 산정'!$E$20)*EXP(-Graph!$D$3*F181/'폭압 파라메터 산정'!$E$20),0)</f>
        <v>0</v>
      </c>
    </row>
    <row r="182" spans="2:8" x14ac:dyDescent="0.3">
      <c r="B182">
        <f t="shared" si="2"/>
        <v>43.75</v>
      </c>
      <c r="C182" s="33" t="str">
        <f>IF(B182-'폭압 파라메터 산정'!$C$19&gt;0,B182-'폭압 파라메터 산정'!$C$19, IF(B182-'폭압 파라메터 산정'!$C$19&lt;-0.25,"none",0))</f>
        <v>none</v>
      </c>
      <c r="D182" s="32">
        <f>IF(B182-'폭압 파라메터 산정'!$C$19&gt;-0.25,'폭압 파라메터 산정'!$C$14*(1-Graph!C182/'폭압 파라메터 산정'!$C$20)*EXP(-Graph!$D$3*Graph!C182/'폭압 파라메터 산정'!$C$20),0)</f>
        <v>0</v>
      </c>
      <c r="E182" s="32">
        <f>IF(B182-'폭압 파라메터 산정'!$C$19&gt;-0.25,'폭압 파라메터 산정'!$C$16*(1-Graph!C182/'폭압 파라메터 산정'!$C$20)*EXP(-Graph!$D$3*Graph!C182/'폭압 파라메터 산정'!$C$20),0)</f>
        <v>0</v>
      </c>
      <c r="F182" s="34" t="str">
        <f>IF(B182-'폭압 파라메터 산정'!$E$19&gt;0,B182-'폭압 파라메터 산정'!$E$19, IF(B182-'폭압 파라메터 산정'!$E$19&lt;-0.25,"none",0))</f>
        <v>none</v>
      </c>
      <c r="G182" s="32">
        <f>IF(B182-'폭압 파라메터 산정'!$E$19&gt;-0.25,'폭압 파라메터 산정'!$E$14*(1-F182/'폭압 파라메터 산정'!$E$20)*EXP(-Graph!$D$3*F182/'폭압 파라메터 산정'!$E$20),0)</f>
        <v>0</v>
      </c>
      <c r="H182" s="32">
        <f>IF(B182-'폭압 파라메터 산정'!$E$19&gt;-0.25,'폭압 파라메터 산정'!$E$16*(1-F182/'폭압 파라메터 산정'!$E$20)*EXP(-Graph!$D$3*F182/'폭압 파라메터 산정'!$E$20),0)</f>
        <v>0</v>
      </c>
    </row>
    <row r="183" spans="2:8" x14ac:dyDescent="0.3">
      <c r="B183">
        <f t="shared" si="2"/>
        <v>44</v>
      </c>
      <c r="C183" s="33" t="str">
        <f>IF(B183-'폭압 파라메터 산정'!$C$19&gt;0,B183-'폭압 파라메터 산정'!$C$19, IF(B183-'폭압 파라메터 산정'!$C$19&lt;-0.25,"none",0))</f>
        <v>none</v>
      </c>
      <c r="D183" s="32">
        <f>IF(B183-'폭압 파라메터 산정'!$C$19&gt;-0.25,'폭압 파라메터 산정'!$C$14*(1-Graph!C183/'폭압 파라메터 산정'!$C$20)*EXP(-Graph!$D$3*Graph!C183/'폭압 파라메터 산정'!$C$20),0)</f>
        <v>0</v>
      </c>
      <c r="E183" s="32">
        <f>IF(B183-'폭압 파라메터 산정'!$C$19&gt;-0.25,'폭압 파라메터 산정'!$C$16*(1-Graph!C183/'폭압 파라메터 산정'!$C$20)*EXP(-Graph!$D$3*Graph!C183/'폭압 파라메터 산정'!$C$20),0)</f>
        <v>0</v>
      </c>
      <c r="F183" s="34" t="str">
        <f>IF(B183-'폭압 파라메터 산정'!$E$19&gt;0,B183-'폭압 파라메터 산정'!$E$19, IF(B183-'폭압 파라메터 산정'!$E$19&lt;-0.25,"none",0))</f>
        <v>none</v>
      </c>
      <c r="G183" s="32">
        <f>IF(B183-'폭압 파라메터 산정'!$E$19&gt;-0.25,'폭압 파라메터 산정'!$E$14*(1-F183/'폭압 파라메터 산정'!$E$20)*EXP(-Graph!$D$3*F183/'폭압 파라메터 산정'!$E$20),0)</f>
        <v>0</v>
      </c>
      <c r="H183" s="32">
        <f>IF(B183-'폭압 파라메터 산정'!$E$19&gt;-0.25,'폭압 파라메터 산정'!$E$16*(1-F183/'폭압 파라메터 산정'!$E$20)*EXP(-Graph!$D$3*F183/'폭압 파라메터 산정'!$E$20),0)</f>
        <v>0</v>
      </c>
    </row>
    <row r="184" spans="2:8" x14ac:dyDescent="0.3">
      <c r="B184">
        <f t="shared" si="2"/>
        <v>44.25</v>
      </c>
      <c r="C184" s="33" t="str">
        <f>IF(B184-'폭압 파라메터 산정'!$C$19&gt;0,B184-'폭압 파라메터 산정'!$C$19, IF(B184-'폭압 파라메터 산정'!$C$19&lt;-0.25,"none",0))</f>
        <v>none</v>
      </c>
      <c r="D184" s="32">
        <f>IF(B184-'폭압 파라메터 산정'!$C$19&gt;-0.25,'폭압 파라메터 산정'!$C$14*(1-Graph!C184/'폭압 파라메터 산정'!$C$20)*EXP(-Graph!$D$3*Graph!C184/'폭압 파라메터 산정'!$C$20),0)</f>
        <v>0</v>
      </c>
      <c r="E184" s="32">
        <f>IF(B184-'폭압 파라메터 산정'!$C$19&gt;-0.25,'폭압 파라메터 산정'!$C$16*(1-Graph!C184/'폭압 파라메터 산정'!$C$20)*EXP(-Graph!$D$3*Graph!C184/'폭압 파라메터 산정'!$C$20),0)</f>
        <v>0</v>
      </c>
      <c r="F184" s="34" t="str">
        <f>IF(B184-'폭압 파라메터 산정'!$E$19&gt;0,B184-'폭압 파라메터 산정'!$E$19, IF(B184-'폭압 파라메터 산정'!$E$19&lt;-0.25,"none",0))</f>
        <v>none</v>
      </c>
      <c r="G184" s="32">
        <f>IF(B184-'폭압 파라메터 산정'!$E$19&gt;-0.25,'폭압 파라메터 산정'!$E$14*(1-F184/'폭압 파라메터 산정'!$E$20)*EXP(-Graph!$D$3*F184/'폭압 파라메터 산정'!$E$20),0)</f>
        <v>0</v>
      </c>
      <c r="H184" s="32">
        <f>IF(B184-'폭압 파라메터 산정'!$E$19&gt;-0.25,'폭압 파라메터 산정'!$E$16*(1-F184/'폭압 파라메터 산정'!$E$20)*EXP(-Graph!$D$3*F184/'폭압 파라메터 산정'!$E$20),0)</f>
        <v>0</v>
      </c>
    </row>
    <row r="185" spans="2:8" x14ac:dyDescent="0.3">
      <c r="B185">
        <f t="shared" si="2"/>
        <v>44.5</v>
      </c>
      <c r="C185" s="33" t="str">
        <f>IF(B185-'폭압 파라메터 산정'!$C$19&gt;0,B185-'폭압 파라메터 산정'!$C$19, IF(B185-'폭압 파라메터 산정'!$C$19&lt;-0.25,"none",0))</f>
        <v>none</v>
      </c>
      <c r="D185" s="32">
        <f>IF(B185-'폭압 파라메터 산정'!$C$19&gt;-0.25,'폭압 파라메터 산정'!$C$14*(1-Graph!C185/'폭압 파라메터 산정'!$C$20)*EXP(-Graph!$D$3*Graph!C185/'폭압 파라메터 산정'!$C$20),0)</f>
        <v>0</v>
      </c>
      <c r="E185" s="32">
        <f>IF(B185-'폭압 파라메터 산정'!$C$19&gt;-0.25,'폭압 파라메터 산정'!$C$16*(1-Graph!C185/'폭압 파라메터 산정'!$C$20)*EXP(-Graph!$D$3*Graph!C185/'폭압 파라메터 산정'!$C$20),0)</f>
        <v>0</v>
      </c>
      <c r="F185" s="34" t="str">
        <f>IF(B185-'폭압 파라메터 산정'!$E$19&gt;0,B185-'폭압 파라메터 산정'!$E$19, IF(B185-'폭압 파라메터 산정'!$E$19&lt;-0.25,"none",0))</f>
        <v>none</v>
      </c>
      <c r="G185" s="32">
        <f>IF(B185-'폭압 파라메터 산정'!$E$19&gt;-0.25,'폭압 파라메터 산정'!$E$14*(1-F185/'폭압 파라메터 산정'!$E$20)*EXP(-Graph!$D$3*F185/'폭압 파라메터 산정'!$E$20),0)</f>
        <v>0</v>
      </c>
      <c r="H185" s="32">
        <f>IF(B185-'폭압 파라메터 산정'!$E$19&gt;-0.25,'폭압 파라메터 산정'!$E$16*(1-F185/'폭압 파라메터 산정'!$E$20)*EXP(-Graph!$D$3*F185/'폭압 파라메터 산정'!$E$20),0)</f>
        <v>0</v>
      </c>
    </row>
    <row r="186" spans="2:8" x14ac:dyDescent="0.3">
      <c r="B186">
        <f t="shared" si="2"/>
        <v>44.75</v>
      </c>
      <c r="C186" s="33" t="str">
        <f>IF(B186-'폭압 파라메터 산정'!$C$19&gt;0,B186-'폭압 파라메터 산정'!$C$19, IF(B186-'폭압 파라메터 산정'!$C$19&lt;-0.25,"none",0))</f>
        <v>none</v>
      </c>
      <c r="D186" s="32">
        <f>IF(B186-'폭압 파라메터 산정'!$C$19&gt;-0.25,'폭압 파라메터 산정'!$C$14*(1-Graph!C186/'폭압 파라메터 산정'!$C$20)*EXP(-Graph!$D$3*Graph!C186/'폭압 파라메터 산정'!$C$20),0)</f>
        <v>0</v>
      </c>
      <c r="E186" s="32">
        <f>IF(B186-'폭압 파라메터 산정'!$C$19&gt;-0.25,'폭압 파라메터 산정'!$C$16*(1-Graph!C186/'폭압 파라메터 산정'!$C$20)*EXP(-Graph!$D$3*Graph!C186/'폭압 파라메터 산정'!$C$20),0)</f>
        <v>0</v>
      </c>
      <c r="F186" s="34" t="str">
        <f>IF(B186-'폭압 파라메터 산정'!$E$19&gt;0,B186-'폭압 파라메터 산정'!$E$19, IF(B186-'폭압 파라메터 산정'!$E$19&lt;-0.25,"none",0))</f>
        <v>none</v>
      </c>
      <c r="G186" s="32">
        <f>IF(B186-'폭압 파라메터 산정'!$E$19&gt;-0.25,'폭압 파라메터 산정'!$E$14*(1-F186/'폭압 파라메터 산정'!$E$20)*EXP(-Graph!$D$3*F186/'폭압 파라메터 산정'!$E$20),0)</f>
        <v>0</v>
      </c>
      <c r="H186" s="32">
        <f>IF(B186-'폭압 파라메터 산정'!$E$19&gt;-0.25,'폭압 파라메터 산정'!$E$16*(1-F186/'폭압 파라메터 산정'!$E$20)*EXP(-Graph!$D$3*F186/'폭압 파라메터 산정'!$E$20),0)</f>
        <v>0</v>
      </c>
    </row>
    <row r="187" spans="2:8" x14ac:dyDescent="0.3">
      <c r="B187">
        <f t="shared" si="2"/>
        <v>45</v>
      </c>
      <c r="C187" s="33" t="str">
        <f>IF(B187-'폭압 파라메터 산정'!$C$19&gt;0,B187-'폭압 파라메터 산정'!$C$19, IF(B187-'폭압 파라메터 산정'!$C$19&lt;-0.25,"none",0))</f>
        <v>none</v>
      </c>
      <c r="D187" s="32">
        <f>IF(B187-'폭압 파라메터 산정'!$C$19&gt;-0.25,'폭압 파라메터 산정'!$C$14*(1-Graph!C187/'폭압 파라메터 산정'!$C$20)*EXP(-Graph!$D$3*Graph!C187/'폭압 파라메터 산정'!$C$20),0)</f>
        <v>0</v>
      </c>
      <c r="E187" s="32">
        <f>IF(B187-'폭압 파라메터 산정'!$C$19&gt;-0.25,'폭압 파라메터 산정'!$C$16*(1-Graph!C187/'폭압 파라메터 산정'!$C$20)*EXP(-Graph!$D$3*Graph!C187/'폭압 파라메터 산정'!$C$20),0)</f>
        <v>0</v>
      </c>
      <c r="F187" s="34" t="str">
        <f>IF(B187-'폭압 파라메터 산정'!$E$19&gt;0,B187-'폭압 파라메터 산정'!$E$19, IF(B187-'폭압 파라메터 산정'!$E$19&lt;-0.25,"none",0))</f>
        <v>none</v>
      </c>
      <c r="G187" s="32">
        <f>IF(B187-'폭압 파라메터 산정'!$E$19&gt;-0.25,'폭압 파라메터 산정'!$E$14*(1-F187/'폭압 파라메터 산정'!$E$20)*EXP(-Graph!$D$3*F187/'폭압 파라메터 산정'!$E$20),0)</f>
        <v>0</v>
      </c>
      <c r="H187" s="32">
        <f>IF(B187-'폭압 파라메터 산정'!$E$19&gt;-0.25,'폭압 파라메터 산정'!$E$16*(1-F187/'폭압 파라메터 산정'!$E$20)*EXP(-Graph!$D$3*F187/'폭압 파라메터 산정'!$E$20),0)</f>
        <v>0</v>
      </c>
    </row>
    <row r="188" spans="2:8" x14ac:dyDescent="0.3">
      <c r="B188">
        <f t="shared" si="2"/>
        <v>45.25</v>
      </c>
      <c r="C188" s="33" t="str">
        <f>IF(B188-'폭압 파라메터 산정'!$C$19&gt;0,B188-'폭압 파라메터 산정'!$C$19, IF(B188-'폭압 파라메터 산정'!$C$19&lt;-0.25,"none",0))</f>
        <v>none</v>
      </c>
      <c r="D188" s="32">
        <f>IF(B188-'폭압 파라메터 산정'!$C$19&gt;-0.25,'폭압 파라메터 산정'!$C$14*(1-Graph!C188/'폭압 파라메터 산정'!$C$20)*EXP(-Graph!$D$3*Graph!C188/'폭압 파라메터 산정'!$C$20),0)</f>
        <v>0</v>
      </c>
      <c r="E188" s="32">
        <f>IF(B188-'폭압 파라메터 산정'!$C$19&gt;-0.25,'폭압 파라메터 산정'!$C$16*(1-Graph!C188/'폭압 파라메터 산정'!$C$20)*EXP(-Graph!$D$3*Graph!C188/'폭압 파라메터 산정'!$C$20),0)</f>
        <v>0</v>
      </c>
      <c r="F188" s="34" t="str">
        <f>IF(B188-'폭압 파라메터 산정'!$E$19&gt;0,B188-'폭압 파라메터 산정'!$E$19, IF(B188-'폭압 파라메터 산정'!$E$19&lt;-0.25,"none",0))</f>
        <v>none</v>
      </c>
      <c r="G188" s="32">
        <f>IF(B188-'폭압 파라메터 산정'!$E$19&gt;-0.25,'폭압 파라메터 산정'!$E$14*(1-F188/'폭압 파라메터 산정'!$E$20)*EXP(-Graph!$D$3*F188/'폭압 파라메터 산정'!$E$20),0)</f>
        <v>0</v>
      </c>
      <c r="H188" s="32">
        <f>IF(B188-'폭압 파라메터 산정'!$E$19&gt;-0.25,'폭압 파라메터 산정'!$E$16*(1-F188/'폭압 파라메터 산정'!$E$20)*EXP(-Graph!$D$3*F188/'폭압 파라메터 산정'!$E$20),0)</f>
        <v>0</v>
      </c>
    </row>
    <row r="189" spans="2:8" x14ac:dyDescent="0.3">
      <c r="B189">
        <f t="shared" si="2"/>
        <v>45.5</v>
      </c>
      <c r="C189" s="33" t="str">
        <f>IF(B189-'폭압 파라메터 산정'!$C$19&gt;0,B189-'폭압 파라메터 산정'!$C$19, IF(B189-'폭압 파라메터 산정'!$C$19&lt;-0.25,"none",0))</f>
        <v>none</v>
      </c>
      <c r="D189" s="32">
        <f>IF(B189-'폭압 파라메터 산정'!$C$19&gt;-0.25,'폭압 파라메터 산정'!$C$14*(1-Graph!C189/'폭압 파라메터 산정'!$C$20)*EXP(-Graph!$D$3*Graph!C189/'폭압 파라메터 산정'!$C$20),0)</f>
        <v>0</v>
      </c>
      <c r="E189" s="32">
        <f>IF(B189-'폭압 파라메터 산정'!$C$19&gt;-0.25,'폭압 파라메터 산정'!$C$16*(1-Graph!C189/'폭압 파라메터 산정'!$C$20)*EXP(-Graph!$D$3*Graph!C189/'폭압 파라메터 산정'!$C$20),0)</f>
        <v>0</v>
      </c>
      <c r="F189" s="34" t="str">
        <f>IF(B189-'폭압 파라메터 산정'!$E$19&gt;0,B189-'폭압 파라메터 산정'!$E$19, IF(B189-'폭압 파라메터 산정'!$E$19&lt;-0.25,"none",0))</f>
        <v>none</v>
      </c>
      <c r="G189" s="32">
        <f>IF(B189-'폭압 파라메터 산정'!$E$19&gt;-0.25,'폭압 파라메터 산정'!$E$14*(1-F189/'폭압 파라메터 산정'!$E$20)*EXP(-Graph!$D$3*F189/'폭압 파라메터 산정'!$E$20),0)</f>
        <v>0</v>
      </c>
      <c r="H189" s="32">
        <f>IF(B189-'폭압 파라메터 산정'!$E$19&gt;-0.25,'폭압 파라메터 산정'!$E$16*(1-F189/'폭압 파라메터 산정'!$E$20)*EXP(-Graph!$D$3*F189/'폭압 파라메터 산정'!$E$20),0)</f>
        <v>0</v>
      </c>
    </row>
    <row r="190" spans="2:8" x14ac:dyDescent="0.3">
      <c r="B190">
        <f t="shared" si="2"/>
        <v>45.75</v>
      </c>
      <c r="C190" s="33" t="str">
        <f>IF(B190-'폭압 파라메터 산정'!$C$19&gt;0,B190-'폭압 파라메터 산정'!$C$19, IF(B190-'폭압 파라메터 산정'!$C$19&lt;-0.25,"none",0))</f>
        <v>none</v>
      </c>
      <c r="D190" s="32">
        <f>IF(B190-'폭압 파라메터 산정'!$C$19&gt;-0.25,'폭압 파라메터 산정'!$C$14*(1-Graph!C190/'폭압 파라메터 산정'!$C$20)*EXP(-Graph!$D$3*Graph!C190/'폭압 파라메터 산정'!$C$20),0)</f>
        <v>0</v>
      </c>
      <c r="E190" s="32">
        <f>IF(B190-'폭압 파라메터 산정'!$C$19&gt;-0.25,'폭압 파라메터 산정'!$C$16*(1-Graph!C190/'폭압 파라메터 산정'!$C$20)*EXP(-Graph!$D$3*Graph!C190/'폭압 파라메터 산정'!$C$20),0)</f>
        <v>0</v>
      </c>
      <c r="F190" s="34" t="str">
        <f>IF(B190-'폭압 파라메터 산정'!$E$19&gt;0,B190-'폭압 파라메터 산정'!$E$19, IF(B190-'폭압 파라메터 산정'!$E$19&lt;-0.25,"none",0))</f>
        <v>none</v>
      </c>
      <c r="G190" s="32">
        <f>IF(B190-'폭압 파라메터 산정'!$E$19&gt;-0.25,'폭압 파라메터 산정'!$E$14*(1-F190/'폭압 파라메터 산정'!$E$20)*EXP(-Graph!$D$3*F190/'폭압 파라메터 산정'!$E$20),0)</f>
        <v>0</v>
      </c>
      <c r="H190" s="32">
        <f>IF(B190-'폭압 파라메터 산정'!$E$19&gt;-0.25,'폭압 파라메터 산정'!$E$16*(1-F190/'폭압 파라메터 산정'!$E$20)*EXP(-Graph!$D$3*F190/'폭압 파라메터 산정'!$E$20),0)</f>
        <v>0</v>
      </c>
    </row>
    <row r="191" spans="2:8" x14ac:dyDescent="0.3">
      <c r="B191">
        <f t="shared" si="2"/>
        <v>46</v>
      </c>
      <c r="C191" s="33" t="str">
        <f>IF(B191-'폭압 파라메터 산정'!$C$19&gt;0,B191-'폭압 파라메터 산정'!$C$19, IF(B191-'폭압 파라메터 산정'!$C$19&lt;-0.25,"none",0))</f>
        <v>none</v>
      </c>
      <c r="D191" s="32">
        <f>IF(B191-'폭압 파라메터 산정'!$C$19&gt;-0.25,'폭압 파라메터 산정'!$C$14*(1-Graph!C191/'폭압 파라메터 산정'!$C$20)*EXP(-Graph!$D$3*Graph!C191/'폭압 파라메터 산정'!$C$20),0)</f>
        <v>0</v>
      </c>
      <c r="E191" s="32">
        <f>IF(B191-'폭압 파라메터 산정'!$C$19&gt;-0.25,'폭압 파라메터 산정'!$C$16*(1-Graph!C191/'폭압 파라메터 산정'!$C$20)*EXP(-Graph!$D$3*Graph!C191/'폭압 파라메터 산정'!$C$20),0)</f>
        <v>0</v>
      </c>
      <c r="F191" s="34" t="str">
        <f>IF(B191-'폭압 파라메터 산정'!$E$19&gt;0,B191-'폭압 파라메터 산정'!$E$19, IF(B191-'폭압 파라메터 산정'!$E$19&lt;-0.25,"none",0))</f>
        <v>none</v>
      </c>
      <c r="G191" s="32">
        <f>IF(B191-'폭압 파라메터 산정'!$E$19&gt;-0.25,'폭압 파라메터 산정'!$E$14*(1-F191/'폭압 파라메터 산정'!$E$20)*EXP(-Graph!$D$3*F191/'폭압 파라메터 산정'!$E$20),0)</f>
        <v>0</v>
      </c>
      <c r="H191" s="32">
        <f>IF(B191-'폭압 파라메터 산정'!$E$19&gt;-0.25,'폭압 파라메터 산정'!$E$16*(1-F191/'폭압 파라메터 산정'!$E$20)*EXP(-Graph!$D$3*F191/'폭압 파라메터 산정'!$E$20),0)</f>
        <v>0</v>
      </c>
    </row>
    <row r="192" spans="2:8" x14ac:dyDescent="0.3">
      <c r="B192">
        <f t="shared" si="2"/>
        <v>46.25</v>
      </c>
      <c r="C192" s="33" t="str">
        <f>IF(B192-'폭압 파라메터 산정'!$C$19&gt;0,B192-'폭압 파라메터 산정'!$C$19, IF(B192-'폭압 파라메터 산정'!$C$19&lt;-0.25,"none",0))</f>
        <v>none</v>
      </c>
      <c r="D192" s="32">
        <f>IF(B192-'폭압 파라메터 산정'!$C$19&gt;-0.25,'폭압 파라메터 산정'!$C$14*(1-Graph!C192/'폭압 파라메터 산정'!$C$20)*EXP(-Graph!$D$3*Graph!C192/'폭압 파라메터 산정'!$C$20),0)</f>
        <v>0</v>
      </c>
      <c r="E192" s="32">
        <f>IF(B192-'폭압 파라메터 산정'!$C$19&gt;-0.25,'폭압 파라메터 산정'!$C$16*(1-Graph!C192/'폭압 파라메터 산정'!$C$20)*EXP(-Graph!$D$3*Graph!C192/'폭압 파라메터 산정'!$C$20),0)</f>
        <v>0</v>
      </c>
      <c r="F192" s="34" t="str">
        <f>IF(B192-'폭압 파라메터 산정'!$E$19&gt;0,B192-'폭압 파라메터 산정'!$E$19, IF(B192-'폭압 파라메터 산정'!$E$19&lt;-0.25,"none",0))</f>
        <v>none</v>
      </c>
      <c r="G192" s="32">
        <f>IF(B192-'폭압 파라메터 산정'!$E$19&gt;-0.25,'폭압 파라메터 산정'!$E$14*(1-F192/'폭압 파라메터 산정'!$E$20)*EXP(-Graph!$D$3*F192/'폭압 파라메터 산정'!$E$20),0)</f>
        <v>0</v>
      </c>
      <c r="H192" s="32">
        <f>IF(B192-'폭압 파라메터 산정'!$E$19&gt;-0.25,'폭압 파라메터 산정'!$E$16*(1-F192/'폭압 파라메터 산정'!$E$20)*EXP(-Graph!$D$3*F192/'폭압 파라메터 산정'!$E$20),0)</f>
        <v>0</v>
      </c>
    </row>
    <row r="193" spans="2:8" x14ac:dyDescent="0.3">
      <c r="B193">
        <f t="shared" si="2"/>
        <v>46.5</v>
      </c>
      <c r="C193" s="33" t="str">
        <f>IF(B193-'폭압 파라메터 산정'!$C$19&gt;0,B193-'폭압 파라메터 산정'!$C$19, IF(B193-'폭압 파라메터 산정'!$C$19&lt;-0.25,"none",0))</f>
        <v>none</v>
      </c>
      <c r="D193" s="32">
        <f>IF(B193-'폭압 파라메터 산정'!$C$19&gt;-0.25,'폭압 파라메터 산정'!$C$14*(1-Graph!C193/'폭압 파라메터 산정'!$C$20)*EXP(-Graph!$D$3*Graph!C193/'폭압 파라메터 산정'!$C$20),0)</f>
        <v>0</v>
      </c>
      <c r="E193" s="32">
        <f>IF(B193-'폭압 파라메터 산정'!$C$19&gt;-0.25,'폭압 파라메터 산정'!$C$16*(1-Graph!C193/'폭압 파라메터 산정'!$C$20)*EXP(-Graph!$D$3*Graph!C193/'폭압 파라메터 산정'!$C$20),0)</f>
        <v>0</v>
      </c>
      <c r="F193" s="34" t="str">
        <f>IF(B193-'폭압 파라메터 산정'!$E$19&gt;0,B193-'폭압 파라메터 산정'!$E$19, IF(B193-'폭압 파라메터 산정'!$E$19&lt;-0.25,"none",0))</f>
        <v>none</v>
      </c>
      <c r="G193" s="32">
        <f>IF(B193-'폭압 파라메터 산정'!$E$19&gt;-0.25,'폭압 파라메터 산정'!$E$14*(1-F193/'폭압 파라메터 산정'!$E$20)*EXP(-Graph!$D$3*F193/'폭압 파라메터 산정'!$E$20),0)</f>
        <v>0</v>
      </c>
      <c r="H193" s="32">
        <f>IF(B193-'폭압 파라메터 산정'!$E$19&gt;-0.25,'폭압 파라메터 산정'!$E$16*(1-F193/'폭압 파라메터 산정'!$E$20)*EXP(-Graph!$D$3*F193/'폭압 파라메터 산정'!$E$20),0)</f>
        <v>0</v>
      </c>
    </row>
    <row r="194" spans="2:8" x14ac:dyDescent="0.3">
      <c r="B194">
        <f t="shared" si="2"/>
        <v>46.75</v>
      </c>
      <c r="C194" s="33" t="str">
        <f>IF(B194-'폭압 파라메터 산정'!$C$19&gt;0,B194-'폭압 파라메터 산정'!$C$19, IF(B194-'폭압 파라메터 산정'!$C$19&lt;-0.25,"none",0))</f>
        <v>none</v>
      </c>
      <c r="D194" s="32">
        <f>IF(B194-'폭압 파라메터 산정'!$C$19&gt;-0.25,'폭압 파라메터 산정'!$C$14*(1-Graph!C194/'폭압 파라메터 산정'!$C$20)*EXP(-Graph!$D$3*Graph!C194/'폭압 파라메터 산정'!$C$20),0)</f>
        <v>0</v>
      </c>
      <c r="E194" s="32">
        <f>IF(B194-'폭압 파라메터 산정'!$C$19&gt;-0.25,'폭압 파라메터 산정'!$C$16*(1-Graph!C194/'폭압 파라메터 산정'!$C$20)*EXP(-Graph!$D$3*Graph!C194/'폭압 파라메터 산정'!$C$20),0)</f>
        <v>0</v>
      </c>
      <c r="F194" s="34" t="str">
        <f>IF(B194-'폭압 파라메터 산정'!$E$19&gt;0,B194-'폭압 파라메터 산정'!$E$19, IF(B194-'폭압 파라메터 산정'!$E$19&lt;-0.25,"none",0))</f>
        <v>none</v>
      </c>
      <c r="G194" s="32">
        <f>IF(B194-'폭압 파라메터 산정'!$E$19&gt;-0.25,'폭압 파라메터 산정'!$E$14*(1-F194/'폭압 파라메터 산정'!$E$20)*EXP(-Graph!$D$3*F194/'폭압 파라메터 산정'!$E$20),0)</f>
        <v>0</v>
      </c>
      <c r="H194" s="32">
        <f>IF(B194-'폭압 파라메터 산정'!$E$19&gt;-0.25,'폭압 파라메터 산정'!$E$16*(1-F194/'폭압 파라메터 산정'!$E$20)*EXP(-Graph!$D$3*F194/'폭압 파라메터 산정'!$E$20),0)</f>
        <v>0</v>
      </c>
    </row>
    <row r="195" spans="2:8" x14ac:dyDescent="0.3">
      <c r="B195">
        <f t="shared" si="2"/>
        <v>47</v>
      </c>
      <c r="C195" s="33" t="str">
        <f>IF(B195-'폭압 파라메터 산정'!$C$19&gt;0,B195-'폭압 파라메터 산정'!$C$19, IF(B195-'폭압 파라메터 산정'!$C$19&lt;-0.25,"none",0))</f>
        <v>none</v>
      </c>
      <c r="D195" s="32">
        <f>IF(B195-'폭압 파라메터 산정'!$C$19&gt;-0.25,'폭압 파라메터 산정'!$C$14*(1-Graph!C195/'폭압 파라메터 산정'!$C$20)*EXP(-Graph!$D$3*Graph!C195/'폭압 파라메터 산정'!$C$20),0)</f>
        <v>0</v>
      </c>
      <c r="E195" s="32">
        <f>IF(B195-'폭압 파라메터 산정'!$C$19&gt;-0.25,'폭압 파라메터 산정'!$C$16*(1-Graph!C195/'폭압 파라메터 산정'!$C$20)*EXP(-Graph!$D$3*Graph!C195/'폭압 파라메터 산정'!$C$20),0)</f>
        <v>0</v>
      </c>
      <c r="F195" s="34" t="str">
        <f>IF(B195-'폭압 파라메터 산정'!$E$19&gt;0,B195-'폭압 파라메터 산정'!$E$19, IF(B195-'폭압 파라메터 산정'!$E$19&lt;-0.25,"none",0))</f>
        <v>none</v>
      </c>
      <c r="G195" s="32">
        <f>IF(B195-'폭압 파라메터 산정'!$E$19&gt;-0.25,'폭압 파라메터 산정'!$E$14*(1-F195/'폭압 파라메터 산정'!$E$20)*EXP(-Graph!$D$3*F195/'폭압 파라메터 산정'!$E$20),0)</f>
        <v>0</v>
      </c>
      <c r="H195" s="32">
        <f>IF(B195-'폭압 파라메터 산정'!$E$19&gt;-0.25,'폭압 파라메터 산정'!$E$16*(1-F195/'폭압 파라메터 산정'!$E$20)*EXP(-Graph!$D$3*F195/'폭압 파라메터 산정'!$E$20),0)</f>
        <v>0</v>
      </c>
    </row>
    <row r="196" spans="2:8" x14ac:dyDescent="0.3">
      <c r="B196">
        <f t="shared" si="2"/>
        <v>47.25</v>
      </c>
      <c r="C196" s="33" t="str">
        <f>IF(B196-'폭압 파라메터 산정'!$C$19&gt;0,B196-'폭압 파라메터 산정'!$C$19, IF(B196-'폭압 파라메터 산정'!$C$19&lt;-0.25,"none",0))</f>
        <v>none</v>
      </c>
      <c r="D196" s="32">
        <f>IF(B196-'폭압 파라메터 산정'!$C$19&gt;-0.25,'폭압 파라메터 산정'!$C$14*(1-Graph!C196/'폭압 파라메터 산정'!$C$20)*EXP(-Graph!$D$3*Graph!C196/'폭압 파라메터 산정'!$C$20),0)</f>
        <v>0</v>
      </c>
      <c r="E196" s="32">
        <f>IF(B196-'폭압 파라메터 산정'!$C$19&gt;-0.25,'폭압 파라메터 산정'!$C$16*(1-Graph!C196/'폭압 파라메터 산정'!$C$20)*EXP(-Graph!$D$3*Graph!C196/'폭압 파라메터 산정'!$C$20),0)</f>
        <v>0</v>
      </c>
      <c r="F196" s="34" t="str">
        <f>IF(B196-'폭압 파라메터 산정'!$E$19&gt;0,B196-'폭압 파라메터 산정'!$E$19, IF(B196-'폭압 파라메터 산정'!$E$19&lt;-0.25,"none",0))</f>
        <v>none</v>
      </c>
      <c r="G196" s="32">
        <f>IF(B196-'폭압 파라메터 산정'!$E$19&gt;-0.25,'폭압 파라메터 산정'!$E$14*(1-F196/'폭압 파라메터 산정'!$E$20)*EXP(-Graph!$D$3*F196/'폭압 파라메터 산정'!$E$20),0)</f>
        <v>0</v>
      </c>
      <c r="H196" s="32">
        <f>IF(B196-'폭압 파라메터 산정'!$E$19&gt;-0.25,'폭압 파라메터 산정'!$E$16*(1-F196/'폭압 파라메터 산정'!$E$20)*EXP(-Graph!$D$3*F196/'폭압 파라메터 산정'!$E$20),0)</f>
        <v>0</v>
      </c>
    </row>
    <row r="197" spans="2:8" x14ac:dyDescent="0.3">
      <c r="B197">
        <f t="shared" si="2"/>
        <v>47.5</v>
      </c>
      <c r="C197" s="33" t="str">
        <f>IF(B197-'폭압 파라메터 산정'!$C$19&gt;0,B197-'폭압 파라메터 산정'!$C$19, IF(B197-'폭압 파라메터 산정'!$C$19&lt;-0.25,"none",0))</f>
        <v>none</v>
      </c>
      <c r="D197" s="32">
        <f>IF(B197-'폭압 파라메터 산정'!$C$19&gt;-0.25,'폭압 파라메터 산정'!$C$14*(1-Graph!C197/'폭압 파라메터 산정'!$C$20)*EXP(-Graph!$D$3*Graph!C197/'폭압 파라메터 산정'!$C$20),0)</f>
        <v>0</v>
      </c>
      <c r="E197" s="32">
        <f>IF(B197-'폭압 파라메터 산정'!$C$19&gt;-0.25,'폭압 파라메터 산정'!$C$16*(1-Graph!C197/'폭압 파라메터 산정'!$C$20)*EXP(-Graph!$D$3*Graph!C197/'폭압 파라메터 산정'!$C$20),0)</f>
        <v>0</v>
      </c>
      <c r="F197" s="34" t="str">
        <f>IF(B197-'폭압 파라메터 산정'!$E$19&gt;0,B197-'폭압 파라메터 산정'!$E$19, IF(B197-'폭압 파라메터 산정'!$E$19&lt;-0.25,"none",0))</f>
        <v>none</v>
      </c>
      <c r="G197" s="32">
        <f>IF(B197-'폭압 파라메터 산정'!$E$19&gt;-0.25,'폭압 파라메터 산정'!$E$14*(1-F197/'폭압 파라메터 산정'!$E$20)*EXP(-Graph!$D$3*F197/'폭압 파라메터 산정'!$E$20),0)</f>
        <v>0</v>
      </c>
      <c r="H197" s="32">
        <f>IF(B197-'폭압 파라메터 산정'!$E$19&gt;-0.25,'폭압 파라메터 산정'!$E$16*(1-F197/'폭압 파라메터 산정'!$E$20)*EXP(-Graph!$D$3*F197/'폭압 파라메터 산정'!$E$20),0)</f>
        <v>0</v>
      </c>
    </row>
    <row r="198" spans="2:8" x14ac:dyDescent="0.3">
      <c r="B198">
        <f t="shared" si="2"/>
        <v>47.75</v>
      </c>
      <c r="C198" s="33" t="str">
        <f>IF(B198-'폭압 파라메터 산정'!$C$19&gt;0,B198-'폭압 파라메터 산정'!$C$19, IF(B198-'폭압 파라메터 산정'!$C$19&lt;-0.25,"none",0))</f>
        <v>none</v>
      </c>
      <c r="D198" s="32">
        <f>IF(B198-'폭압 파라메터 산정'!$C$19&gt;-0.25,'폭압 파라메터 산정'!$C$14*(1-Graph!C198/'폭압 파라메터 산정'!$C$20)*EXP(-Graph!$D$3*Graph!C198/'폭압 파라메터 산정'!$C$20),0)</f>
        <v>0</v>
      </c>
      <c r="E198" s="32">
        <f>IF(B198-'폭압 파라메터 산정'!$C$19&gt;-0.25,'폭압 파라메터 산정'!$C$16*(1-Graph!C198/'폭압 파라메터 산정'!$C$20)*EXP(-Graph!$D$3*Graph!C198/'폭압 파라메터 산정'!$C$20),0)</f>
        <v>0</v>
      </c>
      <c r="F198" s="34" t="str">
        <f>IF(B198-'폭압 파라메터 산정'!$E$19&gt;0,B198-'폭압 파라메터 산정'!$E$19, IF(B198-'폭압 파라메터 산정'!$E$19&lt;-0.25,"none",0))</f>
        <v>none</v>
      </c>
      <c r="G198" s="32">
        <f>IF(B198-'폭압 파라메터 산정'!$E$19&gt;-0.25,'폭압 파라메터 산정'!$E$14*(1-F198/'폭압 파라메터 산정'!$E$20)*EXP(-Graph!$D$3*F198/'폭압 파라메터 산정'!$E$20),0)</f>
        <v>0</v>
      </c>
      <c r="H198" s="32">
        <f>IF(B198-'폭압 파라메터 산정'!$E$19&gt;-0.25,'폭압 파라메터 산정'!$E$16*(1-F198/'폭압 파라메터 산정'!$E$20)*EXP(-Graph!$D$3*F198/'폭압 파라메터 산정'!$E$20),0)</f>
        <v>0</v>
      </c>
    </row>
    <row r="199" spans="2:8" x14ac:dyDescent="0.3">
      <c r="B199">
        <f t="shared" si="2"/>
        <v>48</v>
      </c>
      <c r="C199" s="33" t="str">
        <f>IF(B199-'폭압 파라메터 산정'!$C$19&gt;0,B199-'폭압 파라메터 산정'!$C$19, IF(B199-'폭압 파라메터 산정'!$C$19&lt;-0.25,"none",0))</f>
        <v>none</v>
      </c>
      <c r="D199" s="32">
        <f>IF(B199-'폭압 파라메터 산정'!$C$19&gt;-0.25,'폭압 파라메터 산정'!$C$14*(1-Graph!C199/'폭압 파라메터 산정'!$C$20)*EXP(-Graph!$D$3*Graph!C199/'폭압 파라메터 산정'!$C$20),0)</f>
        <v>0</v>
      </c>
      <c r="E199" s="32">
        <f>IF(B199-'폭압 파라메터 산정'!$C$19&gt;-0.25,'폭압 파라메터 산정'!$C$16*(1-Graph!C199/'폭압 파라메터 산정'!$C$20)*EXP(-Graph!$D$3*Graph!C199/'폭압 파라메터 산정'!$C$20),0)</f>
        <v>0</v>
      </c>
      <c r="F199" s="34" t="str">
        <f>IF(B199-'폭압 파라메터 산정'!$E$19&gt;0,B199-'폭압 파라메터 산정'!$E$19, IF(B199-'폭압 파라메터 산정'!$E$19&lt;-0.25,"none",0))</f>
        <v>none</v>
      </c>
      <c r="G199" s="32">
        <f>IF(B199-'폭압 파라메터 산정'!$E$19&gt;-0.25,'폭압 파라메터 산정'!$E$14*(1-F199/'폭압 파라메터 산정'!$E$20)*EXP(-Graph!$D$3*F199/'폭압 파라메터 산정'!$E$20),0)</f>
        <v>0</v>
      </c>
      <c r="H199" s="32">
        <f>IF(B199-'폭압 파라메터 산정'!$E$19&gt;-0.25,'폭압 파라메터 산정'!$E$16*(1-F199/'폭압 파라메터 산정'!$E$20)*EXP(-Graph!$D$3*F199/'폭압 파라메터 산정'!$E$20),0)</f>
        <v>0</v>
      </c>
    </row>
    <row r="200" spans="2:8" x14ac:dyDescent="0.3">
      <c r="B200">
        <f t="shared" si="2"/>
        <v>48.25</v>
      </c>
      <c r="C200" s="33" t="str">
        <f>IF(B200-'폭압 파라메터 산정'!$C$19&gt;0,B200-'폭압 파라메터 산정'!$C$19, IF(B200-'폭압 파라메터 산정'!$C$19&lt;-0.25,"none",0))</f>
        <v>none</v>
      </c>
      <c r="D200" s="32">
        <f>IF(B200-'폭압 파라메터 산정'!$C$19&gt;-0.25,'폭압 파라메터 산정'!$C$14*(1-Graph!C200/'폭압 파라메터 산정'!$C$20)*EXP(-Graph!$D$3*Graph!C200/'폭압 파라메터 산정'!$C$20),0)</f>
        <v>0</v>
      </c>
      <c r="E200" s="32">
        <f>IF(B200-'폭압 파라메터 산정'!$C$19&gt;-0.25,'폭압 파라메터 산정'!$C$16*(1-Graph!C200/'폭압 파라메터 산정'!$C$20)*EXP(-Graph!$D$3*Graph!C200/'폭압 파라메터 산정'!$C$20),0)</f>
        <v>0</v>
      </c>
      <c r="F200" s="34" t="str">
        <f>IF(B200-'폭압 파라메터 산정'!$E$19&gt;0,B200-'폭압 파라메터 산정'!$E$19, IF(B200-'폭압 파라메터 산정'!$E$19&lt;-0.25,"none",0))</f>
        <v>none</v>
      </c>
      <c r="G200" s="32">
        <f>IF(B200-'폭압 파라메터 산정'!$E$19&gt;-0.25,'폭압 파라메터 산정'!$E$14*(1-F200/'폭압 파라메터 산정'!$E$20)*EXP(-Graph!$D$3*F200/'폭압 파라메터 산정'!$E$20),0)</f>
        <v>0</v>
      </c>
      <c r="H200" s="32">
        <f>IF(B200-'폭압 파라메터 산정'!$E$19&gt;-0.25,'폭압 파라메터 산정'!$E$16*(1-F200/'폭압 파라메터 산정'!$E$20)*EXP(-Graph!$D$3*F200/'폭압 파라메터 산정'!$E$20),0)</f>
        <v>0</v>
      </c>
    </row>
    <row r="201" spans="2:8" x14ac:dyDescent="0.3">
      <c r="B201">
        <f t="shared" ref="B201:B264" si="3">B200+0.25</f>
        <v>48.5</v>
      </c>
      <c r="C201" s="33" t="str">
        <f>IF(B201-'폭압 파라메터 산정'!$C$19&gt;0,B201-'폭압 파라메터 산정'!$C$19, IF(B201-'폭압 파라메터 산정'!$C$19&lt;-0.25,"none",0))</f>
        <v>none</v>
      </c>
      <c r="D201" s="32">
        <f>IF(B201-'폭압 파라메터 산정'!$C$19&gt;-0.25,'폭압 파라메터 산정'!$C$14*(1-Graph!C201/'폭압 파라메터 산정'!$C$20)*EXP(-Graph!$D$3*Graph!C201/'폭압 파라메터 산정'!$C$20),0)</f>
        <v>0</v>
      </c>
      <c r="E201" s="32">
        <f>IF(B201-'폭압 파라메터 산정'!$C$19&gt;-0.25,'폭압 파라메터 산정'!$C$16*(1-Graph!C201/'폭압 파라메터 산정'!$C$20)*EXP(-Graph!$D$3*Graph!C201/'폭압 파라메터 산정'!$C$20),0)</f>
        <v>0</v>
      </c>
      <c r="F201" s="34" t="str">
        <f>IF(B201-'폭압 파라메터 산정'!$E$19&gt;0,B201-'폭압 파라메터 산정'!$E$19, IF(B201-'폭압 파라메터 산정'!$E$19&lt;-0.25,"none",0))</f>
        <v>none</v>
      </c>
      <c r="G201" s="32">
        <f>IF(B201-'폭압 파라메터 산정'!$E$19&gt;-0.25,'폭압 파라메터 산정'!$E$14*(1-F201/'폭압 파라메터 산정'!$E$20)*EXP(-Graph!$D$3*F201/'폭압 파라메터 산정'!$E$20),0)</f>
        <v>0</v>
      </c>
      <c r="H201" s="32">
        <f>IF(B201-'폭압 파라메터 산정'!$E$19&gt;-0.25,'폭압 파라메터 산정'!$E$16*(1-F201/'폭압 파라메터 산정'!$E$20)*EXP(-Graph!$D$3*F201/'폭압 파라메터 산정'!$E$20),0)</f>
        <v>0</v>
      </c>
    </row>
    <row r="202" spans="2:8" x14ac:dyDescent="0.3">
      <c r="B202">
        <f t="shared" si="3"/>
        <v>48.75</v>
      </c>
      <c r="C202" s="33" t="str">
        <f>IF(B202-'폭압 파라메터 산정'!$C$19&gt;0,B202-'폭압 파라메터 산정'!$C$19, IF(B202-'폭압 파라메터 산정'!$C$19&lt;-0.25,"none",0))</f>
        <v>none</v>
      </c>
      <c r="D202" s="32">
        <f>IF(B202-'폭압 파라메터 산정'!$C$19&gt;-0.25,'폭압 파라메터 산정'!$C$14*(1-Graph!C202/'폭압 파라메터 산정'!$C$20)*EXP(-Graph!$D$3*Graph!C202/'폭압 파라메터 산정'!$C$20),0)</f>
        <v>0</v>
      </c>
      <c r="E202" s="32">
        <f>IF(B202-'폭압 파라메터 산정'!$C$19&gt;-0.25,'폭압 파라메터 산정'!$C$16*(1-Graph!C202/'폭압 파라메터 산정'!$C$20)*EXP(-Graph!$D$3*Graph!C202/'폭압 파라메터 산정'!$C$20),0)</f>
        <v>0</v>
      </c>
      <c r="F202" s="34" t="str">
        <f>IF(B202-'폭압 파라메터 산정'!$E$19&gt;0,B202-'폭압 파라메터 산정'!$E$19, IF(B202-'폭압 파라메터 산정'!$E$19&lt;-0.25,"none",0))</f>
        <v>none</v>
      </c>
      <c r="G202" s="32">
        <f>IF(B202-'폭압 파라메터 산정'!$E$19&gt;-0.25,'폭압 파라메터 산정'!$E$14*(1-F202/'폭압 파라메터 산정'!$E$20)*EXP(-Graph!$D$3*F202/'폭압 파라메터 산정'!$E$20),0)</f>
        <v>0</v>
      </c>
      <c r="H202" s="32">
        <f>IF(B202-'폭압 파라메터 산정'!$E$19&gt;-0.25,'폭압 파라메터 산정'!$E$16*(1-F202/'폭압 파라메터 산정'!$E$20)*EXP(-Graph!$D$3*F202/'폭압 파라메터 산정'!$E$20),0)</f>
        <v>0</v>
      </c>
    </row>
    <row r="203" spans="2:8" x14ac:dyDescent="0.3">
      <c r="B203">
        <f t="shared" si="3"/>
        <v>49</v>
      </c>
      <c r="C203" s="33" t="str">
        <f>IF(B203-'폭압 파라메터 산정'!$C$19&gt;0,B203-'폭압 파라메터 산정'!$C$19, IF(B203-'폭압 파라메터 산정'!$C$19&lt;-0.25,"none",0))</f>
        <v>none</v>
      </c>
      <c r="D203" s="32">
        <f>IF(B203-'폭압 파라메터 산정'!$C$19&gt;-0.25,'폭압 파라메터 산정'!$C$14*(1-Graph!C203/'폭압 파라메터 산정'!$C$20)*EXP(-Graph!$D$3*Graph!C203/'폭압 파라메터 산정'!$C$20),0)</f>
        <v>0</v>
      </c>
      <c r="E203" s="32">
        <f>IF(B203-'폭압 파라메터 산정'!$C$19&gt;-0.25,'폭압 파라메터 산정'!$C$16*(1-Graph!C203/'폭압 파라메터 산정'!$C$20)*EXP(-Graph!$D$3*Graph!C203/'폭압 파라메터 산정'!$C$20),0)</f>
        <v>0</v>
      </c>
      <c r="F203" s="34" t="str">
        <f>IF(B203-'폭압 파라메터 산정'!$E$19&gt;0,B203-'폭압 파라메터 산정'!$E$19, IF(B203-'폭압 파라메터 산정'!$E$19&lt;-0.25,"none",0))</f>
        <v>none</v>
      </c>
      <c r="G203" s="32">
        <f>IF(B203-'폭압 파라메터 산정'!$E$19&gt;-0.25,'폭압 파라메터 산정'!$E$14*(1-F203/'폭압 파라메터 산정'!$E$20)*EXP(-Graph!$D$3*F203/'폭압 파라메터 산정'!$E$20),0)</f>
        <v>0</v>
      </c>
      <c r="H203" s="32">
        <f>IF(B203-'폭압 파라메터 산정'!$E$19&gt;-0.25,'폭압 파라메터 산정'!$E$16*(1-F203/'폭압 파라메터 산정'!$E$20)*EXP(-Graph!$D$3*F203/'폭압 파라메터 산정'!$E$20),0)</f>
        <v>0</v>
      </c>
    </row>
    <row r="204" spans="2:8" x14ac:dyDescent="0.3">
      <c r="B204">
        <f t="shared" si="3"/>
        <v>49.25</v>
      </c>
      <c r="C204" s="33" t="str">
        <f>IF(B204-'폭압 파라메터 산정'!$C$19&gt;0,B204-'폭압 파라메터 산정'!$C$19, IF(B204-'폭압 파라메터 산정'!$C$19&lt;-0.25,"none",0))</f>
        <v>none</v>
      </c>
      <c r="D204" s="32">
        <f>IF(B204-'폭압 파라메터 산정'!$C$19&gt;-0.25,'폭압 파라메터 산정'!$C$14*(1-Graph!C204/'폭압 파라메터 산정'!$C$20)*EXP(-Graph!$D$3*Graph!C204/'폭압 파라메터 산정'!$C$20),0)</f>
        <v>0</v>
      </c>
      <c r="E204" s="32">
        <f>IF(B204-'폭압 파라메터 산정'!$C$19&gt;-0.25,'폭압 파라메터 산정'!$C$16*(1-Graph!C204/'폭압 파라메터 산정'!$C$20)*EXP(-Graph!$D$3*Graph!C204/'폭압 파라메터 산정'!$C$20),0)</f>
        <v>0</v>
      </c>
      <c r="F204" s="34" t="str">
        <f>IF(B204-'폭압 파라메터 산정'!$E$19&gt;0,B204-'폭압 파라메터 산정'!$E$19, IF(B204-'폭압 파라메터 산정'!$E$19&lt;-0.25,"none",0))</f>
        <v>none</v>
      </c>
      <c r="G204" s="32">
        <f>IF(B204-'폭압 파라메터 산정'!$E$19&gt;-0.25,'폭압 파라메터 산정'!$E$14*(1-F204/'폭압 파라메터 산정'!$E$20)*EXP(-Graph!$D$3*F204/'폭압 파라메터 산정'!$E$20),0)</f>
        <v>0</v>
      </c>
      <c r="H204" s="32">
        <f>IF(B204-'폭압 파라메터 산정'!$E$19&gt;-0.25,'폭압 파라메터 산정'!$E$16*(1-F204/'폭압 파라메터 산정'!$E$20)*EXP(-Graph!$D$3*F204/'폭압 파라메터 산정'!$E$20),0)</f>
        <v>0</v>
      </c>
    </row>
    <row r="205" spans="2:8" x14ac:dyDescent="0.3">
      <c r="B205">
        <f t="shared" si="3"/>
        <v>49.5</v>
      </c>
      <c r="C205" s="33" t="str">
        <f>IF(B205-'폭압 파라메터 산정'!$C$19&gt;0,B205-'폭압 파라메터 산정'!$C$19, IF(B205-'폭압 파라메터 산정'!$C$19&lt;-0.25,"none",0))</f>
        <v>none</v>
      </c>
      <c r="D205" s="32">
        <f>IF(B205-'폭압 파라메터 산정'!$C$19&gt;-0.25,'폭압 파라메터 산정'!$C$14*(1-Graph!C205/'폭압 파라메터 산정'!$C$20)*EXP(-Graph!$D$3*Graph!C205/'폭압 파라메터 산정'!$C$20),0)</f>
        <v>0</v>
      </c>
      <c r="E205" s="32">
        <f>IF(B205-'폭압 파라메터 산정'!$C$19&gt;-0.25,'폭압 파라메터 산정'!$C$16*(1-Graph!C205/'폭압 파라메터 산정'!$C$20)*EXP(-Graph!$D$3*Graph!C205/'폭압 파라메터 산정'!$C$20),0)</f>
        <v>0</v>
      </c>
      <c r="F205" s="34" t="str">
        <f>IF(B205-'폭압 파라메터 산정'!$E$19&gt;0,B205-'폭압 파라메터 산정'!$E$19, IF(B205-'폭압 파라메터 산정'!$E$19&lt;-0.25,"none",0))</f>
        <v>none</v>
      </c>
      <c r="G205" s="32">
        <f>IF(B205-'폭압 파라메터 산정'!$E$19&gt;-0.25,'폭압 파라메터 산정'!$E$14*(1-F205/'폭압 파라메터 산정'!$E$20)*EXP(-Graph!$D$3*F205/'폭압 파라메터 산정'!$E$20),0)</f>
        <v>0</v>
      </c>
      <c r="H205" s="32">
        <f>IF(B205-'폭압 파라메터 산정'!$E$19&gt;-0.25,'폭압 파라메터 산정'!$E$16*(1-F205/'폭압 파라메터 산정'!$E$20)*EXP(-Graph!$D$3*F205/'폭압 파라메터 산정'!$E$20),0)</f>
        <v>0</v>
      </c>
    </row>
    <row r="206" spans="2:8" x14ac:dyDescent="0.3">
      <c r="B206">
        <f t="shared" si="3"/>
        <v>49.75</v>
      </c>
      <c r="C206" s="33" t="str">
        <f>IF(B206-'폭압 파라메터 산정'!$C$19&gt;0,B206-'폭압 파라메터 산정'!$C$19, IF(B206-'폭압 파라메터 산정'!$C$19&lt;-0.25,"none",0))</f>
        <v>none</v>
      </c>
      <c r="D206" s="32">
        <f>IF(B206-'폭압 파라메터 산정'!$C$19&gt;-0.25,'폭압 파라메터 산정'!$C$14*(1-Graph!C206/'폭압 파라메터 산정'!$C$20)*EXP(-Graph!$D$3*Graph!C206/'폭압 파라메터 산정'!$C$20),0)</f>
        <v>0</v>
      </c>
      <c r="E206" s="32">
        <f>IF(B206-'폭압 파라메터 산정'!$C$19&gt;-0.25,'폭압 파라메터 산정'!$C$16*(1-Graph!C206/'폭압 파라메터 산정'!$C$20)*EXP(-Graph!$D$3*Graph!C206/'폭압 파라메터 산정'!$C$20),0)</f>
        <v>0</v>
      </c>
      <c r="F206" s="34" t="str">
        <f>IF(B206-'폭압 파라메터 산정'!$E$19&gt;0,B206-'폭압 파라메터 산정'!$E$19, IF(B206-'폭압 파라메터 산정'!$E$19&lt;-0.25,"none",0))</f>
        <v>none</v>
      </c>
      <c r="G206" s="32">
        <f>IF(B206-'폭압 파라메터 산정'!$E$19&gt;-0.25,'폭압 파라메터 산정'!$E$14*(1-F206/'폭압 파라메터 산정'!$E$20)*EXP(-Graph!$D$3*F206/'폭압 파라메터 산정'!$E$20),0)</f>
        <v>0</v>
      </c>
      <c r="H206" s="32">
        <f>IF(B206-'폭압 파라메터 산정'!$E$19&gt;-0.25,'폭압 파라메터 산정'!$E$16*(1-F206/'폭압 파라메터 산정'!$E$20)*EXP(-Graph!$D$3*F206/'폭압 파라메터 산정'!$E$20),0)</f>
        <v>0</v>
      </c>
    </row>
    <row r="207" spans="2:8" x14ac:dyDescent="0.3">
      <c r="B207">
        <f t="shared" si="3"/>
        <v>50</v>
      </c>
      <c r="C207" s="33" t="str">
        <f>IF(B207-'폭압 파라메터 산정'!$C$19&gt;0,B207-'폭압 파라메터 산정'!$C$19, IF(B207-'폭압 파라메터 산정'!$C$19&lt;-0.25,"none",0))</f>
        <v>none</v>
      </c>
      <c r="D207" s="32">
        <f>IF(B207-'폭압 파라메터 산정'!$C$19&gt;-0.25,'폭압 파라메터 산정'!$C$14*(1-Graph!C207/'폭압 파라메터 산정'!$C$20)*EXP(-Graph!$D$3*Graph!C207/'폭압 파라메터 산정'!$C$20),0)</f>
        <v>0</v>
      </c>
      <c r="E207" s="32">
        <f>IF(B207-'폭압 파라메터 산정'!$C$19&gt;-0.25,'폭압 파라메터 산정'!$C$16*(1-Graph!C207/'폭압 파라메터 산정'!$C$20)*EXP(-Graph!$D$3*Graph!C207/'폭압 파라메터 산정'!$C$20),0)</f>
        <v>0</v>
      </c>
      <c r="F207" s="34" t="str">
        <f>IF(B207-'폭압 파라메터 산정'!$E$19&gt;0,B207-'폭압 파라메터 산정'!$E$19, IF(B207-'폭압 파라메터 산정'!$E$19&lt;-0.25,"none",0))</f>
        <v>none</v>
      </c>
      <c r="G207" s="32">
        <f>IF(B207-'폭압 파라메터 산정'!$E$19&gt;-0.25,'폭압 파라메터 산정'!$E$14*(1-F207/'폭압 파라메터 산정'!$E$20)*EXP(-Graph!$D$3*F207/'폭압 파라메터 산정'!$E$20),0)</f>
        <v>0</v>
      </c>
      <c r="H207" s="32">
        <f>IF(B207-'폭압 파라메터 산정'!$E$19&gt;-0.25,'폭압 파라메터 산정'!$E$16*(1-F207/'폭압 파라메터 산정'!$E$20)*EXP(-Graph!$D$3*F207/'폭압 파라메터 산정'!$E$20),0)</f>
        <v>0</v>
      </c>
    </row>
    <row r="208" spans="2:8" x14ac:dyDescent="0.3">
      <c r="B208">
        <f t="shared" si="3"/>
        <v>50.25</v>
      </c>
      <c r="C208" s="33" t="str">
        <f>IF(B208-'폭압 파라메터 산정'!$C$19&gt;0,B208-'폭압 파라메터 산정'!$C$19, IF(B208-'폭압 파라메터 산정'!$C$19&lt;-0.25,"none",0))</f>
        <v>none</v>
      </c>
      <c r="D208" s="32">
        <f>IF(B208-'폭압 파라메터 산정'!$C$19&gt;-0.25,'폭압 파라메터 산정'!$C$14*(1-Graph!C208/'폭압 파라메터 산정'!$C$20)*EXP(-Graph!$D$3*Graph!C208/'폭압 파라메터 산정'!$C$20),0)</f>
        <v>0</v>
      </c>
      <c r="E208" s="32">
        <f>IF(B208-'폭압 파라메터 산정'!$C$19&gt;-0.25,'폭압 파라메터 산정'!$C$16*(1-Graph!C208/'폭압 파라메터 산정'!$C$20)*EXP(-Graph!$D$3*Graph!C208/'폭압 파라메터 산정'!$C$20),0)</f>
        <v>0</v>
      </c>
      <c r="F208" s="34" t="str">
        <f>IF(B208-'폭압 파라메터 산정'!$E$19&gt;0,B208-'폭압 파라메터 산정'!$E$19, IF(B208-'폭압 파라메터 산정'!$E$19&lt;-0.25,"none",0))</f>
        <v>none</v>
      </c>
      <c r="G208" s="32">
        <f>IF(B208-'폭압 파라메터 산정'!$E$19&gt;-0.25,'폭압 파라메터 산정'!$E$14*(1-F208/'폭압 파라메터 산정'!$E$20)*EXP(-Graph!$D$3*F208/'폭압 파라메터 산정'!$E$20),0)</f>
        <v>0</v>
      </c>
      <c r="H208" s="32">
        <f>IF(B208-'폭압 파라메터 산정'!$E$19&gt;-0.25,'폭압 파라메터 산정'!$E$16*(1-F208/'폭압 파라메터 산정'!$E$20)*EXP(-Graph!$D$3*F208/'폭압 파라메터 산정'!$E$20),0)</f>
        <v>0</v>
      </c>
    </row>
    <row r="209" spans="2:8" x14ac:dyDescent="0.3">
      <c r="B209">
        <f t="shared" si="3"/>
        <v>50.5</v>
      </c>
      <c r="C209" s="33" t="str">
        <f>IF(B209-'폭압 파라메터 산정'!$C$19&gt;0,B209-'폭압 파라메터 산정'!$C$19, IF(B209-'폭압 파라메터 산정'!$C$19&lt;-0.25,"none",0))</f>
        <v>none</v>
      </c>
      <c r="D209" s="32">
        <f>IF(B209-'폭압 파라메터 산정'!$C$19&gt;-0.25,'폭압 파라메터 산정'!$C$14*(1-Graph!C209/'폭압 파라메터 산정'!$C$20)*EXP(-Graph!$D$3*Graph!C209/'폭압 파라메터 산정'!$C$20),0)</f>
        <v>0</v>
      </c>
      <c r="E209" s="32">
        <f>IF(B209-'폭압 파라메터 산정'!$C$19&gt;-0.25,'폭압 파라메터 산정'!$C$16*(1-Graph!C209/'폭압 파라메터 산정'!$C$20)*EXP(-Graph!$D$3*Graph!C209/'폭압 파라메터 산정'!$C$20),0)</f>
        <v>0</v>
      </c>
      <c r="F209" s="34" t="str">
        <f>IF(B209-'폭압 파라메터 산정'!$E$19&gt;0,B209-'폭압 파라메터 산정'!$E$19, IF(B209-'폭압 파라메터 산정'!$E$19&lt;-0.25,"none",0))</f>
        <v>none</v>
      </c>
      <c r="G209" s="32">
        <f>IF(B209-'폭압 파라메터 산정'!$E$19&gt;-0.25,'폭압 파라메터 산정'!$E$14*(1-F209/'폭압 파라메터 산정'!$E$20)*EXP(-Graph!$D$3*F209/'폭압 파라메터 산정'!$E$20),0)</f>
        <v>0</v>
      </c>
      <c r="H209" s="32">
        <f>IF(B209-'폭압 파라메터 산정'!$E$19&gt;-0.25,'폭압 파라메터 산정'!$E$16*(1-F209/'폭압 파라메터 산정'!$E$20)*EXP(-Graph!$D$3*F209/'폭압 파라메터 산정'!$E$20),0)</f>
        <v>0</v>
      </c>
    </row>
    <row r="210" spans="2:8" x14ac:dyDescent="0.3">
      <c r="B210">
        <f t="shared" si="3"/>
        <v>50.75</v>
      </c>
      <c r="C210" s="33" t="str">
        <f>IF(B210-'폭압 파라메터 산정'!$C$19&gt;0,B210-'폭압 파라메터 산정'!$C$19, IF(B210-'폭압 파라메터 산정'!$C$19&lt;-0.25,"none",0))</f>
        <v>none</v>
      </c>
      <c r="D210" s="32">
        <f>IF(B210-'폭압 파라메터 산정'!$C$19&gt;-0.25,'폭압 파라메터 산정'!$C$14*(1-Graph!C210/'폭압 파라메터 산정'!$C$20)*EXP(-Graph!$D$3*Graph!C210/'폭압 파라메터 산정'!$C$20),0)</f>
        <v>0</v>
      </c>
      <c r="E210" s="32">
        <f>IF(B210-'폭압 파라메터 산정'!$C$19&gt;-0.25,'폭압 파라메터 산정'!$C$16*(1-Graph!C210/'폭압 파라메터 산정'!$C$20)*EXP(-Graph!$D$3*Graph!C210/'폭압 파라메터 산정'!$C$20),0)</f>
        <v>0</v>
      </c>
      <c r="F210" s="34" t="str">
        <f>IF(B210-'폭압 파라메터 산정'!$E$19&gt;0,B210-'폭압 파라메터 산정'!$E$19, IF(B210-'폭압 파라메터 산정'!$E$19&lt;-0.25,"none",0))</f>
        <v>none</v>
      </c>
      <c r="G210" s="32">
        <f>IF(B210-'폭압 파라메터 산정'!$E$19&gt;-0.25,'폭압 파라메터 산정'!$E$14*(1-F210/'폭압 파라메터 산정'!$E$20)*EXP(-Graph!$D$3*F210/'폭압 파라메터 산정'!$E$20),0)</f>
        <v>0</v>
      </c>
      <c r="H210" s="32">
        <f>IF(B210-'폭압 파라메터 산정'!$E$19&gt;-0.25,'폭압 파라메터 산정'!$E$16*(1-F210/'폭압 파라메터 산정'!$E$20)*EXP(-Graph!$D$3*F210/'폭압 파라메터 산정'!$E$20),0)</f>
        <v>0</v>
      </c>
    </row>
    <row r="211" spans="2:8" x14ac:dyDescent="0.3">
      <c r="B211">
        <f t="shared" si="3"/>
        <v>51</v>
      </c>
      <c r="C211" s="33" t="str">
        <f>IF(B211-'폭압 파라메터 산정'!$C$19&gt;0,B211-'폭압 파라메터 산정'!$C$19, IF(B211-'폭압 파라메터 산정'!$C$19&lt;-0.25,"none",0))</f>
        <v>none</v>
      </c>
      <c r="D211" s="32">
        <f>IF(B211-'폭압 파라메터 산정'!$C$19&gt;-0.25,'폭압 파라메터 산정'!$C$14*(1-Graph!C211/'폭압 파라메터 산정'!$C$20)*EXP(-Graph!$D$3*Graph!C211/'폭압 파라메터 산정'!$C$20),0)</f>
        <v>0</v>
      </c>
      <c r="E211" s="32">
        <f>IF(B211-'폭압 파라메터 산정'!$C$19&gt;-0.25,'폭압 파라메터 산정'!$C$16*(1-Graph!C211/'폭압 파라메터 산정'!$C$20)*EXP(-Graph!$D$3*Graph!C211/'폭압 파라메터 산정'!$C$20),0)</f>
        <v>0</v>
      </c>
      <c r="F211" s="34" t="str">
        <f>IF(B211-'폭압 파라메터 산정'!$E$19&gt;0,B211-'폭압 파라메터 산정'!$E$19, IF(B211-'폭압 파라메터 산정'!$E$19&lt;-0.25,"none",0))</f>
        <v>none</v>
      </c>
      <c r="G211" s="32">
        <f>IF(B211-'폭압 파라메터 산정'!$E$19&gt;-0.25,'폭압 파라메터 산정'!$E$14*(1-F211/'폭압 파라메터 산정'!$E$20)*EXP(-Graph!$D$3*F211/'폭압 파라메터 산정'!$E$20),0)</f>
        <v>0</v>
      </c>
      <c r="H211" s="32">
        <f>IF(B211-'폭압 파라메터 산정'!$E$19&gt;-0.25,'폭압 파라메터 산정'!$E$16*(1-F211/'폭압 파라메터 산정'!$E$20)*EXP(-Graph!$D$3*F211/'폭압 파라메터 산정'!$E$20),0)</f>
        <v>0</v>
      </c>
    </row>
    <row r="212" spans="2:8" x14ac:dyDescent="0.3">
      <c r="B212">
        <f t="shared" si="3"/>
        <v>51.25</v>
      </c>
      <c r="C212" s="33" t="str">
        <f>IF(B212-'폭압 파라메터 산정'!$C$19&gt;0,B212-'폭압 파라메터 산정'!$C$19, IF(B212-'폭압 파라메터 산정'!$C$19&lt;-0.25,"none",0))</f>
        <v>none</v>
      </c>
      <c r="D212" s="32">
        <f>IF(B212-'폭압 파라메터 산정'!$C$19&gt;-0.25,'폭압 파라메터 산정'!$C$14*(1-Graph!C212/'폭압 파라메터 산정'!$C$20)*EXP(-Graph!$D$3*Graph!C212/'폭압 파라메터 산정'!$C$20),0)</f>
        <v>0</v>
      </c>
      <c r="E212" s="32">
        <f>IF(B212-'폭압 파라메터 산정'!$C$19&gt;-0.25,'폭압 파라메터 산정'!$C$16*(1-Graph!C212/'폭압 파라메터 산정'!$C$20)*EXP(-Graph!$D$3*Graph!C212/'폭압 파라메터 산정'!$C$20),0)</f>
        <v>0</v>
      </c>
      <c r="F212" s="34" t="str">
        <f>IF(B212-'폭압 파라메터 산정'!$E$19&gt;0,B212-'폭압 파라메터 산정'!$E$19, IF(B212-'폭압 파라메터 산정'!$E$19&lt;-0.25,"none",0))</f>
        <v>none</v>
      </c>
      <c r="G212" s="32">
        <f>IF(B212-'폭압 파라메터 산정'!$E$19&gt;-0.25,'폭압 파라메터 산정'!$E$14*(1-F212/'폭압 파라메터 산정'!$E$20)*EXP(-Graph!$D$3*F212/'폭압 파라메터 산정'!$E$20),0)</f>
        <v>0</v>
      </c>
      <c r="H212" s="32">
        <f>IF(B212-'폭압 파라메터 산정'!$E$19&gt;-0.25,'폭압 파라메터 산정'!$E$16*(1-F212/'폭압 파라메터 산정'!$E$20)*EXP(-Graph!$D$3*F212/'폭압 파라메터 산정'!$E$20),0)</f>
        <v>0</v>
      </c>
    </row>
    <row r="213" spans="2:8" x14ac:dyDescent="0.3">
      <c r="B213">
        <f t="shared" si="3"/>
        <v>51.5</v>
      </c>
      <c r="C213" s="33" t="str">
        <f>IF(B213-'폭압 파라메터 산정'!$C$19&gt;0,B213-'폭압 파라메터 산정'!$C$19, IF(B213-'폭압 파라메터 산정'!$C$19&lt;-0.25,"none",0))</f>
        <v>none</v>
      </c>
      <c r="D213" s="32">
        <f>IF(B213-'폭압 파라메터 산정'!$C$19&gt;-0.25,'폭압 파라메터 산정'!$C$14*(1-Graph!C213/'폭압 파라메터 산정'!$C$20)*EXP(-Graph!$D$3*Graph!C213/'폭압 파라메터 산정'!$C$20),0)</f>
        <v>0</v>
      </c>
      <c r="E213" s="32">
        <f>IF(B213-'폭압 파라메터 산정'!$C$19&gt;-0.25,'폭압 파라메터 산정'!$C$16*(1-Graph!C213/'폭압 파라메터 산정'!$C$20)*EXP(-Graph!$D$3*Graph!C213/'폭압 파라메터 산정'!$C$20),0)</f>
        <v>0</v>
      </c>
      <c r="F213" s="34">
        <f>IF(B213-'폭압 파라메터 산정'!$E$19&gt;0,B213-'폭압 파라메터 산정'!$E$19, IF(B213-'폭압 파라메터 산정'!$E$19&lt;-0.25,"none",0))</f>
        <v>0</v>
      </c>
      <c r="G213" s="32">
        <f>IF(B213-'폭압 파라메터 산정'!$E$19&gt;-0.25,'폭압 파라메터 산정'!$E$14*(1-F213/'폭압 파라메터 산정'!$E$20)*EXP(-Graph!$D$3*F213/'폭압 파라메터 산정'!$E$20),0)</f>
        <v>18.464308399187036</v>
      </c>
      <c r="H213" s="32">
        <f>IF(B213-'폭압 파라메터 산정'!$E$19&gt;-0.25,'폭압 파라메터 산정'!$E$16*(1-F213/'폭압 파라메터 산정'!$E$20)*EXP(-Graph!$D$3*F213/'폭압 파라메터 산정'!$E$20),0)</f>
        <v>39.8104577710059</v>
      </c>
    </row>
    <row r="214" spans="2:8" x14ac:dyDescent="0.3">
      <c r="B214">
        <f t="shared" si="3"/>
        <v>51.75</v>
      </c>
      <c r="C214" s="33" t="str">
        <f>IF(B214-'폭압 파라메터 산정'!$C$19&gt;0,B214-'폭압 파라메터 산정'!$C$19, IF(B214-'폭압 파라메터 산정'!$C$19&lt;-0.25,"none",0))</f>
        <v>none</v>
      </c>
      <c r="D214" s="32">
        <f>IF(B214-'폭압 파라메터 산정'!$C$19&gt;-0.25,'폭압 파라메터 산정'!$C$14*(1-Graph!C214/'폭압 파라메터 산정'!$C$20)*EXP(-Graph!$D$3*Graph!C214/'폭압 파라메터 산정'!$C$20),0)</f>
        <v>0</v>
      </c>
      <c r="E214" s="32">
        <f>IF(B214-'폭압 파라메터 산정'!$C$19&gt;-0.25,'폭압 파라메터 산정'!$C$16*(1-Graph!C214/'폭압 파라메터 산정'!$C$20)*EXP(-Graph!$D$3*Graph!C214/'폭압 파라메터 산정'!$C$20),0)</f>
        <v>0</v>
      </c>
      <c r="F214" s="34">
        <f>IF(B214-'폭압 파라메터 산정'!$E$19&gt;0,B214-'폭압 파라메터 산정'!$E$19, IF(B214-'폭압 파라메터 산정'!$E$19&lt;-0.25,"none",0))</f>
        <v>8.3176975799496233E-2</v>
      </c>
      <c r="G214" s="32">
        <f>IF(B214-'폭압 파라메터 산정'!$E$19&gt;-0.25,'폭압 파라메터 산정'!$E$14*(1-F214/'폭압 파라메터 산정'!$E$20)*EXP(-Graph!$D$3*F214/'폭압 파라메터 산정'!$E$20),0)</f>
        <v>18.120946647768996</v>
      </c>
      <c r="H214" s="32">
        <f>IF(B214-'폭압 파라메터 산정'!$E$19&gt;-0.25,'폭압 파라메터 산정'!$E$16*(1-F214/'폭압 파라메터 산정'!$E$20)*EXP(-Graph!$D$3*F214/'폭압 파라메터 산정'!$E$20),0)</f>
        <v>39.070143635784433</v>
      </c>
    </row>
    <row r="215" spans="2:8" x14ac:dyDescent="0.3">
      <c r="B215">
        <f t="shared" si="3"/>
        <v>52</v>
      </c>
      <c r="C215" s="33" t="str">
        <f>IF(B215-'폭압 파라메터 산정'!$C$19&gt;0,B215-'폭압 파라메터 산정'!$C$19, IF(B215-'폭압 파라메터 산정'!$C$19&lt;-0.25,"none",0))</f>
        <v>none</v>
      </c>
      <c r="D215" s="32">
        <f>IF(B215-'폭압 파라메터 산정'!$C$19&gt;-0.25,'폭압 파라메터 산정'!$C$14*(1-Graph!C215/'폭압 파라메터 산정'!$C$20)*EXP(-Graph!$D$3*Graph!C215/'폭압 파라메터 산정'!$C$20),0)</f>
        <v>0</v>
      </c>
      <c r="E215" s="32">
        <f>IF(B215-'폭압 파라메터 산정'!$C$19&gt;-0.25,'폭압 파라메터 산정'!$C$16*(1-Graph!C215/'폭압 파라메터 산정'!$C$20)*EXP(-Graph!$D$3*Graph!C215/'폭압 파라메터 산정'!$C$20),0)</f>
        <v>0</v>
      </c>
      <c r="F215" s="34">
        <f>IF(B215-'폭압 파라메터 산정'!$E$19&gt;0,B215-'폭압 파라메터 산정'!$E$19, IF(B215-'폭압 파라메터 산정'!$E$19&lt;-0.25,"none",0))</f>
        <v>0.33317697579949623</v>
      </c>
      <c r="G215" s="32">
        <f>IF(B215-'폭압 파라메터 산정'!$E$19&gt;-0.25,'폭압 파라메터 산정'!$E$14*(1-F215/'폭압 파라메터 산정'!$E$20)*EXP(-Graph!$D$3*F215/'폭압 파라메터 산정'!$E$20),0)</f>
        <v>17.122773240741527</v>
      </c>
      <c r="H215" s="32">
        <f>IF(B215-'폭압 파라메터 산정'!$E$19&gt;-0.25,'폭압 파라메터 산정'!$E$16*(1-F215/'폭압 파라메터 산정'!$E$20)*EXP(-Graph!$D$3*F215/'폭압 파라메터 산정'!$E$20),0)</f>
        <v>36.918005607676236</v>
      </c>
    </row>
    <row r="216" spans="2:8" x14ac:dyDescent="0.3">
      <c r="B216">
        <f t="shared" si="3"/>
        <v>52.25</v>
      </c>
      <c r="C216" s="33" t="str">
        <f>IF(B216-'폭압 파라메터 산정'!$C$19&gt;0,B216-'폭압 파라메터 산정'!$C$19, IF(B216-'폭압 파라메터 산정'!$C$19&lt;-0.25,"none",0))</f>
        <v>none</v>
      </c>
      <c r="D216" s="32">
        <f>IF(B216-'폭압 파라메터 산정'!$C$19&gt;-0.25,'폭압 파라메터 산정'!$C$14*(1-Graph!C216/'폭압 파라메터 산정'!$C$20)*EXP(-Graph!$D$3*Graph!C216/'폭압 파라메터 산정'!$C$20),0)</f>
        <v>0</v>
      </c>
      <c r="E216" s="32">
        <f>IF(B216-'폭압 파라메터 산정'!$C$19&gt;-0.25,'폭압 파라메터 산정'!$C$16*(1-Graph!C216/'폭압 파라메터 산정'!$C$20)*EXP(-Graph!$D$3*Graph!C216/'폭압 파라메터 산정'!$C$20),0)</f>
        <v>0</v>
      </c>
      <c r="F216" s="34">
        <f>IF(B216-'폭압 파라메터 산정'!$E$19&gt;0,B216-'폭압 파라메터 산정'!$E$19, IF(B216-'폭압 파라메터 산정'!$E$19&lt;-0.25,"none",0))</f>
        <v>0.58317697579949623</v>
      </c>
      <c r="G216" s="32">
        <f>IF(B216-'폭압 파라메터 산정'!$E$19&gt;-0.25,'폭압 파라메터 산정'!$E$14*(1-F216/'폭압 파라메터 산정'!$E$20)*EXP(-Graph!$D$3*F216/'폭압 파라메터 산정'!$E$20),0)</f>
        <v>16.173575704833041</v>
      </c>
      <c r="H216" s="32">
        <f>IF(B216-'폭압 파라메터 산정'!$E$19&gt;-0.25,'폭압 파라메터 산정'!$E$16*(1-F216/'폭압 파라메터 산정'!$E$20)*EXP(-Graph!$D$3*F216/'폭압 파라메터 산정'!$E$20),0)</f>
        <v>34.871463294654021</v>
      </c>
    </row>
    <row r="217" spans="2:8" x14ac:dyDescent="0.3">
      <c r="B217">
        <f t="shared" si="3"/>
        <v>52.5</v>
      </c>
      <c r="C217" s="33" t="str">
        <f>IF(B217-'폭압 파라메터 산정'!$C$19&gt;0,B217-'폭압 파라메터 산정'!$C$19, IF(B217-'폭압 파라메터 산정'!$C$19&lt;-0.25,"none",0))</f>
        <v>none</v>
      </c>
      <c r="D217" s="32">
        <f>IF(B217-'폭압 파라메터 산정'!$C$19&gt;-0.25,'폭압 파라메터 산정'!$C$14*(1-Graph!C217/'폭압 파라메터 산정'!$C$20)*EXP(-Graph!$D$3*Graph!C217/'폭압 파라메터 산정'!$C$20),0)</f>
        <v>0</v>
      </c>
      <c r="E217" s="32">
        <f>IF(B217-'폭압 파라메터 산정'!$C$19&gt;-0.25,'폭압 파라메터 산정'!$C$16*(1-Graph!C217/'폭압 파라메터 산정'!$C$20)*EXP(-Graph!$D$3*Graph!C217/'폭압 파라메터 산정'!$C$20),0)</f>
        <v>0</v>
      </c>
      <c r="F217" s="34">
        <f>IF(B217-'폭압 파라메터 산정'!$E$19&gt;0,B217-'폭압 파라메터 산정'!$E$19, IF(B217-'폭압 파라메터 산정'!$E$19&lt;-0.25,"none",0))</f>
        <v>0.83317697579949623</v>
      </c>
      <c r="G217" s="32">
        <f>IF(B217-'폭압 파라메터 산정'!$E$19&gt;-0.25,'폭압 파라메터 산정'!$E$14*(1-F217/'폭압 파라메터 산정'!$E$20)*EXP(-Graph!$D$3*F217/'폭압 파라메터 산정'!$E$20),0)</f>
        <v>15.271099321096761</v>
      </c>
      <c r="H217" s="32">
        <f>IF(B217-'폭압 파라메터 산정'!$E$19&gt;-0.25,'폭압 파라메터 산정'!$E$16*(1-F217/'폭압 파라메터 산정'!$E$20)*EXP(-Graph!$D$3*F217/'폭압 파라메터 산정'!$E$20),0)</f>
        <v>32.925655350629157</v>
      </c>
    </row>
    <row r="218" spans="2:8" x14ac:dyDescent="0.3">
      <c r="B218">
        <f t="shared" si="3"/>
        <v>52.75</v>
      </c>
      <c r="C218" s="33" t="str">
        <f>IF(B218-'폭압 파라메터 산정'!$C$19&gt;0,B218-'폭압 파라메터 산정'!$C$19, IF(B218-'폭압 파라메터 산정'!$C$19&lt;-0.25,"none",0))</f>
        <v>none</v>
      </c>
      <c r="D218" s="32">
        <f>IF(B218-'폭압 파라메터 산정'!$C$19&gt;-0.25,'폭압 파라메터 산정'!$C$14*(1-Graph!C218/'폭압 파라메터 산정'!$C$20)*EXP(-Graph!$D$3*Graph!C218/'폭압 파라메터 산정'!$C$20),0)</f>
        <v>0</v>
      </c>
      <c r="E218" s="32">
        <f>IF(B218-'폭압 파라메터 산정'!$C$19&gt;-0.25,'폭압 파라메터 산정'!$C$16*(1-Graph!C218/'폭압 파라메터 산정'!$C$20)*EXP(-Graph!$D$3*Graph!C218/'폭압 파라메터 산정'!$C$20),0)</f>
        <v>0</v>
      </c>
      <c r="F218" s="34">
        <f>IF(B218-'폭압 파라메터 산정'!$E$19&gt;0,B218-'폭압 파라메터 산정'!$E$19, IF(B218-'폭압 파라메터 산정'!$E$19&lt;-0.25,"none",0))</f>
        <v>1.0831769757994962</v>
      </c>
      <c r="G218" s="32">
        <f>IF(B218-'폭압 파라메터 산정'!$E$19&gt;-0.25,'폭압 파라메터 산정'!$E$14*(1-F218/'폭압 파라메터 산정'!$E$20)*EXP(-Graph!$D$3*F218/'폭압 파라메터 산정'!$E$20),0)</f>
        <v>14.413189061521026</v>
      </c>
      <c r="H218" s="32">
        <f>IF(B218-'폭압 파라메터 산정'!$E$19&gt;-0.25,'폭압 파라메터 산정'!$E$16*(1-F218/'폭압 파라메터 산정'!$E$20)*EXP(-Graph!$D$3*F218/'폭압 파라메터 산정'!$E$20),0)</f>
        <v>31.075935370775685</v>
      </c>
    </row>
    <row r="219" spans="2:8" x14ac:dyDescent="0.3">
      <c r="B219">
        <f t="shared" si="3"/>
        <v>53</v>
      </c>
      <c r="C219" s="33" t="str">
        <f>IF(B219-'폭압 파라메터 산정'!$C$19&gt;0,B219-'폭압 파라메터 산정'!$C$19, IF(B219-'폭압 파라메터 산정'!$C$19&lt;-0.25,"none",0))</f>
        <v>none</v>
      </c>
      <c r="D219" s="32">
        <f>IF(B219-'폭압 파라메터 산정'!$C$19&gt;-0.25,'폭압 파라메터 산정'!$C$14*(1-Graph!C219/'폭압 파라메터 산정'!$C$20)*EXP(-Graph!$D$3*Graph!C219/'폭압 파라메터 산정'!$C$20),0)</f>
        <v>0</v>
      </c>
      <c r="E219" s="32">
        <f>IF(B219-'폭압 파라메터 산정'!$C$19&gt;-0.25,'폭압 파라메터 산정'!$C$16*(1-Graph!C219/'폭압 파라메터 산정'!$C$20)*EXP(-Graph!$D$3*Graph!C219/'폭압 파라메터 산정'!$C$20),0)</f>
        <v>0</v>
      </c>
      <c r="F219" s="34">
        <f>IF(B219-'폭압 파라메터 산정'!$E$19&gt;0,B219-'폭압 파라메터 산정'!$E$19, IF(B219-'폭압 파라메터 산정'!$E$19&lt;-0.25,"none",0))</f>
        <v>1.3331769757994962</v>
      </c>
      <c r="G219" s="32">
        <f>IF(B219-'폭압 파라메터 산정'!$E$19&gt;-0.25,'폭압 파라메터 산정'!$E$14*(1-F219/'폭압 파라메터 산정'!$E$20)*EXP(-Graph!$D$3*F219/'폭압 파라메터 산정'!$E$20),0)</f>
        <v>13.597785302670887</v>
      </c>
      <c r="H219" s="32">
        <f>IF(B219-'폭압 파라메터 산정'!$E$19&gt;-0.25,'폭압 파라메터 산정'!$E$16*(1-F219/'폭압 파라메터 산정'!$E$20)*EXP(-Graph!$D$3*F219/'폭압 파라메터 산정'!$E$20),0)</f>
        <v>29.317862649814622</v>
      </c>
    </row>
    <row r="220" spans="2:8" x14ac:dyDescent="0.3">
      <c r="B220">
        <f t="shared" si="3"/>
        <v>53.25</v>
      </c>
      <c r="C220" s="33" t="str">
        <f>IF(B220-'폭압 파라메터 산정'!$C$19&gt;0,B220-'폭압 파라메터 산정'!$C$19, IF(B220-'폭압 파라메터 산정'!$C$19&lt;-0.25,"none",0))</f>
        <v>none</v>
      </c>
      <c r="D220" s="32">
        <f>IF(B220-'폭압 파라메터 산정'!$C$19&gt;-0.25,'폭압 파라메터 산정'!$C$14*(1-Graph!C220/'폭압 파라메터 산정'!$C$20)*EXP(-Graph!$D$3*Graph!C220/'폭압 파라메터 산정'!$C$20),0)</f>
        <v>0</v>
      </c>
      <c r="E220" s="32">
        <f>IF(B220-'폭압 파라메터 산정'!$C$19&gt;-0.25,'폭압 파라메터 산정'!$C$16*(1-Graph!C220/'폭압 파라메터 산정'!$C$20)*EXP(-Graph!$D$3*Graph!C220/'폭압 파라메터 산정'!$C$20),0)</f>
        <v>0</v>
      </c>
      <c r="F220" s="34">
        <f>IF(B220-'폭압 파라메터 산정'!$E$19&gt;0,B220-'폭압 파라메터 산정'!$E$19, IF(B220-'폭압 파라메터 산정'!$E$19&lt;-0.25,"none",0))</f>
        <v>1.5831769757994962</v>
      </c>
      <c r="G220" s="32">
        <f>IF(B220-'폭압 파라메터 산정'!$E$19&gt;-0.25,'폭압 파라메터 산정'!$E$14*(1-F220/'폭압 파라메터 산정'!$E$20)*EXP(-Graph!$D$3*F220/'폭압 파라메터 산정'!$E$20),0)</f>
        <v>12.822919719893829</v>
      </c>
      <c r="H220" s="32">
        <f>IF(B220-'폭압 파라메터 산정'!$E$19&gt;-0.25,'폭압 파라메터 산정'!$E$16*(1-F220/'폭압 파라메터 산정'!$E$20)*EXP(-Graph!$D$3*F220/'폭압 파라메터 산정'!$E$20),0)</f>
        <v>27.647193329608179</v>
      </c>
    </row>
    <row r="221" spans="2:8" x14ac:dyDescent="0.3">
      <c r="B221">
        <f t="shared" si="3"/>
        <v>53.5</v>
      </c>
      <c r="C221" s="33" t="str">
        <f>IF(B221-'폭압 파라메터 산정'!$C$19&gt;0,B221-'폭압 파라메터 산정'!$C$19, IF(B221-'폭압 파라메터 산정'!$C$19&lt;-0.25,"none",0))</f>
        <v>none</v>
      </c>
      <c r="D221" s="32">
        <f>IF(B221-'폭압 파라메터 산정'!$C$19&gt;-0.25,'폭압 파라메터 산정'!$C$14*(1-Graph!C221/'폭압 파라메터 산정'!$C$20)*EXP(-Graph!$D$3*Graph!C221/'폭압 파라메터 산정'!$C$20),0)</f>
        <v>0</v>
      </c>
      <c r="E221" s="32">
        <f>IF(B221-'폭압 파라메터 산정'!$C$19&gt;-0.25,'폭압 파라메터 산정'!$C$16*(1-Graph!C221/'폭압 파라메터 산정'!$C$20)*EXP(-Graph!$D$3*Graph!C221/'폭압 파라메터 산정'!$C$20),0)</f>
        <v>0</v>
      </c>
      <c r="F221" s="34">
        <f>IF(B221-'폭압 파라메터 산정'!$E$19&gt;0,B221-'폭압 파라메터 산정'!$E$19, IF(B221-'폭압 파라메터 산정'!$E$19&lt;-0.25,"none",0))</f>
        <v>1.8331769757994962</v>
      </c>
      <c r="G221" s="32">
        <f>IF(B221-'폭압 파라메터 산정'!$E$19&gt;-0.25,'폭압 파라메터 산정'!$E$14*(1-F221/'폭압 파라메터 산정'!$E$20)*EXP(-Graph!$D$3*F221/'폭압 파라메터 산정'!$E$20),0)</f>
        <v>12.086711354601462</v>
      </c>
      <c r="H221" s="32">
        <f>IF(B221-'폭압 파라메터 산정'!$E$19&gt;-0.25,'폭압 파라메터 산정'!$E$16*(1-F221/'폭압 파라메터 산정'!$E$20)*EXP(-Graph!$D$3*F221/'폭압 파라메터 산정'!$E$20),0)</f>
        <v>26.059871919919015</v>
      </c>
    </row>
    <row r="222" spans="2:8" x14ac:dyDescent="0.3">
      <c r="B222">
        <f t="shared" si="3"/>
        <v>53.75</v>
      </c>
      <c r="C222" s="33" t="str">
        <f>IF(B222-'폭압 파라메터 산정'!$C$19&gt;0,B222-'폭압 파라메터 산정'!$C$19, IF(B222-'폭압 파라메터 산정'!$C$19&lt;-0.25,"none",0))</f>
        <v>none</v>
      </c>
      <c r="D222" s="32">
        <f>IF(B222-'폭압 파라메터 산정'!$C$19&gt;-0.25,'폭압 파라메터 산정'!$C$14*(1-Graph!C222/'폭압 파라메터 산정'!$C$20)*EXP(-Graph!$D$3*Graph!C222/'폭압 파라메터 산정'!$C$20),0)</f>
        <v>0</v>
      </c>
      <c r="E222" s="32">
        <f>IF(B222-'폭압 파라메터 산정'!$C$19&gt;-0.25,'폭압 파라메터 산정'!$C$16*(1-Graph!C222/'폭압 파라메터 산정'!$C$20)*EXP(-Graph!$D$3*Graph!C222/'폭압 파라메터 산정'!$C$20),0)</f>
        <v>0</v>
      </c>
      <c r="F222" s="34">
        <f>IF(B222-'폭압 파라메터 산정'!$E$19&gt;0,B222-'폭압 파라메터 산정'!$E$19, IF(B222-'폭압 파라메터 산정'!$E$19&lt;-0.25,"none",0))</f>
        <v>2.0831769757994962</v>
      </c>
      <c r="G222" s="32">
        <f>IF(B222-'폭압 파라메터 산정'!$E$19&gt;-0.25,'폭압 파라메터 산정'!$E$14*(1-F222/'폭압 파라메터 산정'!$E$20)*EXP(-Graph!$D$3*F222/'폭압 파라메터 산정'!$E$20),0)</f>
        <v>11.387362847445626</v>
      </c>
      <c r="H222" s="32">
        <f>IF(B222-'폭압 파라메터 산정'!$E$19&gt;-0.25,'폭압 파라메터 산정'!$E$16*(1-F222/'폭압 파라메터 산정'!$E$20)*EXP(-Graph!$D$3*F222/'폭압 파라메터 산정'!$E$20),0)</f>
        <v>24.552023176850508</v>
      </c>
    </row>
    <row r="223" spans="2:8" x14ac:dyDescent="0.3">
      <c r="B223">
        <f t="shared" si="3"/>
        <v>54</v>
      </c>
      <c r="C223" s="33" t="str">
        <f>IF(B223-'폭압 파라메터 산정'!$C$19&gt;0,B223-'폭압 파라메터 산정'!$C$19, IF(B223-'폭압 파라메터 산정'!$C$19&lt;-0.25,"none",0))</f>
        <v>none</v>
      </c>
      <c r="D223" s="32">
        <f>IF(B223-'폭압 파라메터 산정'!$C$19&gt;-0.25,'폭압 파라메터 산정'!$C$14*(1-Graph!C223/'폭압 파라메터 산정'!$C$20)*EXP(-Graph!$D$3*Graph!C223/'폭압 파라메터 산정'!$C$20),0)</f>
        <v>0</v>
      </c>
      <c r="E223" s="32">
        <f>IF(B223-'폭압 파라메터 산정'!$C$19&gt;-0.25,'폭압 파라메터 산정'!$C$16*(1-Graph!C223/'폭압 파라메터 산정'!$C$20)*EXP(-Graph!$D$3*Graph!C223/'폭압 파라메터 산정'!$C$20),0)</f>
        <v>0</v>
      </c>
      <c r="F223" s="34">
        <f>IF(B223-'폭압 파라메터 산정'!$E$19&gt;0,B223-'폭압 파라메터 산정'!$E$19, IF(B223-'폭압 파라메터 산정'!$E$19&lt;-0.25,"none",0))</f>
        <v>2.3331769757994962</v>
      </c>
      <c r="G223" s="32">
        <f>IF(B223-'폭압 파라메터 산정'!$E$19&gt;-0.25,'폭압 파라메터 산정'!$E$14*(1-F223/'폭압 파라메터 산정'!$E$20)*EXP(-Graph!$D$3*F223/'폭압 파라메터 산정'!$E$20),0)</f>
        <v>10.723156830501761</v>
      </c>
      <c r="H223" s="32">
        <f>IF(B223-'폭압 파라메터 산정'!$E$19&gt;-0.25,'폭압 파라메터 산정'!$E$16*(1-F223/'폭압 파라메터 산정'!$E$20)*EXP(-Graph!$D$3*F223/'폭압 파라메터 산정'!$E$20),0)</f>
        <v>23.119944324118823</v>
      </c>
    </row>
    <row r="224" spans="2:8" x14ac:dyDescent="0.3">
      <c r="B224">
        <f t="shared" si="3"/>
        <v>54.25</v>
      </c>
      <c r="C224" s="33" t="str">
        <f>IF(B224-'폭압 파라메터 산정'!$C$19&gt;0,B224-'폭압 파라메터 산정'!$C$19, IF(B224-'폭압 파라메터 산정'!$C$19&lt;-0.25,"none",0))</f>
        <v>none</v>
      </c>
      <c r="D224" s="32">
        <f>IF(B224-'폭압 파라메터 산정'!$C$19&gt;-0.25,'폭압 파라메터 산정'!$C$14*(1-Graph!C224/'폭압 파라메터 산정'!$C$20)*EXP(-Graph!$D$3*Graph!C224/'폭압 파라메터 산정'!$C$20),0)</f>
        <v>0</v>
      </c>
      <c r="E224" s="32">
        <f>IF(B224-'폭압 파라메터 산정'!$C$19&gt;-0.25,'폭압 파라메터 산정'!$C$16*(1-Graph!C224/'폭압 파라메터 산정'!$C$20)*EXP(-Graph!$D$3*Graph!C224/'폭압 파라메터 산정'!$C$20),0)</f>
        <v>0</v>
      </c>
      <c r="F224" s="34">
        <f>IF(B224-'폭압 파라메터 산정'!$E$19&gt;0,B224-'폭압 파라메터 산정'!$E$19, IF(B224-'폭압 파라메터 산정'!$E$19&lt;-0.25,"none",0))</f>
        <v>2.5831769757994962</v>
      </c>
      <c r="G224" s="32">
        <f>IF(B224-'폭압 파라메터 산정'!$E$19&gt;-0.25,'폭압 파라메터 산정'!$E$14*(1-F224/'폭압 파라메터 산정'!$E$20)*EXP(-Graph!$D$3*F224/'폭압 파라메터 산정'!$E$20),0)</f>
        <v>10.092452471854674</v>
      </c>
      <c r="H224" s="32">
        <f>IF(B224-'폭압 파라메터 산정'!$E$19&gt;-0.25,'폭압 파라메터 산정'!$E$16*(1-F224/'폭압 파라메터 산정'!$E$20)*EXP(-Graph!$D$3*F224/'폭압 파라메터 산정'!$E$20),0)</f>
        <v>21.760097602916165</v>
      </c>
    </row>
    <row r="225" spans="2:8" x14ac:dyDescent="0.3">
      <c r="B225">
        <f t="shared" si="3"/>
        <v>54.5</v>
      </c>
      <c r="C225" s="33">
        <f>IF(B225-'폭압 파라메터 산정'!$C$19&gt;0,B225-'폭압 파라메터 산정'!$C$19, IF(B225-'폭압 파라메터 산정'!$C$19&lt;-0.25,"none",0))</f>
        <v>0</v>
      </c>
      <c r="D225" s="32">
        <f>IF(B225-'폭압 파라메터 산정'!$C$19&gt;-0.25,'폭압 파라메터 산정'!$C$14*(1-Graph!C225/'폭압 파라메터 산정'!$C$20)*EXP(-Graph!$D$3*Graph!C225/'폭압 파라메터 산정'!$C$20),0)</f>
        <v>13.7351648697881</v>
      </c>
      <c r="E225" s="32">
        <f>IF(B225-'폭압 파라메터 산정'!$C$19&gt;-0.25,'폭압 파라메터 산정'!$C$16*(1-Graph!C225/'폭압 파라메터 산정'!$C$20)*EXP(-Graph!$D$3*Graph!C225/'폭압 파라메터 산정'!$C$20),0)</f>
        <v>29.067140331622408</v>
      </c>
      <c r="F225" s="34">
        <f>IF(B225-'폭압 파라메터 산정'!$E$19&gt;0,B225-'폭압 파라메터 산정'!$E$19, IF(B225-'폭압 파라메터 산정'!$E$19&lt;-0.25,"none",0))</f>
        <v>2.8331769757994962</v>
      </c>
      <c r="G225" s="32">
        <f>IF(B225-'폭압 파라메터 산정'!$E$19&gt;-0.25,'폭압 파라메터 산정'!$E$14*(1-F225/'폭압 파라메터 산정'!$E$20)*EXP(-Graph!$D$3*F225/'폭압 파라메터 산정'!$E$20),0)</f>
        <v>9.4936821662527944</v>
      </c>
      <c r="H225" s="32">
        <f>IF(B225-'폭압 파라메터 산정'!$E$19&gt;-0.25,'폭압 파라메터 산정'!$E$16*(1-F225/'폭압 파라메터 산정'!$E$20)*EXP(-Graph!$D$3*F225/'폭압 파라메터 산정'!$E$20),0)</f>
        <v>20.469103136708839</v>
      </c>
    </row>
    <row r="226" spans="2:8" x14ac:dyDescent="0.3">
      <c r="B226">
        <f t="shared" si="3"/>
        <v>54.75</v>
      </c>
      <c r="C226" s="33">
        <f>IF(B226-'폭압 파라메터 산정'!$C$19&gt;0,B226-'폭압 파라메터 산정'!$C$19, IF(B226-'폭압 파라메터 산정'!$C$19&lt;-0.25,"none",0))</f>
        <v>4.4157721147655593E-2</v>
      </c>
      <c r="D226" s="32">
        <f>IF(B226-'폭압 파라메터 산정'!$C$19&gt;-0.25,'폭압 파라메터 산정'!$C$14*(1-Graph!C226/'폭압 파라메터 산정'!$C$20)*EXP(-Graph!$D$3*Graph!C226/'폭압 파라메터 산정'!$C$20),0)</f>
        <v>13.580403531092228</v>
      </c>
      <c r="E226" s="32">
        <f>IF(B226-'폭압 파라메터 산정'!$C$19&gt;-0.25,'폭압 파라메터 산정'!$C$16*(1-Graph!C226/'폭압 파라메터 산정'!$C$20)*EXP(-Graph!$D$3*Graph!C226/'폭압 파라메터 산정'!$C$20),0)</f>
        <v>28.739625548041072</v>
      </c>
      <c r="F226" s="34">
        <f>IF(B226-'폭압 파라메터 산정'!$E$19&gt;0,B226-'폭압 파라메터 산정'!$E$19, IF(B226-'폭압 파라메터 산정'!$E$19&lt;-0.25,"none",0))</f>
        <v>3.0831769757994962</v>
      </c>
      <c r="G226" s="32">
        <f>IF(B226-'폭압 파라메터 산정'!$E$19&gt;-0.25,'폭압 파라메터 산정'!$E$14*(1-F226/'폭압 파라메터 산정'!$E$20)*EXP(-Graph!$D$3*F226/'폭압 파라메터 산정'!$E$20),0)</f>
        <v>8.9253483657568484</v>
      </c>
      <c r="H226" s="32">
        <f>IF(B226-'폭압 파라메터 산정'!$E$19&gt;-0.25,'폭압 파라메터 산정'!$E$16*(1-F226/'폭압 파라메터 산정'!$E$20)*EXP(-Graph!$D$3*F226/'폭압 파라메터 산정'!$E$20),0)</f>
        <v>19.24373209787397</v>
      </c>
    </row>
    <row r="227" spans="2:8" x14ac:dyDescent="0.3">
      <c r="B227">
        <f t="shared" si="3"/>
        <v>55</v>
      </c>
      <c r="C227" s="33">
        <f>IF(B227-'폭압 파라메터 산정'!$C$19&gt;0,B227-'폭압 파라메터 산정'!$C$19, IF(B227-'폭압 파라메터 산정'!$C$19&lt;-0.25,"none",0))</f>
        <v>0.29415772114765559</v>
      </c>
      <c r="D227" s="32">
        <f>IF(B227-'폭압 파라메터 산정'!$C$19&gt;-0.25,'폭압 파라메터 산정'!$C$14*(1-Graph!C227/'폭압 파라메터 산정'!$C$20)*EXP(-Graph!$D$3*Graph!C227/'폭압 파라메터 산정'!$C$20),0)</f>
        <v>12.733042377965267</v>
      </c>
      <c r="E227" s="32">
        <f>IF(B227-'폭압 파라메터 산정'!$C$19&gt;-0.25,'폭압 파라메터 산정'!$C$16*(1-Graph!C227/'폭압 파라메터 산정'!$C$20)*EXP(-Graph!$D$3*Graph!C227/'폭압 파라메터 산정'!$C$20),0)</f>
        <v>26.946391481831661</v>
      </c>
      <c r="F227" s="34">
        <f>IF(B227-'폭압 파라메터 산정'!$E$19&gt;0,B227-'폭압 파라메터 산정'!$E$19, IF(B227-'폭압 파라메터 산정'!$E$19&lt;-0.25,"none",0))</f>
        <v>3.3331769757994962</v>
      </c>
      <c r="G227" s="32">
        <f>IF(B227-'폭압 파라메터 산정'!$E$19&gt;-0.25,'폭압 파라메터 산정'!$E$14*(1-F227/'폭압 파라메터 산정'!$E$20)*EXP(-Graph!$D$3*F227/'폭압 파라메터 산정'!$E$20),0)</f>
        <v>8.3860205445582654</v>
      </c>
      <c r="H227" s="32">
        <f>IF(B227-'폭압 파라메터 산정'!$E$19&gt;-0.25,'폭압 파라메터 산정'!$E$16*(1-F227/'폭압 파라메터 산정'!$E$20)*EXP(-Graph!$D$3*F227/'폭압 파라메터 산정'!$E$20),0)</f>
        <v>18.080900163616406</v>
      </c>
    </row>
    <row r="228" spans="2:8" x14ac:dyDescent="0.3">
      <c r="B228">
        <f t="shared" si="3"/>
        <v>55.25</v>
      </c>
      <c r="C228" s="33">
        <f>IF(B228-'폭압 파라메터 산정'!$C$19&gt;0,B228-'폭압 파라메터 산정'!$C$19, IF(B228-'폭압 파라메터 산정'!$C$19&lt;-0.25,"none",0))</f>
        <v>0.54415772114765559</v>
      </c>
      <c r="D228" s="32">
        <f>IF(B228-'폭압 파라메터 산정'!$C$19&gt;-0.25,'폭압 파라메터 산정'!$C$14*(1-Graph!C228/'폭압 파라메터 산정'!$C$20)*EXP(-Graph!$D$3*Graph!C228/'폭압 파라메터 산정'!$C$20),0)</f>
        <v>11.932815565514222</v>
      </c>
      <c r="E228" s="32">
        <f>IF(B228-'폭압 파라메터 산정'!$C$19&gt;-0.25,'폭압 파라메터 산정'!$C$16*(1-Graph!C228/'폭압 파라메터 산정'!$C$20)*EXP(-Graph!$D$3*Graph!C228/'폭압 파라메터 산정'!$C$20),0)</f>
        <v>25.252905799267712</v>
      </c>
      <c r="F228" s="34">
        <f>IF(B228-'폭압 파라메터 산정'!$E$19&gt;0,B228-'폭압 파라메터 산정'!$E$19, IF(B228-'폭압 파라메터 산정'!$E$19&lt;-0.25,"none",0))</f>
        <v>3.5831769757994962</v>
      </c>
      <c r="G228" s="32">
        <f>IF(B228-'폭압 파라메터 산정'!$E$19&gt;-0.25,'폭압 파라메터 산정'!$E$14*(1-F228/'폭압 파라메터 산정'!$E$20)*EXP(-Graph!$D$3*F228/'폭압 파라메터 산정'!$E$20),0)</f>
        <v>7.8743322923818289</v>
      </c>
      <c r="H228" s="32">
        <f>IF(B228-'폭압 파라메터 산정'!$E$19&gt;-0.25,'폭압 파라메터 산정'!$E$16*(1-F228/'폭압 파라메터 산정'!$E$20)*EXP(-Graph!$D$3*F228/'폭압 파라메터 산정'!$E$20),0)</f>
        <v>16.977661249123042</v>
      </c>
    </row>
    <row r="229" spans="2:8" x14ac:dyDescent="0.3">
      <c r="B229">
        <f t="shared" si="3"/>
        <v>55.5</v>
      </c>
      <c r="C229" s="33">
        <f>IF(B229-'폭압 파라메터 산정'!$C$19&gt;0,B229-'폭압 파라메터 산정'!$C$19, IF(B229-'폭압 파라메터 산정'!$C$19&lt;-0.25,"none",0))</f>
        <v>0.79415772114765559</v>
      </c>
      <c r="D229" s="32">
        <f>IF(B229-'폭압 파라메터 산정'!$C$19&gt;-0.25,'폭압 파라메터 산정'!$C$14*(1-Graph!C229/'폭압 파라메터 산정'!$C$20)*EXP(-Graph!$D$3*Graph!C229/'폭압 파라메터 산정'!$C$20),0)</f>
        <v>11.177262236106786</v>
      </c>
      <c r="E229" s="32">
        <f>IF(B229-'폭압 파라메터 산정'!$C$19&gt;-0.25,'폭압 파라메터 산정'!$C$16*(1-Graph!C229/'폭압 파라메터 산정'!$C$20)*EXP(-Graph!$D$3*Graph!C229/'폭압 파라메터 산정'!$C$20),0)</f>
        <v>23.65396069288478</v>
      </c>
      <c r="F229" s="34">
        <f>IF(B229-'폭압 파라메터 산정'!$E$19&gt;0,B229-'폭압 파라메터 산정'!$E$19, IF(B229-'폭압 파라메터 산정'!$E$19&lt;-0.25,"none",0))</f>
        <v>3.8331769757994962</v>
      </c>
      <c r="G229" s="32">
        <f>IF(B229-'폭압 파라메터 산정'!$E$19&gt;-0.25,'폭압 파라메터 산정'!$E$14*(1-F229/'폭압 파라메터 산정'!$E$20)*EXP(-Graph!$D$3*F229/'폭압 파라메터 산정'!$E$20),0)</f>
        <v>7.3889785311165754</v>
      </c>
      <c r="H229" s="32">
        <f>IF(B229-'폭압 파라메터 산정'!$E$19&gt;-0.25,'폭압 파라메터 산정'!$E$16*(1-F229/'폭압 파라메터 산정'!$E$20)*EXP(-Graph!$D$3*F229/'폭압 파라메터 산정'!$E$20),0)</f>
        <v>15.931201506406659</v>
      </c>
    </row>
    <row r="230" spans="2:8" x14ac:dyDescent="0.3">
      <c r="B230">
        <f t="shared" si="3"/>
        <v>55.75</v>
      </c>
      <c r="C230" s="33">
        <f>IF(B230-'폭압 파라메터 산정'!$C$19&gt;0,B230-'폭압 파라메터 산정'!$C$19, IF(B230-'폭압 파라메터 산정'!$C$19&lt;-0.25,"none",0))</f>
        <v>1.0441577211476556</v>
      </c>
      <c r="D230" s="32">
        <f>IF(B230-'폭압 파라메터 산정'!$C$19&gt;-0.25,'폭압 파라메터 산정'!$C$14*(1-Graph!C230/'폭압 파라메터 산정'!$C$20)*EXP(-Graph!$D$3*Graph!C230/'폭압 파라메터 산정'!$C$20),0)</f>
        <v>10.464044945411837</v>
      </c>
      <c r="E230" s="32">
        <f>IF(B230-'폭압 파라메터 산정'!$C$19&gt;-0.25,'폭압 파라메터 산정'!$C$16*(1-Graph!C230/'폭압 파라메터 산정'!$C$20)*EXP(-Graph!$D$3*Graph!C230/'폭압 파라메터 산정'!$C$20),0)</f>
        <v>22.144609529494669</v>
      </c>
      <c r="F230" s="34">
        <f>IF(B230-'폭압 파라메터 산정'!$E$19&gt;0,B230-'폭압 파라메터 산정'!$E$19, IF(B230-'폭압 파라메터 산정'!$E$19&lt;-0.25,"none",0))</f>
        <v>4.0831769757994962</v>
      </c>
      <c r="G230" s="32">
        <f>IF(B230-'폭압 파라메터 산정'!$E$19&gt;-0.25,'폭압 파라메터 산정'!$E$14*(1-F230/'폭압 파라메터 산정'!$E$20)*EXP(-Graph!$D$3*F230/'폭압 파라메터 산정'!$E$20),0)</f>
        <v>6.9287128495391217</v>
      </c>
      <c r="H230" s="32">
        <f>IF(B230-'폭압 파라메터 산정'!$E$19&gt;-0.25,'폭압 파라메터 산정'!$E$16*(1-F230/'폭압 파라메터 산정'!$E$20)*EXP(-Graph!$D$3*F230/'폭압 파라메터 산정'!$E$20),0)</f>
        <v>14.93883357776606</v>
      </c>
    </row>
    <row r="231" spans="2:8" x14ac:dyDescent="0.3">
      <c r="B231">
        <f t="shared" si="3"/>
        <v>56</v>
      </c>
      <c r="C231" s="33">
        <f>IF(B231-'폭압 파라메터 산정'!$C$19&gt;0,B231-'폭압 파라메터 산정'!$C$19, IF(B231-'폭압 파라메터 산정'!$C$19&lt;-0.25,"none",0))</f>
        <v>1.2941577211476556</v>
      </c>
      <c r="D231" s="32">
        <f>IF(B231-'폭압 파라메터 산정'!$C$19&gt;-0.25,'폭압 파라메터 산정'!$C$14*(1-Graph!C231/'폭압 파라메터 산정'!$C$20)*EXP(-Graph!$D$3*Graph!C231/'폭압 파라메터 산정'!$C$20),0)</f>
        <v>9.7909436430563659</v>
      </c>
      <c r="E231" s="32">
        <f>IF(B231-'폭압 파라메터 산정'!$C$19&gt;-0.25,'폭압 파라메터 산정'!$C$16*(1-Graph!C231/'폭압 파라메터 산정'!$C$20)*EXP(-Graph!$D$3*Graph!C231/'폭압 파라메터 산정'!$C$20),0)</f>
        <v>20.720154111707895</v>
      </c>
      <c r="F231" s="34">
        <f>IF(B231-'폭압 파라메터 산정'!$E$19&gt;0,B231-'폭압 파라메터 산정'!$E$19, IF(B231-'폭압 파라메터 산정'!$E$19&lt;-0.25,"none",0))</f>
        <v>4.3331769757994962</v>
      </c>
      <c r="G231" s="32">
        <f>IF(B231-'폭압 파라메터 산정'!$E$19&gt;-0.25,'폭압 파라메터 산정'!$E$14*(1-F231/'폭압 파라메터 산정'!$E$20)*EXP(-Graph!$D$3*F231/'폭압 파라메터 산정'!$E$20),0)</f>
        <v>6.4923449512047595</v>
      </c>
      <c r="H231" s="32">
        <f>IF(B231-'폭압 파라메터 산정'!$E$19&gt;-0.25,'폭압 파라메터 산정'!$E$16*(1-F231/'폭압 파라메터 산정'!$E$20)*EXP(-Graph!$D$3*F231/'폭압 파라메터 산정'!$E$20),0)</f>
        <v>13.997991093244536</v>
      </c>
    </row>
    <row r="232" spans="2:8" x14ac:dyDescent="0.3">
      <c r="B232">
        <f t="shared" si="3"/>
        <v>56.25</v>
      </c>
      <c r="C232" s="33">
        <f>IF(B232-'폭압 파라메터 산정'!$C$19&gt;0,B232-'폭압 파라메터 산정'!$C$19, IF(B232-'폭압 파라메터 산정'!$C$19&lt;-0.25,"none",0))</f>
        <v>1.5441577211476556</v>
      </c>
      <c r="D232" s="32">
        <f>IF(B232-'폭압 파라메터 산정'!$C$19&gt;-0.25,'폭압 파라메터 산정'!$C$14*(1-Graph!C232/'폭압 파라메터 산정'!$C$20)*EXP(-Graph!$D$3*Graph!C232/'폭압 파라메터 산정'!$C$20),0)</f>
        <v>9.1558499409380438</v>
      </c>
      <c r="E232" s="32">
        <f>IF(B232-'폭압 파라메터 산정'!$C$19&gt;-0.25,'폭압 파라메터 산정'!$C$16*(1-Graph!C232/'폭압 파라메터 산정'!$C$20)*EXP(-Graph!$D$3*Graph!C232/'폭압 파라메터 산정'!$C$20),0)</f>
        <v>19.376132548209352</v>
      </c>
      <c r="F232" s="34">
        <f>IF(B232-'폭압 파라메터 산정'!$E$19&gt;0,B232-'폭압 파라메터 산정'!$E$19, IF(B232-'폭압 파라메터 산정'!$E$19&lt;-0.25,"none",0))</f>
        <v>4.5831769757994962</v>
      </c>
      <c r="G232" s="32">
        <f>IF(B232-'폭압 파라메터 산정'!$E$19&gt;-0.25,'폭압 파라메터 산정'!$E$14*(1-F232/'폭압 파라메터 산정'!$E$20)*EXP(-Graph!$D$3*F232/'폭압 파라메터 산정'!$E$20),0)</f>
        <v>6.0787382107843682</v>
      </c>
      <c r="H232" s="32">
        <f>IF(B232-'폭압 파라메터 산정'!$E$19&gt;-0.25,'폭압 파라메터 산정'!$E$16*(1-F232/'폭압 파라메터 산정'!$E$20)*EXP(-Graph!$D$3*F232/'폭압 파라메터 산정'!$E$20),0)</f>
        <v>13.106223401905805</v>
      </c>
    </row>
    <row r="233" spans="2:8" x14ac:dyDescent="0.3">
      <c r="B233">
        <f t="shared" si="3"/>
        <v>56.5</v>
      </c>
      <c r="C233" s="33">
        <f>IF(B233-'폭압 파라메터 산정'!$C$19&gt;0,B233-'폭압 파라메터 산정'!$C$19, IF(B233-'폭압 파라메터 산정'!$C$19&lt;-0.25,"none",0))</f>
        <v>1.7941577211476556</v>
      </c>
      <c r="D233" s="32">
        <f>IF(B233-'폭압 파라메터 산정'!$C$19&gt;-0.25,'폭압 파라메터 산정'!$C$14*(1-Graph!C233/'폭압 파라메터 산정'!$C$20)*EXP(-Graph!$D$3*Graph!C233/'폭압 파라메터 산정'!$C$20),0)</f>
        <v>8.5567616556595834</v>
      </c>
      <c r="E233" s="32">
        <f>IF(B233-'폭압 파라메터 산정'!$C$19&gt;-0.25,'폭압 파라메터 산정'!$C$16*(1-Graph!C233/'폭압 파라메터 산정'!$C$20)*EXP(-Graph!$D$3*Graph!C233/'폭압 파라메터 산정'!$C$20),0)</f>
        <v>18.108307704146252</v>
      </c>
      <c r="F233" s="34">
        <f>IF(B233-'폭압 파라메터 산정'!$E$19&gt;0,B233-'폭압 파라메터 산정'!$E$19, IF(B233-'폭압 파라메터 산정'!$E$19&lt;-0.25,"none",0))</f>
        <v>4.8331769757994962</v>
      </c>
      <c r="G233" s="32">
        <f>IF(B233-'폭압 파라메터 산정'!$E$19&gt;-0.25,'폭압 파라메터 산정'!$E$14*(1-F233/'폭압 파라메터 산정'!$E$20)*EXP(-Graph!$D$3*F233/'폭압 파라메터 산정'!$E$20),0)</f>
        <v>5.6868073343194272</v>
      </c>
      <c r="H233" s="32">
        <f>IF(B233-'폭압 파라메터 산정'!$E$19&gt;-0.25,'폭압 파라메터 산정'!$E$16*(1-F233/'폭압 파라메터 산정'!$E$20)*EXP(-Graph!$D$3*F233/'폭압 파라메터 산정'!$E$20),0)</f>
        <v>12.261190527165269</v>
      </c>
    </row>
    <row r="234" spans="2:8" x14ac:dyDescent="0.3">
      <c r="B234">
        <f t="shared" si="3"/>
        <v>56.75</v>
      </c>
      <c r="C234" s="33">
        <f>IF(B234-'폭압 파라메터 산정'!$C$19&gt;0,B234-'폭압 파라메터 산정'!$C$19, IF(B234-'폭압 파라메터 산정'!$C$19&lt;-0.25,"none",0))</f>
        <v>2.0441577211476556</v>
      </c>
      <c r="D234" s="32">
        <f>IF(B234-'폭압 파라메터 산정'!$C$19&gt;-0.25,'폭압 파라메터 산정'!$C$14*(1-Graph!C234/'폭압 파라메터 산정'!$C$20)*EXP(-Graph!$D$3*Graph!C234/'폭압 파라메터 산정'!$C$20),0)</f>
        <v>7.9917776121801385</v>
      </c>
      <c r="E234" s="32">
        <f>IF(B234-'폭압 파라메터 산정'!$C$19&gt;-0.25,'폭압 파라메터 산정'!$C$16*(1-Graph!C234/'폭압 파라메터 산정'!$C$20)*EXP(-Graph!$D$3*Graph!C234/'폭압 파라메터 산정'!$C$20),0)</f>
        <v>16.912656204318434</v>
      </c>
      <c r="F234" s="34">
        <f>IF(B234-'폭압 파라메터 산정'!$E$19&gt;0,B234-'폭압 파라메터 산정'!$E$19, IF(B234-'폭압 파라메터 산정'!$E$19&lt;-0.25,"none",0))</f>
        <v>5.0831769757994962</v>
      </c>
      <c r="G234" s="32">
        <f>IF(B234-'폭압 파라메터 산정'!$E$19&gt;-0.25,'폭압 파라메터 산정'!$E$14*(1-F234/'폭압 파라메터 산정'!$E$20)*EXP(-Graph!$D$3*F234/'폭압 파라메터 산정'!$E$20),0)</f>
        <v>5.3155161190540321</v>
      </c>
      <c r="H234" s="32">
        <f>IF(B234-'폭압 파라메터 산정'!$E$19&gt;-0.25,'폭압 파라메터 산정'!$E$16*(1-F234/'폭압 파라메터 산정'!$E$20)*EXP(-Graph!$D$3*F234/'폭압 파라메터 산정'!$E$20),0)</f>
        <v>11.460658336816929</v>
      </c>
    </row>
    <row r="235" spans="2:8" x14ac:dyDescent="0.3">
      <c r="B235">
        <f t="shared" si="3"/>
        <v>57</v>
      </c>
      <c r="C235" s="33">
        <f>IF(B235-'폭압 파라메터 산정'!$C$19&gt;0,B235-'폭압 파라메터 산정'!$C$19, IF(B235-'폭압 파라메터 산정'!$C$19&lt;-0.25,"none",0))</f>
        <v>2.2941577211476556</v>
      </c>
      <c r="D235" s="32">
        <f>IF(B235-'폭압 파라메터 산정'!$C$19&gt;-0.25,'폭압 파라메터 산정'!$C$14*(1-Graph!C235/'폭압 파라메터 산정'!$C$20)*EXP(-Graph!$D$3*Graph!C235/'폭압 파라메터 산정'!$C$20),0)</f>
        <v>7.4590926963789439</v>
      </c>
      <c r="E235" s="32">
        <f>IF(B235-'폭압 파라메터 산정'!$C$19&gt;-0.25,'폭압 파라메터 산정'!$C$16*(1-Graph!C235/'폭압 파라메터 산정'!$C$20)*EXP(-Graph!$D$3*Graph!C235/'폭압 파라메터 산정'!$C$20),0)</f>
        <v>15.785357963130984</v>
      </c>
      <c r="F235" s="34">
        <f>IF(B235-'폭압 파라메터 산정'!$E$19&gt;0,B235-'폭압 파라메터 산정'!$E$19, IF(B235-'폭압 파라메터 산정'!$E$19&lt;-0.25,"none",0))</f>
        <v>5.3331769757994962</v>
      </c>
      <c r="G235" s="32">
        <f>IF(B235-'폭압 파라메터 산정'!$E$19&gt;-0.25,'폭압 파라메터 산정'!$E$14*(1-F235/'폭압 파라메터 산정'!$E$20)*EXP(-Graph!$D$3*F235/'폭압 파라메터 산정'!$E$20),0)</f>
        <v>4.9638753086814749</v>
      </c>
      <c r="H235" s="32">
        <f>IF(B235-'폭압 파라메터 산정'!$E$19&gt;-0.25,'폭압 파라메터 산정'!$E$16*(1-F235/'폭압 파라메터 산정'!$E$20)*EXP(-Graph!$D$3*F235/'폭압 파라메터 산정'!$E$20),0)</f>
        <v>10.702493918781354</v>
      </c>
    </row>
    <row r="236" spans="2:8" x14ac:dyDescent="0.3">
      <c r="B236">
        <f t="shared" si="3"/>
        <v>57.25</v>
      </c>
      <c r="C236" s="33">
        <f>IF(B236-'폭압 파라메터 산정'!$C$19&gt;0,B236-'폭압 파라메터 산정'!$C$19, IF(B236-'폭압 파라메터 산정'!$C$19&lt;-0.25,"none",0))</f>
        <v>2.5441577211476556</v>
      </c>
      <c r="D236" s="32">
        <f>IF(B236-'폭압 파라메터 산정'!$C$19&gt;-0.25,'폭압 파라메터 산정'!$C$14*(1-Graph!C236/'폭압 파라메터 산정'!$C$20)*EXP(-Graph!$D$3*Graph!C236/'폭압 파라메터 산정'!$C$20),0)</f>
        <v>6.9569931447987718</v>
      </c>
      <c r="E236" s="32">
        <f>IF(B236-'폭압 파라메터 산정'!$C$19&gt;-0.25,'폭압 파라메터 산정'!$C$16*(1-Graph!C236/'폭압 파라메터 산정'!$C$20)*EXP(-Graph!$D$3*Graph!C236/'폭압 파라메터 산정'!$C$20),0)</f>
        <v>14.722786216480323</v>
      </c>
      <c r="F236" s="34">
        <f>IF(B236-'폭압 파라메터 산정'!$E$19&gt;0,B236-'폭압 파라메터 산정'!$E$19, IF(B236-'폭압 파라메터 산정'!$E$19&lt;-0.25,"none",0))</f>
        <v>5.5831769757994962</v>
      </c>
      <c r="G236" s="32">
        <f>IF(B236-'폭압 파라메터 산정'!$E$19&gt;-0.25,'폭압 파라메터 산정'!$E$14*(1-F236/'폭압 파라메터 산정'!$E$20)*EXP(-Graph!$D$3*F236/'폭압 파라메터 산정'!$E$20),0)</f>
        <v>4.6309405400147412</v>
      </c>
      <c r="H236" s="32">
        <f>IF(B236-'폭압 파라메터 산정'!$E$19&gt;-0.25,'폭압 파라메터 산정'!$E$16*(1-F236/'폭압 파라메터 산정'!$E$20)*EXP(-Graph!$D$3*F236/'폭압 파라메터 산정'!$E$20),0)</f>
        <v>9.9846611539706132</v>
      </c>
    </row>
    <row r="237" spans="2:8" x14ac:dyDescent="0.3">
      <c r="B237">
        <f t="shared" si="3"/>
        <v>57.5</v>
      </c>
      <c r="C237" s="33">
        <f>IF(B237-'폭압 파라메터 산정'!$C$19&gt;0,B237-'폭압 파라메터 산정'!$C$19, IF(B237-'폭압 파라메터 산정'!$C$19&lt;-0.25,"none",0))</f>
        <v>2.7941577211476556</v>
      </c>
      <c r="D237" s="32">
        <f>IF(B237-'폭압 파라메터 산정'!$C$19&gt;-0.25,'폭압 파라메터 산정'!$C$14*(1-Graph!C237/'폭압 파라메터 산정'!$C$20)*EXP(-Graph!$D$3*Graph!C237/'폭압 파라메터 산정'!$C$20),0)</f>
        <v>6.4838520603828025</v>
      </c>
      <c r="E237" s="32">
        <f>IF(B237-'폭압 파라메터 산정'!$C$19&gt;-0.25,'폭압 파라메터 산정'!$C$16*(1-Graph!C237/'폭압 파라메터 산정'!$C$20)*EXP(-Graph!$D$3*Graph!C237/'폭압 파라메터 산정'!$C$20),0)</f>
        <v>13.721498031900479</v>
      </c>
      <c r="F237" s="34">
        <f>IF(B237-'폭압 파라메터 산정'!$E$19&gt;0,B237-'폭압 파라메터 산정'!$E$19, IF(B237-'폭압 파라메터 산정'!$E$19&lt;-0.25,"none",0))</f>
        <v>5.8331769757994962</v>
      </c>
      <c r="G237" s="32">
        <f>IF(B237-'폭압 파라메터 산정'!$E$19&gt;-0.25,'폭압 파라메터 산정'!$E$14*(1-F237/'폭압 파라메터 산정'!$E$20)*EXP(-Graph!$D$3*F237/'폭압 파라메터 산정'!$E$20),0)</f>
        <v>4.3158103772546648</v>
      </c>
      <c r="H237" s="32">
        <f>IF(B237-'폭압 파라메터 산정'!$E$19&gt;-0.25,'폭압 파라메터 산정'!$E$16*(1-F237/'폭압 파라메터 산정'!$E$20)*EXP(-Graph!$D$3*F237/'폭압 파라메터 산정'!$E$20),0)</f>
        <v>9.3052164780204105</v>
      </c>
    </row>
    <row r="238" spans="2:8" x14ac:dyDescent="0.3">
      <c r="B238">
        <f t="shared" si="3"/>
        <v>57.75</v>
      </c>
      <c r="C238" s="33">
        <f>IF(B238-'폭압 파라메터 산정'!$C$19&gt;0,B238-'폭압 파라메터 산정'!$C$19, IF(B238-'폭압 파라메터 산정'!$C$19&lt;-0.25,"none",0))</f>
        <v>3.0441577211476556</v>
      </c>
      <c r="D238" s="32">
        <f>IF(B238-'폭압 파라메터 산정'!$C$19&gt;-0.25,'폭압 파라메터 산정'!$C$14*(1-Graph!C238/'폭압 파라메터 산정'!$C$20)*EXP(-Graph!$D$3*Graph!C238/'폭압 파라메터 산정'!$C$20),0)</f>
        <v>6.0381251435394301</v>
      </c>
      <c r="E238" s="32">
        <f>IF(B238-'폭압 파라메터 산정'!$C$19&gt;-0.25,'폭압 파라메터 산정'!$C$16*(1-Graph!C238/'폭압 파라메터 산정'!$C$20)*EXP(-Graph!$D$3*Graph!C238/'폭압 파라메터 산정'!$C$20),0)</f>
        <v>12.778225274398618</v>
      </c>
      <c r="F238" s="34">
        <f>IF(B238-'폭압 파라메터 산정'!$E$19&gt;0,B238-'폭압 파라메터 산정'!$E$19, IF(B238-'폭압 파라메터 산정'!$E$19&lt;-0.25,"none",0))</f>
        <v>6.0831769757994962</v>
      </c>
      <c r="G238" s="32">
        <f>IF(B238-'폭압 파라메터 산정'!$E$19&gt;-0.25,'폭압 파라메터 산정'!$E$14*(1-F238/'폭압 파라메터 산정'!$E$20)*EXP(-Graph!$D$3*F238/'폭압 파라메터 산정'!$E$20),0)</f>
        <v>4.0176244301874764</v>
      </c>
      <c r="H238" s="32">
        <f>IF(B238-'폭압 파라메터 산정'!$E$19&gt;-0.25,'폭압 파라메터 산정'!$E$16*(1-F238/'폭압 파라메터 산정'!$E$20)*EXP(-Graph!$D$3*F238/'폭압 파라메터 산정'!$E$20),0)</f>
        <v>8.6623048239804277</v>
      </c>
    </row>
    <row r="239" spans="2:8" x14ac:dyDescent="0.3">
      <c r="B239">
        <f t="shared" si="3"/>
        <v>58</v>
      </c>
      <c r="C239" s="33">
        <f>IF(B239-'폭압 파라메터 산정'!$C$19&gt;0,B239-'폭압 파라메터 산정'!$C$19, IF(B239-'폭압 파라메터 산정'!$C$19&lt;-0.25,"none",0))</f>
        <v>3.2941577211476556</v>
      </c>
      <c r="D239" s="32">
        <f>IF(B239-'폭압 파라메터 산정'!$C$19&gt;-0.25,'폭압 파라메터 산정'!$C$14*(1-Graph!C239/'폭압 파라메터 산정'!$C$20)*EXP(-Graph!$D$3*Graph!C239/'폭압 파라메터 산정'!$C$20),0)</f>
        <v>5.6183466283663535</v>
      </c>
      <c r="E239" s="32">
        <f>IF(B239-'폭압 파라메터 산정'!$C$19&gt;-0.25,'폭압 파라메터 산정'!$C$16*(1-Graph!C239/'폭압 파라메터 산정'!$C$20)*EXP(-Graph!$D$3*Graph!C239/'폭압 파라메터 산정'!$C$20),0)</f>
        <v>11.889866006460384</v>
      </c>
      <c r="F239" s="34">
        <f>IF(B239-'폭압 파라메터 산정'!$E$19&gt;0,B239-'폭압 파라메터 산정'!$E$19, IF(B239-'폭압 파라메터 산정'!$E$19&lt;-0.25,"none",0))</f>
        <v>6.3331769757994962</v>
      </c>
      <c r="G239" s="32">
        <f>IF(B239-'폭압 파라메터 산정'!$E$19&gt;-0.25,'폭압 파라메터 산정'!$E$14*(1-F239/'폭압 파라메터 산정'!$E$20)*EXP(-Graph!$D$3*F239/'폭압 파라메터 산정'!$E$20),0)</f>
        <v>3.7355615527948238</v>
      </c>
      <c r="H239" s="32">
        <f>IF(B239-'폭압 파라메터 산정'!$E$19&gt;-0.25,'폭압 파라메터 산정'!$E$16*(1-F239/'폭압 파라메터 산정'!$E$20)*EXP(-Graph!$D$3*F239/'폭압 파라메터 산정'!$E$20),0)</f>
        <v>8.0541557383800679</v>
      </c>
    </row>
    <row r="240" spans="2:8" x14ac:dyDescent="0.3">
      <c r="B240">
        <f t="shared" si="3"/>
        <v>58.25</v>
      </c>
      <c r="C240" s="33">
        <f>IF(B240-'폭압 파라메터 산정'!$C$19&gt;0,B240-'폭압 파라메터 산정'!$C$19, IF(B240-'폭압 파라메터 산정'!$C$19&lt;-0.25,"none",0))</f>
        <v>3.5441577211476556</v>
      </c>
      <c r="D240" s="32">
        <f>IF(B240-'폭압 파라메터 산정'!$C$19&gt;-0.25,'폭압 파라메터 산정'!$C$14*(1-Graph!C240/'폭압 파라메터 산정'!$C$20)*EXP(-Graph!$D$3*Graph!C240/'폭압 파라메터 산정'!$C$20),0)</f>
        <v>5.2231254143392789</v>
      </c>
      <c r="E240" s="32">
        <f>IF(B240-'폭압 파라메터 산정'!$C$19&gt;-0.25,'폭압 파라메터 산정'!$C$16*(1-Graph!C240/'폭압 파라메터 산정'!$C$20)*EXP(-Graph!$D$3*Graph!C240/'폭압 파라메터 산정'!$C$20),0)</f>
        <v>11.053476301708601</v>
      </c>
      <c r="F240" s="34">
        <f>IF(B240-'폭압 파라메터 산정'!$E$19&gt;0,B240-'폭압 파라메터 산정'!$E$19, IF(B240-'폭압 파라메터 산정'!$E$19&lt;-0.25,"none",0))</f>
        <v>6.5831769757994962</v>
      </c>
      <c r="G240" s="32">
        <f>IF(B240-'폭압 파라메터 산정'!$E$19&gt;-0.25,'폭압 파라메터 산정'!$E$14*(1-F240/'폭압 파라메터 산정'!$E$20)*EXP(-Graph!$D$3*F240/'폭압 파라메터 산정'!$E$20),0)</f>
        <v>3.4688381189046651</v>
      </c>
      <c r="H240" s="32">
        <f>IF(B240-'폭압 파라메터 산정'!$E$19&gt;-0.25,'폭압 파라메터 산정'!$E$16*(1-F240/'폭압 파라메터 산정'!$E$20)*EXP(-Graph!$D$3*F240/'폭압 파라메터 산정'!$E$20),0)</f>
        <v>7.479079663400225</v>
      </c>
    </row>
    <row r="241" spans="2:8" x14ac:dyDescent="0.3">
      <c r="B241">
        <f t="shared" si="3"/>
        <v>58.5</v>
      </c>
      <c r="C241" s="33">
        <f>IF(B241-'폭압 파라메터 산정'!$C$19&gt;0,B241-'폭압 파라메터 산정'!$C$19, IF(B241-'폭압 파라메터 산정'!$C$19&lt;-0.25,"none",0))</f>
        <v>3.7941577211476556</v>
      </c>
      <c r="D241" s="32">
        <f>IF(B241-'폭압 파라메터 산정'!$C$19&gt;-0.25,'폭압 파라메터 산정'!$C$14*(1-Graph!C241/'폭압 파라메터 산정'!$C$20)*EXP(-Graph!$D$3*Graph!C241/'폭압 파라메터 산정'!$C$20),0)</f>
        <v>4.8511413842226805</v>
      </c>
      <c r="E241" s="32">
        <f>IF(B241-'폭압 파라메터 산정'!$C$19&gt;-0.25,'폭압 파라메터 산정'!$C$16*(1-Graph!C241/'폭압 파라메터 산정'!$C$20)*EXP(-Graph!$D$3*Graph!C241/'폭압 파라메터 산정'!$C$20),0)</f>
        <v>10.266262452655731</v>
      </c>
      <c r="F241" s="34">
        <f>IF(B241-'폭압 파라메터 산정'!$E$19&gt;0,B241-'폭압 파라메터 산정'!$E$19, IF(B241-'폭압 파라메터 산정'!$E$19&lt;-0.25,"none",0))</f>
        <v>6.8331769757994962</v>
      </c>
      <c r="G241" s="32">
        <f>IF(B241-'폭압 파라메터 산정'!$E$19&gt;-0.25,'폭압 파라메터 산정'!$E$14*(1-F241/'폭압 파라메터 산정'!$E$20)*EXP(-Graph!$D$3*F241/'폭압 파라메터 산정'!$E$20),0)</f>
        <v>3.2167063716506701</v>
      </c>
      <c r="H241" s="32">
        <f>IF(B241-'폭압 파라메터 산정'!$E$19&gt;-0.25,'폭압 파라메터 산정'!$E$16*(1-F241/'폭압 파라메터 산정'!$E$20)*EXP(-Graph!$D$3*F241/'폭압 파라메터 산정'!$E$20),0)</f>
        <v>6.9354643781817948</v>
      </c>
    </row>
    <row r="242" spans="2:8" x14ac:dyDescent="0.3">
      <c r="B242">
        <f t="shared" si="3"/>
        <v>58.75</v>
      </c>
      <c r="C242" s="33">
        <f>IF(B242-'폭압 파라메터 산정'!$C$19&gt;0,B242-'폭압 파라메터 산정'!$C$19, IF(B242-'폭압 파라메터 산정'!$C$19&lt;-0.25,"none",0))</f>
        <v>4.0441577211476556</v>
      </c>
      <c r="D242" s="32">
        <f>IF(B242-'폭압 파라메터 산정'!$C$19&gt;-0.25,'폭압 파라메터 산정'!$C$14*(1-Graph!C242/'폭압 파라메터 산정'!$C$20)*EXP(-Graph!$D$3*Graph!C242/'폭압 파라메터 산정'!$C$20),0)</f>
        <v>4.501141899391282</v>
      </c>
      <c r="E242" s="32">
        <f>IF(B242-'폭압 파라메터 산정'!$C$19&gt;-0.25,'폭압 파라메터 산정'!$C$16*(1-Graph!C242/'폭압 파라메터 산정'!$C$20)*EXP(-Graph!$D$3*Graph!C242/'폭압 파라메터 산정'!$C$20),0)</f>
        <v>9.5255735539030546</v>
      </c>
      <c r="F242" s="34">
        <f>IF(B242-'폭압 파라메터 산정'!$E$19&gt;0,B242-'폭압 파라메터 산정'!$E$19, IF(B242-'폭압 파라메터 산정'!$E$19&lt;-0.25,"none",0))</f>
        <v>7.0831769757994962</v>
      </c>
      <c r="G242" s="32">
        <f>IF(B242-'폭압 파라메터 산정'!$E$19&gt;-0.25,'폭압 파라메터 산정'!$E$14*(1-F242/'폭압 파라메터 산정'!$E$20)*EXP(-Graph!$D$3*F242/'폭압 파라메터 산정'!$E$20),0)</f>
        <v>2.9784528436414806</v>
      </c>
      <c r="H242" s="32">
        <f>IF(B242-'폭압 파라메터 산정'!$E$19&gt;-0.25,'폭압 파라메터 산정'!$E$16*(1-F242/'폭압 파라메터 산정'!$E$20)*EXP(-Graph!$D$3*F242/'폭압 파라메터 산정'!$E$20),0)</f>
        <v>6.4217715925900736</v>
      </c>
    </row>
    <row r="243" spans="2:8" x14ac:dyDescent="0.3">
      <c r="B243">
        <f t="shared" si="3"/>
        <v>59</v>
      </c>
      <c r="C243" s="33">
        <f>IF(B243-'폭압 파라메터 산정'!$C$19&gt;0,B243-'폭압 파라메터 산정'!$C$19, IF(B243-'폭압 파라메터 산정'!$C$19&lt;-0.25,"none",0))</f>
        <v>4.2941577211476556</v>
      </c>
      <c r="D243" s="32">
        <f>IF(B243-'폭압 파라메터 산정'!$C$19&gt;-0.25,'폭압 파라메터 산정'!$C$14*(1-Graph!C243/'폭압 파라메터 산정'!$C$20)*EXP(-Graph!$D$3*Graph!C243/'폭압 파라메터 산정'!$C$20),0)</f>
        <v>4.1719384641622872</v>
      </c>
      <c r="E243" s="32">
        <f>IF(B243-'폭압 파라메터 산정'!$C$19&gt;-0.25,'폭압 파라메터 산정'!$C$16*(1-Graph!C243/'폭압 파라메터 산정'!$C$20)*EXP(-Graph!$D$3*Graph!C243/'폭압 파라메터 산정'!$C$20),0)</f>
        <v>8.8288944430100091</v>
      </c>
      <c r="F243" s="34">
        <f>IF(B243-'폭압 파라메터 산정'!$E$19&gt;0,B243-'폭압 파라메터 산정'!$E$19, IF(B243-'폭압 파라메터 산정'!$E$19&lt;-0.25,"none",0))</f>
        <v>7.3331769757994962</v>
      </c>
      <c r="G243" s="32">
        <f>IF(B243-'폭압 파라메터 산정'!$E$19&gt;-0.25,'폭압 파라메터 산정'!$E$14*(1-F243/'폭압 파라메터 산정'!$E$20)*EXP(-Graph!$D$3*F243/'폭압 파라메터 산정'!$E$20),0)</f>
        <v>2.7533968448692634</v>
      </c>
      <c r="H243" s="32">
        <f>IF(B243-'폭압 파라메터 산정'!$E$19&gt;-0.25,'폭압 파라메터 산정'!$E$16*(1-F243/'폭압 파라메터 산정'!$E$20)*EXP(-Graph!$D$3*F243/'폭압 파라메터 산정'!$E$20),0)</f>
        <v>5.9365336870302094</v>
      </c>
    </row>
    <row r="244" spans="2:8" x14ac:dyDescent="0.3">
      <c r="B244">
        <f t="shared" si="3"/>
        <v>59.25</v>
      </c>
      <c r="C244" s="33">
        <f>IF(B244-'폭압 파라메터 산정'!$C$19&gt;0,B244-'폭압 파라메터 산정'!$C$19, IF(B244-'폭압 파라메터 산정'!$C$19&lt;-0.25,"none",0))</f>
        <v>4.5441577211476556</v>
      </c>
      <c r="D244" s="32">
        <f>IF(B244-'폭압 파라메터 산정'!$C$19&gt;-0.25,'폭압 파라메터 산정'!$C$14*(1-Graph!C244/'폭압 파라메터 산정'!$C$20)*EXP(-Graph!$D$3*Graph!C244/'폭압 파라메터 산정'!$C$20),0)</f>
        <v>3.8624035511307016</v>
      </c>
      <c r="E244" s="32">
        <f>IF(B244-'폭압 파라메터 산정'!$C$19&gt;-0.25,'폭압 파라메터 산정'!$C$16*(1-Graph!C244/'폭압 파라메터 산정'!$C$20)*EXP(-Graph!$D$3*Graph!C244/'폭압 파라메터 산정'!$C$20),0)</f>
        <v>8.1738389820875064</v>
      </c>
      <c r="F244" s="34">
        <f>IF(B244-'폭압 파라메터 산정'!$E$19&gt;0,B244-'폭압 파라메터 산정'!$E$19, IF(B244-'폭압 파라메터 산정'!$E$19&lt;-0.25,"none",0))</f>
        <v>7.5831769757994962</v>
      </c>
      <c r="G244" s="32">
        <f>IF(B244-'폭압 파라메터 산정'!$E$19&gt;-0.25,'폭압 파라메터 산정'!$E$14*(1-F244/'폭압 파라메터 산정'!$E$20)*EXP(-Graph!$D$3*F244/'폭압 파라메터 산정'!$E$20),0)</f>
        <v>2.5408890155099835</v>
      </c>
      <c r="H244" s="32">
        <f>IF(B244-'폭압 파라메터 산정'!$E$19&gt;-0.25,'폭압 파라메터 산정'!$E$16*(1-F244/'폭압 파라메터 산정'!$E$20)*EXP(-Graph!$D$3*F244/'폭압 파라메터 산정'!$E$20),0)</f>
        <v>5.4783505921741789</v>
      </c>
    </row>
    <row r="245" spans="2:8" x14ac:dyDescent="0.3">
      <c r="B245">
        <f t="shared" si="3"/>
        <v>59.5</v>
      </c>
      <c r="C245" s="33">
        <f>IF(B245-'폭압 파라메터 산정'!$C$19&gt;0,B245-'폭압 파라메터 산정'!$C$19, IF(B245-'폭압 파라메터 산정'!$C$19&lt;-0.25,"none",0))</f>
        <v>4.7941577211476556</v>
      </c>
      <c r="D245" s="32">
        <f>IF(B245-'폭압 파라메터 산정'!$C$19&gt;-0.25,'폭압 파라메터 산정'!$C$14*(1-Graph!C245/'폭압 파라메터 산정'!$C$20)*EXP(-Graph!$D$3*Graph!C245/'폭압 파라메터 산정'!$C$20),0)</f>
        <v>3.5714675798743274</v>
      </c>
      <c r="E245" s="32">
        <f>IF(B245-'폭압 파라메터 산정'!$C$19&gt;-0.25,'폭압 파라메터 산정'!$C$16*(1-Graph!C245/'폭압 파라메터 산정'!$C$20)*EXP(-Graph!$D$3*Graph!C245/'폭압 파라메터 산정'!$C$20),0)</f>
        <v>7.558143663960875</v>
      </c>
      <c r="F245" s="34">
        <f>IF(B245-'폭압 파라메터 산정'!$E$19&gt;0,B245-'폭압 파라메터 산정'!$E$19, IF(B245-'폭압 파라메터 산정'!$E$19&lt;-0.25,"none",0))</f>
        <v>7.8331769757994962</v>
      </c>
      <c r="G245" s="32">
        <f>IF(B245-'폭압 파라메터 산정'!$E$19&gt;-0.25,'폭압 파라메터 산정'!$E$14*(1-F245/'폭압 파라메터 산정'!$E$20)*EXP(-Graph!$D$3*F245/'폭압 파라메터 산정'!$E$20),0)</f>
        <v>2.3403099408856933</v>
      </c>
      <c r="H245" s="32">
        <f>IF(B245-'폭압 파라메터 산정'!$E$19&gt;-0.25,'폭압 파라메터 산정'!$E$16*(1-F245/'폭압 파라메터 산정'!$E$20)*EXP(-Graph!$D$3*F245/'폭압 파라메터 산정'!$E$20),0)</f>
        <v>5.0458868027137873</v>
      </c>
    </row>
    <row r="246" spans="2:8" x14ac:dyDescent="0.3">
      <c r="B246">
        <f t="shared" si="3"/>
        <v>59.75</v>
      </c>
      <c r="C246" s="33">
        <f>IF(B246-'폭압 파라메터 산정'!$C$19&gt;0,B246-'폭압 파라메터 산정'!$C$19, IF(B246-'폭압 파라메터 산정'!$C$19&lt;-0.25,"none",0))</f>
        <v>5.0441577211476556</v>
      </c>
      <c r="D246" s="32">
        <f>IF(B246-'폭압 파라메터 산정'!$C$19&gt;-0.25,'폭압 파라메터 산정'!$C$14*(1-Graph!C246/'폭압 파라메터 산정'!$C$20)*EXP(-Graph!$D$3*Graph!C246/'폭압 파라메터 산정'!$C$20),0)</f>
        <v>3.2981160417519071</v>
      </c>
      <c r="E246" s="32">
        <f>IF(B246-'폭압 파라메터 산정'!$C$19&gt;-0.25,'폭압 파라메터 산정'!$C$16*(1-Graph!C246/'폭압 파라메터 산정'!$C$20)*EXP(-Graph!$D$3*Graph!C246/'폭압 파라메터 산정'!$C$20),0)</f>
        <v>6.9796615275035068</v>
      </c>
      <c r="F246" s="34">
        <f>IF(B246-'폭압 파라메터 산정'!$E$19&gt;0,B246-'폭압 파라메터 산정'!$E$19, IF(B246-'폭압 파라메터 산정'!$E$19&lt;-0.25,"none",0))</f>
        <v>8.0831769757994962</v>
      </c>
      <c r="G246" s="32">
        <f>IF(B246-'폭압 파라메터 산정'!$E$19&gt;-0.25,'폭압 파라메터 산정'!$E$14*(1-F246/'폭압 파라메터 산정'!$E$20)*EXP(-Graph!$D$3*F246/'폭압 파라메터 산정'!$E$20),0)</f>
        <v>2.1510688259722106</v>
      </c>
      <c r="H246" s="32">
        <f>IF(B246-'폭압 파라메터 산정'!$E$19&gt;-0.25,'폭압 파라메터 산정'!$E$16*(1-F246/'폭압 파라메터 산정'!$E$20)*EXP(-Graph!$D$3*F246/'폭압 파라메터 산정'!$E$20),0)</f>
        <v>4.6378685194981015</v>
      </c>
    </row>
    <row r="247" spans="2:8" x14ac:dyDescent="0.3">
      <c r="B247">
        <f t="shared" si="3"/>
        <v>60</v>
      </c>
      <c r="C247" s="33">
        <f>IF(B247-'폭압 파라메터 산정'!$C$19&gt;0,B247-'폭압 파라메터 산정'!$C$19, IF(B247-'폭압 파라메터 산정'!$C$19&lt;-0.25,"none",0))</f>
        <v>5.2941577211476556</v>
      </c>
      <c r="D247" s="32">
        <f>IF(B247-'폭압 파라메터 산정'!$C$19&gt;-0.25,'폭압 파라메터 산정'!$C$14*(1-Graph!C247/'폭압 파라메터 산정'!$C$20)*EXP(-Graph!$D$3*Graph!C247/'폭압 파라메터 산정'!$C$20),0)</f>
        <v>3.0413867638583336</v>
      </c>
      <c r="E247" s="32">
        <f>IF(B247-'폭압 파라메터 산정'!$C$19&gt;-0.25,'폭압 파라메터 산정'!$C$16*(1-Graph!C247/'폭압 파라메터 산정'!$C$20)*EXP(-Graph!$D$3*Graph!C247/'폭압 파라메터 산정'!$C$20),0)</f>
        <v>6.436356367462591</v>
      </c>
      <c r="F247" s="34">
        <f>IF(B247-'폭압 파라메터 산정'!$E$19&gt;0,B247-'폭압 파라메터 산정'!$E$19, IF(B247-'폭압 파라메터 산정'!$E$19&lt;-0.25,"none",0))</f>
        <v>8.3331769757994962</v>
      </c>
      <c r="G247" s="32">
        <f>IF(B247-'폭압 파라메터 산정'!$E$19&gt;-0.25,'폭압 파라메터 산정'!$E$14*(1-F247/'폭압 파라메터 산정'!$E$20)*EXP(-Graph!$D$3*F247/'폭압 파라메터 산정'!$E$20),0)</f>
        <v>1.97260222694404</v>
      </c>
      <c r="H247" s="32">
        <f>IF(B247-'폭압 파라메터 산정'!$E$19&gt;-0.25,'폭압 파라메터 산정'!$E$16*(1-F247/'폭압 파라메터 산정'!$E$20)*EXP(-Graph!$D$3*F247/'폭압 파라메터 산정'!$E$20),0)</f>
        <v>4.2530809146474988</v>
      </c>
    </row>
    <row r="248" spans="2:8" x14ac:dyDescent="0.3">
      <c r="B248">
        <f t="shared" si="3"/>
        <v>60.25</v>
      </c>
      <c r="C248" s="33">
        <f>IF(B248-'폭압 파라메터 산정'!$C$19&gt;0,B248-'폭압 파라메터 산정'!$C$19, IF(B248-'폭압 파라메터 산정'!$C$19&lt;-0.25,"none",0))</f>
        <v>5.5441577211476556</v>
      </c>
      <c r="D248" s="32">
        <f>IF(B248-'폭압 파라메터 산정'!$C$19&gt;-0.25,'폭압 파라메터 산정'!$C$14*(1-Graph!C248/'폭압 파라메터 산정'!$C$20)*EXP(-Graph!$D$3*Graph!C248/'폭압 파라메터 산정'!$C$20),0)</f>
        <v>2.8003673055254827</v>
      </c>
      <c r="E248" s="32">
        <f>IF(B248-'폭압 파라메터 산정'!$C$19&gt;-0.25,'폭압 파라메터 산정'!$C$16*(1-Graph!C248/'폭압 파라메터 산정'!$C$20)*EXP(-Graph!$D$3*Graph!C248/'폭압 파라메터 산정'!$C$20),0)</f>
        <v>5.9262972247855012</v>
      </c>
      <c r="F248" s="34">
        <f>IF(B248-'폭압 파라메터 산정'!$E$19&gt;0,B248-'폭압 파라메터 산정'!$E$19, IF(B248-'폭압 파라메터 산정'!$E$19&lt;-0.25,"none",0))</f>
        <v>8.5831769757994962</v>
      </c>
      <c r="G248" s="32">
        <f>IF(B248-'폭압 파라메터 산정'!$E$19&gt;-0.25,'폭압 파라메터 산정'!$E$14*(1-F248/'폭압 파라메터 산정'!$E$20)*EXP(-Graph!$D$3*F248/'폭압 파라메터 산정'!$E$20),0)</f>
        <v>1.804372837352352</v>
      </c>
      <c r="H248" s="32">
        <f>IF(B248-'폭압 파라메터 산정'!$E$19&gt;-0.25,'폭압 파라메터 산정'!$E$16*(1-F248/'폭압 파라메터 산정'!$E$20)*EXP(-Graph!$D$3*F248/'폭압 파라메터 산정'!$E$20),0)</f>
        <v>3.8903655144607874</v>
      </c>
    </row>
    <row r="249" spans="2:8" x14ac:dyDescent="0.3">
      <c r="B249">
        <f t="shared" si="3"/>
        <v>60.5</v>
      </c>
      <c r="C249" s="33">
        <f>IF(B249-'폭압 파라메터 산정'!$C$19&gt;0,B249-'폭압 파라메터 산정'!$C$19, IF(B249-'폭압 파라메터 산정'!$C$19&lt;-0.25,"none",0))</f>
        <v>5.7941577211476556</v>
      </c>
      <c r="D249" s="32">
        <f>IF(B249-'폭압 파라메터 산정'!$C$19&gt;-0.25,'폭압 파라메터 산정'!$C$14*(1-Graph!C249/'폭압 파라메터 산정'!$C$20)*EXP(-Graph!$D$3*Graph!C249/'폭압 파라메터 산정'!$C$20),0)</f>
        <v>2.5741924810668846</v>
      </c>
      <c r="E249" s="32">
        <f>IF(B249-'폭압 파라메터 산정'!$C$19&gt;-0.25,'폭압 파라메터 산정'!$C$16*(1-Graph!C249/'폭압 파라메터 산정'!$C$20)*EXP(-Graph!$D$3*Graph!C249/'폭압 파라메터 산정'!$C$20),0)</f>
        <v>5.4476531441105847</v>
      </c>
      <c r="F249" s="34">
        <f>IF(B249-'폭압 파라메터 산정'!$E$19&gt;0,B249-'폭압 파라메터 산정'!$E$19, IF(B249-'폭압 파라메터 산정'!$E$19&lt;-0.25,"none",0))</f>
        <v>8.8331769757994962</v>
      </c>
      <c r="G249" s="32">
        <f>IF(B249-'폭압 파라메터 산정'!$E$19&gt;-0.25,'폭압 파라메터 산정'!$E$14*(1-F249/'폭압 파라메터 산정'!$E$20)*EXP(-Graph!$D$3*F249/'폭압 파라메터 산정'!$E$20),0)</f>
        <v>1.6458683266316392</v>
      </c>
      <c r="H249" s="32">
        <f>IF(B249-'폭압 파라메터 산정'!$E$19&gt;-0.25,'폭압 파라메터 산정'!$E$16*(1-F249/'폭압 파라메터 산정'!$E$20)*EXP(-Graph!$D$3*F249/'폭압 파라메터 산정'!$E$20),0)</f>
        <v>3.5486176951469202</v>
      </c>
    </row>
    <row r="250" spans="2:8" x14ac:dyDescent="0.3">
      <c r="B250">
        <f t="shared" si="3"/>
        <v>60.75</v>
      </c>
      <c r="C250" s="33">
        <f>IF(B250-'폭압 파라메터 산정'!$C$19&gt;0,B250-'폭압 파라메터 산정'!$C$19, IF(B250-'폭압 파라메터 산정'!$C$19&lt;-0.25,"none",0))</f>
        <v>6.0441577211476556</v>
      </c>
      <c r="D250" s="32">
        <f>IF(B250-'폭압 파라메터 산정'!$C$19&gt;-0.25,'폭압 파라메터 산정'!$C$14*(1-Graph!C250/'폭압 파라메터 산정'!$C$20)*EXP(-Graph!$D$3*Graph!C250/'폭압 파라메터 산정'!$C$20),0)</f>
        <v>2.3620420027597424</v>
      </c>
      <c r="E250" s="32">
        <f>IF(B250-'폭압 파라메터 산정'!$C$19&gt;-0.25,'폭압 파라메터 산정'!$C$16*(1-Graph!C250/'폭압 파라메터 산정'!$C$20)*EXP(-Graph!$D$3*Graph!C250/'폭압 파라메터 산정'!$C$20),0)</f>
        <v>4.9986881857110967</v>
      </c>
      <c r="F250" s="34">
        <f>IF(B250-'폭압 파라메터 산정'!$E$19&gt;0,B250-'폭압 파라메터 산정'!$E$19, IF(B250-'폭압 파라메터 산정'!$E$19&lt;-0.25,"none",0))</f>
        <v>9.0831769757994962</v>
      </c>
      <c r="G250" s="32">
        <f>IF(B250-'폭압 파라메터 산정'!$E$19&gt;-0.25,'폭압 파라메터 산정'!$E$14*(1-F250/'폭압 파라메터 산정'!$E$20)*EXP(-Graph!$D$3*F250/'폭압 파라메터 산정'!$E$20),0)</f>
        <v>1.4966002287262867</v>
      </c>
      <c r="H250" s="32">
        <f>IF(B250-'폭압 파라메터 산정'!$E$19&gt;-0.25,'폭압 파라메터 산정'!$E$16*(1-F250/'폭압 파라메터 산정'!$E$20)*EXP(-Graph!$D$3*F250/'폭압 파라메터 산정'!$E$20),0)</f>
        <v>3.2267842866190901</v>
      </c>
    </row>
    <row r="251" spans="2:8" x14ac:dyDescent="0.3">
      <c r="B251">
        <f t="shared" si="3"/>
        <v>61</v>
      </c>
      <c r="C251" s="33">
        <f>IF(B251-'폭압 파라메터 산정'!$C$19&gt;0,B251-'폭압 파라메터 산정'!$C$19, IF(B251-'폭압 파라메터 산정'!$C$19&lt;-0.25,"none",0))</f>
        <v>6.2941577211476556</v>
      </c>
      <c r="D251" s="32">
        <f>IF(B251-'폭압 파라메터 산정'!$C$19&gt;-0.25,'폭압 파라메터 산정'!$C$14*(1-Graph!C251/'폭압 파라메터 산정'!$C$20)*EXP(-Graph!$D$3*Graph!C251/'폭압 파라메터 산정'!$C$20),0)</f>
        <v>2.1631382383394389</v>
      </c>
      <c r="E251" s="32">
        <f>IF(B251-'폭압 파라메터 산정'!$C$19&gt;-0.25,'폭압 파라메터 산정'!$C$16*(1-Graph!C251/'폭압 파라메터 산정'!$C$20)*EXP(-Graph!$D$3*Graph!C251/'폭압 파라메터 산정'!$C$20),0)</f>
        <v>4.5777566797770062</v>
      </c>
      <c r="F251" s="34">
        <f>IF(B251-'폭압 파라메터 산정'!$E$19&gt;0,B251-'폭압 파라메터 산정'!$E$19, IF(B251-'폭압 파라메터 산정'!$E$19&lt;-0.25,"none",0))</f>
        <v>9.3331769757994962</v>
      </c>
      <c r="G251" s="32">
        <f>IF(B251-'폭압 파라메터 산정'!$E$19&gt;-0.25,'폭압 파라메터 산정'!$E$14*(1-F251/'폭압 파라메터 산정'!$E$20)*EXP(-Graph!$D$3*F251/'폭압 파라메터 산정'!$E$20),0)</f>
        <v>1.3561028787200633</v>
      </c>
      <c r="H251" s="32">
        <f>IF(B251-'폭압 파라메터 산정'!$E$19&gt;-0.25,'폭압 파라메터 산정'!$E$16*(1-F251/'폭압 파라메터 산정'!$E$20)*EXP(-Graph!$D$3*F251/'폭압 파라메터 산정'!$E$20),0)</f>
        <v>2.9238612797867698</v>
      </c>
    </row>
    <row r="252" spans="2:8" x14ac:dyDescent="0.3">
      <c r="B252">
        <f t="shared" si="3"/>
        <v>61.25</v>
      </c>
      <c r="C252" s="33">
        <f>IF(B252-'폭압 파라메터 산정'!$C$19&gt;0,B252-'폭압 파라메터 산정'!$C$19, IF(B252-'폭압 파라메터 산정'!$C$19&lt;-0.25,"none",0))</f>
        <v>6.5441577211476556</v>
      </c>
      <c r="D252" s="32">
        <f>IF(B252-'폭압 파라메터 산정'!$C$19&gt;-0.25,'폭압 파라메터 산정'!$C$14*(1-Graph!C252/'폭압 파라메터 산정'!$C$20)*EXP(-Graph!$D$3*Graph!C252/'폭압 파라메터 산정'!$C$20),0)</f>
        <v>1.9767440775502489</v>
      </c>
      <c r="E252" s="32">
        <f>IF(B252-'폭압 파라메터 산정'!$C$19&gt;-0.25,'폭압 파라메터 산정'!$C$16*(1-Graph!C252/'폭압 파라메터 산정'!$C$20)*EXP(-Graph!$D$3*Graph!C252/'폭압 파라메터 산정'!$C$20),0)</f>
        <v>4.1832987114877653</v>
      </c>
      <c r="F252" s="34">
        <f>IF(B252-'폭압 파라메터 산정'!$E$19&gt;0,B252-'폭압 파라메터 산정'!$E$19, IF(B252-'폭압 파라메터 산정'!$E$19&lt;-0.25,"none",0))</f>
        <v>9.5831769757994962</v>
      </c>
      <c r="G252" s="32">
        <f>IF(B252-'폭압 파라메터 산정'!$E$19&gt;-0.25,'폭압 파라메터 산정'!$E$14*(1-F252/'폭압 파라메터 산정'!$E$20)*EXP(-Graph!$D$3*F252/'폭압 파라메터 산정'!$E$20),0)</f>
        <v>1.2239323954395018</v>
      </c>
      <c r="H252" s="32">
        <f>IF(B252-'폭압 파라메터 산정'!$E$19&gt;-0.25,'폭압 파라메터 산정'!$E$16*(1-F252/'폭압 파라메터 산정'!$E$20)*EXP(-Graph!$D$3*F252/'폭압 파라메터 산정'!$E$20),0)</f>
        <v>2.6388916329709757</v>
      </c>
    </row>
    <row r="253" spans="2:8" x14ac:dyDescent="0.3">
      <c r="B253">
        <f t="shared" si="3"/>
        <v>61.5</v>
      </c>
      <c r="C253" s="33">
        <f>IF(B253-'폭압 파라메터 산정'!$C$19&gt;0,B253-'폭압 파라메터 산정'!$C$19, IF(B253-'폭압 파라메터 산정'!$C$19&lt;-0.25,"none",0))</f>
        <v>6.7941577211476556</v>
      </c>
      <c r="D253" s="32">
        <f>IF(B253-'폭압 파라메터 산정'!$C$19&gt;-0.25,'폭압 파라메터 산정'!$C$14*(1-Graph!C253/'폭압 파라메터 산정'!$C$20)*EXP(-Graph!$D$3*Graph!C253/'폭압 파라메터 산정'!$C$20),0)</f>
        <v>1.8021609025520651</v>
      </c>
      <c r="E253" s="32">
        <f>IF(B253-'폭압 파라메터 산정'!$C$19&gt;-0.25,'폭압 파라메터 산정'!$C$16*(1-Graph!C253/'폭압 파라메터 산정'!$C$20)*EXP(-Graph!$D$3*Graph!C253/'폭압 파라메터 산정'!$C$20),0)</f>
        <v>3.8138358258711111</v>
      </c>
      <c r="F253" s="34">
        <f>IF(B253-'폭압 파라메터 산정'!$E$19&gt;0,B253-'폭압 파라메터 산정'!$E$19, IF(B253-'폭압 파라메터 산정'!$E$19&lt;-0.25,"none",0))</f>
        <v>9.8331769757994962</v>
      </c>
      <c r="G253" s="32">
        <f>IF(B253-'폭압 파라메터 산정'!$E$19&gt;-0.25,'폭압 파라메터 산정'!$E$14*(1-F253/'폭압 파라메터 산정'!$E$20)*EXP(-Graph!$D$3*F253/'폭압 파라메터 산정'!$E$20),0)</f>
        <v>1.0996657080865182</v>
      </c>
      <c r="H253" s="32">
        <f>IF(B253-'폭압 파라메터 산정'!$E$19&gt;-0.25,'폭압 파라메터 산정'!$E$16*(1-F253/'폭압 파라메터 산정'!$E$20)*EXP(-Graph!$D$3*F253/'폭압 파라메터 산정'!$E$20),0)</f>
        <v>2.3709631732499195</v>
      </c>
    </row>
    <row r="254" spans="2:8" x14ac:dyDescent="0.3">
      <c r="B254">
        <f t="shared" si="3"/>
        <v>61.75</v>
      </c>
      <c r="C254" s="33">
        <f>IF(B254-'폭압 파라메터 산정'!$C$19&gt;0,B254-'폭압 파라메터 산정'!$C$19, IF(B254-'폭압 파라메터 산정'!$C$19&lt;-0.25,"none",0))</f>
        <v>7.0441577211476556</v>
      </c>
      <c r="D254" s="32">
        <f>IF(B254-'폭압 파라메터 산정'!$C$19&gt;-0.25,'폭압 파라메터 산정'!$C$14*(1-Graph!C254/'폭압 파라메터 산정'!$C$20)*EXP(-Graph!$D$3*Graph!C254/'폭압 파라메터 산정'!$C$20),0)</f>
        <v>1.6387266572272361</v>
      </c>
      <c r="E254" s="32">
        <f>IF(B254-'폭압 파라메터 산정'!$C$19&gt;-0.25,'폭압 파라메터 산정'!$C$16*(1-Graph!C254/'폭압 파라메터 산정'!$C$20)*EXP(-Graph!$D$3*Graph!C254/'폭압 파라메터 산정'!$C$20),0)</f>
        <v>3.4679669419599355</v>
      </c>
      <c r="F254" s="34">
        <f>IF(B254-'폭압 파라메터 산정'!$E$19&gt;0,B254-'폭압 파라메터 산정'!$E$19, IF(B254-'폭압 파라메터 산정'!$E$19&lt;-0.25,"none",0))</f>
        <v>10.083176975799496</v>
      </c>
      <c r="G254" s="32">
        <f>IF(B254-'폭압 파라메터 산정'!$E$19&gt;-0.25,'폭압 파라메터 산정'!$E$14*(1-F254/'폭압 파라메터 산정'!$E$20)*EXP(-Graph!$D$3*F254/'폭압 파라메터 산정'!$E$20),0)</f>
        <v>0.98289962503651207</v>
      </c>
      <c r="H254" s="32">
        <f>IF(B254-'폭압 파라메터 산정'!$E$19&gt;-0.25,'폭압 파라메터 산정'!$E$16*(1-F254/'폭압 파라메터 산정'!$E$20)*EXP(-Graph!$D$3*F254/'폭압 파라메터 산정'!$E$20),0)</f>
        <v>2.1192065887166636</v>
      </c>
    </row>
    <row r="255" spans="2:8" x14ac:dyDescent="0.3">
      <c r="B255">
        <f t="shared" si="3"/>
        <v>62</v>
      </c>
      <c r="C255" s="33">
        <f>IF(B255-'폭압 파라메터 산정'!$C$19&gt;0,B255-'폭압 파라메터 산정'!$C$19, IF(B255-'폭압 파라메터 산정'!$C$19&lt;-0.25,"none",0))</f>
        <v>7.2941577211476556</v>
      </c>
      <c r="D255" s="32">
        <f>IF(B255-'폭압 파라메터 산정'!$C$19&gt;-0.25,'폭압 파라메터 산정'!$C$14*(1-Graph!C255/'폭압 파라메터 산정'!$C$20)*EXP(-Graph!$D$3*Graph!C255/'폭압 파라메터 산정'!$C$20),0)</f>
        <v>1.4858140106644726</v>
      </c>
      <c r="E255" s="32">
        <f>IF(B255-'폭압 파라메터 산정'!$C$19&gt;-0.25,'폭압 파라메터 산정'!$C$16*(1-Graph!C255/'폭압 파라메터 산정'!$C$20)*EXP(-Graph!$D$3*Graph!C255/'폭압 파라메터 산정'!$C$20),0)</f>
        <v>3.1443644662520334</v>
      </c>
      <c r="F255" s="34">
        <f>IF(B255-'폭압 파라메터 산정'!$E$19&gt;0,B255-'폭압 파라메터 산정'!$E$19, IF(B255-'폭압 파라메터 산정'!$E$19&lt;-0.25,"none",0))</f>
        <v>10.333176975799496</v>
      </c>
      <c r="G255" s="32">
        <f>IF(B255-'폭압 파라메터 산정'!$E$19&gt;-0.25,'폭압 파라메터 산정'!$E$14*(1-F255/'폭압 파라메터 산정'!$E$20)*EXP(-Graph!$D$3*F255/'폭압 파라메터 산정'!$E$20),0)</f>
        <v>0.87324994301578307</v>
      </c>
      <c r="H255" s="32">
        <f>IF(B255-'폭압 파라메터 산정'!$E$19&gt;-0.25,'폭압 파라메터 산정'!$E$16*(1-F255/'폭압 파라메터 산정'!$E$20)*EXP(-Graph!$D$3*F255/'폭압 파라메터 산정'!$E$20),0)</f>
        <v>1.8827935077976594</v>
      </c>
    </row>
    <row r="256" spans="2:8" x14ac:dyDescent="0.3">
      <c r="B256">
        <f t="shared" si="3"/>
        <v>62.25</v>
      </c>
      <c r="C256" s="33">
        <f>IF(B256-'폭압 파라메터 산정'!$C$19&gt;0,B256-'폭압 파라메터 산정'!$C$19, IF(B256-'폭압 파라메터 산정'!$C$19&lt;-0.25,"none",0))</f>
        <v>7.5441577211476556</v>
      </c>
      <c r="D256" s="32">
        <f>IF(B256-'폭압 파라메터 산정'!$C$19&gt;-0.25,'폭압 파라메터 산정'!$C$14*(1-Graph!C256/'폭압 파라메터 산정'!$C$20)*EXP(-Graph!$D$3*Graph!C256/'폭압 파라메터 산정'!$C$20),0)</f>
        <v>1.3428286103188916</v>
      </c>
      <c r="E256" s="32">
        <f>IF(B256-'폭압 파라메터 산정'!$C$19&gt;-0.25,'폭압 파라메터 산정'!$C$16*(1-Graph!C256/'폭압 파라메터 산정'!$C$20)*EXP(-Graph!$D$3*Graph!C256/'폭압 파라메터 산정'!$C$20),0)</f>
        <v>2.8417705959476329</v>
      </c>
      <c r="F256" s="34">
        <f>IF(B256-'폭압 파라메터 산정'!$E$19&gt;0,B256-'폭압 파라메터 산정'!$E$19, IF(B256-'폭압 파라메터 산정'!$E$19&lt;-0.25,"none",0))</f>
        <v>10.583176975799496</v>
      </c>
      <c r="G256" s="32">
        <f>IF(B256-'폭압 파라메터 산정'!$E$19&gt;-0.25,'폭압 파라메터 산정'!$E$14*(1-F256/'폭압 파라메터 산정'!$E$20)*EXP(-Graph!$D$3*F256/'폭압 파라메터 산정'!$E$20),0)</f>
        <v>0.77035059494649039</v>
      </c>
      <c r="H256" s="32">
        <f>IF(B256-'폭압 파라메터 산정'!$E$19&gt;-0.25,'폭압 파라메터 산정'!$E$16*(1-F256/'폭압 파라메터 산정'!$E$20)*EXP(-Graph!$D$3*F256/'폭압 파라메터 산정'!$E$20),0)</f>
        <v>1.6609346619414571</v>
      </c>
    </row>
    <row r="257" spans="2:8" x14ac:dyDescent="0.3">
      <c r="B257">
        <f t="shared" si="3"/>
        <v>62.5</v>
      </c>
      <c r="C257" s="33">
        <f>IF(B257-'폭압 파라메터 산정'!$C$19&gt;0,B257-'폭압 파라메터 산정'!$C$19, IF(B257-'폭압 파라메터 산정'!$C$19&lt;-0.25,"none",0))</f>
        <v>7.7941577211476556</v>
      </c>
      <c r="D257" s="32">
        <f>IF(B257-'폭압 파라메터 산정'!$C$19&gt;-0.25,'폭압 파라메터 산정'!$C$14*(1-Graph!C257/'폭압 파라메터 산정'!$C$20)*EXP(-Graph!$D$3*Graph!C257/'폭압 파라메터 산정'!$C$20),0)</f>
        <v>1.2092074205590515</v>
      </c>
      <c r="E257" s="32">
        <f>IF(B257-'폭압 파라메터 산정'!$C$19&gt;-0.25,'폭압 파라메터 산정'!$C$16*(1-Graph!C257/'폭압 파라메터 산정'!$C$20)*EXP(-Graph!$D$3*Graph!C257/'폭압 파라메터 산정'!$C$20),0)</f>
        <v>2.5589938028877377</v>
      </c>
      <c r="F257" s="34">
        <f>IF(B257-'폭압 파라메터 산정'!$E$19&gt;0,B257-'폭압 파라메터 산정'!$E$19, IF(B257-'폭압 파라메터 산정'!$E$19&lt;-0.25,"none",0))</f>
        <v>10.833176975799496</v>
      </c>
      <c r="G257" s="32">
        <f>IF(B257-'폭압 파라메터 산정'!$E$19&gt;-0.25,'폭압 파라메터 산정'!$E$14*(1-F257/'폭압 파라메터 산정'!$E$20)*EXP(-Graph!$D$3*F257/'폭압 파라메터 산정'!$E$20),0)</f>
        <v>0.67385283481871716</v>
      </c>
      <c r="H257" s="32">
        <f>IF(B257-'폭압 파라메터 산정'!$E$19&gt;-0.25,'폭압 파라메터 산정'!$E$16*(1-F257/'폭압 파라메터 산정'!$E$20)*EXP(-Graph!$D$3*F257/'폭압 파라메터 산정'!$E$20),0)</f>
        <v>1.4528781281406831</v>
      </c>
    </row>
    <row r="258" spans="2:8" x14ac:dyDescent="0.3">
      <c r="B258">
        <f t="shared" si="3"/>
        <v>62.75</v>
      </c>
      <c r="C258" s="33">
        <f>IF(B258-'폭압 파라메터 산정'!$C$19&gt;0,B258-'폭압 파라메터 산정'!$C$19, IF(B258-'폭압 파라메터 산정'!$C$19&lt;-0.25,"none",0))</f>
        <v>8.0441577211476556</v>
      </c>
      <c r="D258" s="32">
        <f>IF(B258-'폭압 파라메터 산정'!$C$19&gt;-0.25,'폭압 파라메터 산정'!$C$14*(1-Graph!C258/'폭압 파라메터 산정'!$C$20)*EXP(-Graph!$D$3*Graph!C258/'폭압 파라메터 산정'!$C$20),0)</f>
        <v>1.0844171425137368</v>
      </c>
      <c r="E258" s="32">
        <f>IF(B258-'폭압 파라메터 산정'!$C$19&gt;-0.25,'폭압 파라메터 산정'!$C$16*(1-Graph!C258/'폭압 파라메터 산정'!$C$20)*EXP(-Graph!$D$3*Graph!C258/'폭압 파라메터 산정'!$C$20),0)</f>
        <v>2.2949054895436469</v>
      </c>
      <c r="F258" s="34">
        <f>IF(B258-'폭압 파라메터 산정'!$E$19&gt;0,B258-'폭압 파라메터 산정'!$E$19, IF(B258-'폭압 파라메터 산정'!$E$19&lt;-0.25,"none",0))</f>
        <v>11.083176975799496</v>
      </c>
      <c r="G258" s="32">
        <f>IF(B258-'폭압 파라메터 산정'!$E$19&gt;-0.25,'폭압 파라메터 산정'!$E$14*(1-F258/'폭압 파라메터 산정'!$E$20)*EXP(-Graph!$D$3*F258/'폭압 파라메터 산정'!$E$20),0)</f>
        <v>0.58342445801761045</v>
      </c>
      <c r="H258" s="32">
        <f>IF(B258-'폭압 파라메터 산정'!$E$19&gt;-0.25,'폭압 파라메터 산정'!$E$16*(1-F258/'폭압 파라메터 산정'!$E$20)*EXP(-Graph!$D$3*F258/'폭압 파라메터 산정'!$E$20),0)</f>
        <v>1.257907647897861</v>
      </c>
    </row>
    <row r="259" spans="2:8" x14ac:dyDescent="0.3">
      <c r="B259">
        <f t="shared" si="3"/>
        <v>63</v>
      </c>
      <c r="C259" s="33">
        <f>IF(B259-'폭압 파라메터 산정'!$C$19&gt;0,B259-'폭압 파라메터 산정'!$C$19, IF(B259-'폭압 파라메터 산정'!$C$19&lt;-0.25,"none",0))</f>
        <v>8.2941577211476556</v>
      </c>
      <c r="D259" s="32">
        <f>IF(B259-'폭압 파라메터 산정'!$C$19&gt;-0.25,'폭압 파라메터 산정'!$C$14*(1-Graph!C259/'폭압 파라메터 산정'!$C$20)*EXP(-Graph!$D$3*Graph!C259/'폭압 파라메터 산정'!$C$20),0)</f>
        <v>0.96795271132381699</v>
      </c>
      <c r="E259" s="32">
        <f>IF(B259-'폭압 파라메터 산정'!$C$19&gt;-0.25,'폭압 파라메터 산정'!$C$16*(1-Graph!C259/'폭압 파라메터 산정'!$C$20)*EXP(-Graph!$D$3*Graph!C259/'폭압 파라메터 산정'!$C$20),0)</f>
        <v>2.0484368088155209</v>
      </c>
      <c r="F259" s="34">
        <f>IF(B259-'폭압 파라메터 산정'!$E$19&gt;0,B259-'폭압 파라메터 산정'!$E$19, IF(B259-'폭압 파라메터 산정'!$E$19&lt;-0.25,"none",0))</f>
        <v>11.333176975799496</v>
      </c>
      <c r="G259" s="32">
        <f>IF(B259-'폭압 파라메터 산정'!$E$19&gt;-0.25,'폭압 파라메터 산정'!$E$14*(1-F259/'폭압 파라메터 산정'!$E$20)*EXP(-Graph!$D$3*F259/'폭압 파라메터 산정'!$E$20),0)</f>
        <v>0.49874905559915245</v>
      </c>
      <c r="H259" s="32">
        <f>IF(B259-'폭압 파라메터 산정'!$E$19&gt;-0.25,'폭압 파라메터 산정'!$E$16*(1-F259/'폭압 파라메터 산정'!$E$20)*EXP(-Graph!$D$3*F259/'폭압 파라메터 산정'!$E$20),0)</f>
        <v>1.0753410193870758</v>
      </c>
    </row>
    <row r="260" spans="2:8" x14ac:dyDescent="0.3">
      <c r="B260">
        <f t="shared" si="3"/>
        <v>63.25</v>
      </c>
      <c r="C260" s="33">
        <f>IF(B260-'폭압 파라메터 산정'!$C$19&gt;0,B260-'폭압 파라메터 산정'!$C$19, IF(B260-'폭압 파라메터 산정'!$C$19&lt;-0.25,"none",0))</f>
        <v>8.5441577211476556</v>
      </c>
      <c r="D260" s="32">
        <f>IF(B260-'폭압 파라메터 산정'!$C$19&gt;-0.25,'폭압 파라메터 산정'!$C$14*(1-Graph!C260/'폭압 파라메터 산정'!$C$20)*EXP(-Graph!$D$3*Graph!C260/'폭압 파라메터 산정'!$C$20),0)</f>
        <v>0.8593358670880904</v>
      </c>
      <c r="E260" s="32">
        <f>IF(B260-'폭압 파라메터 산정'!$C$19&gt;-0.25,'폭압 파라메터 산정'!$C$16*(1-Graph!C260/'폭압 파라메터 산정'!$C$20)*EXP(-Graph!$D$3*Graph!C260/'폭압 파라메터 산정'!$C$20),0)</f>
        <v>1.8185756397863537</v>
      </c>
      <c r="F260" s="34">
        <f>IF(B260-'폭압 파라메터 산정'!$E$19&gt;0,B260-'폭압 파라메터 산정'!$E$19, IF(B260-'폭압 파라메터 산정'!$E$19&lt;-0.25,"none",0))</f>
        <v>11.583176975799496</v>
      </c>
      <c r="G260" s="32">
        <f>IF(B260-'폭압 파라메터 산정'!$E$19&gt;-0.25,'폭압 파라메터 산정'!$E$14*(1-F260/'폭압 파라메터 산정'!$E$20)*EXP(-Graph!$D$3*F260/'폭압 파라메터 산정'!$E$20),0)</f>
        <v>0.41952530107101277</v>
      </c>
      <c r="H260" s="32">
        <f>IF(B260-'폭압 파라메터 산정'!$E$19&gt;-0.25,'폭압 파라메터 산정'!$E$16*(1-F260/'폭압 파라메터 산정'!$E$20)*EXP(-Graph!$D$3*F260/'폭압 파라메터 산정'!$E$20),0)</f>
        <v>0.90452855969906998</v>
      </c>
    </row>
    <row r="261" spans="2:8" x14ac:dyDescent="0.3">
      <c r="B261">
        <f t="shared" si="3"/>
        <v>63.5</v>
      </c>
      <c r="C261" s="33">
        <f>IF(B261-'폭압 파라메터 산정'!$C$19&gt;0,B261-'폭압 파라메터 산정'!$C$19, IF(B261-'폭압 파라메터 산정'!$C$19&lt;-0.25,"none",0))</f>
        <v>8.7941577211476556</v>
      </c>
      <c r="D261" s="32">
        <f>IF(B261-'폭압 파라메터 산정'!$C$19&gt;-0.25,'폭압 파라메터 산정'!$C$14*(1-Graph!C261/'폭압 파라메터 산정'!$C$20)*EXP(-Graph!$D$3*Graph!C261/'폭압 파라메터 산정'!$C$20),0)</f>
        <v>0.75811379596704276</v>
      </c>
      <c r="E261" s="32">
        <f>IF(B261-'폭압 파라메터 산정'!$C$19&gt;-0.25,'폭압 파라메터 산정'!$C$16*(1-Graph!C261/'폭압 파라메터 산정'!$C$20)*EXP(-Graph!$D$3*Graph!C261/'폭압 파라메터 산정'!$C$20),0)</f>
        <v>1.6043637119481446</v>
      </c>
      <c r="F261" s="34">
        <f>IF(B261-'폭압 파라메터 산정'!$E$19&gt;0,B261-'폭압 파라메터 산정'!$E$19, IF(B261-'폭압 파라메터 산정'!$E$19&lt;-0.25,"none",0))</f>
        <v>11.833176975799496</v>
      </c>
      <c r="G261" s="32">
        <f>IF(B261-'폭압 파라메터 산정'!$E$19&gt;-0.25,'폭압 파라메터 산정'!$E$14*(1-F261/'폭압 파라메터 산정'!$E$20)*EXP(-Graph!$D$3*F261/'폭압 파라메터 산정'!$E$20),0)</f>
        <v>0.3454662682952272</v>
      </c>
      <c r="H261" s="32">
        <f>IF(B261-'폭압 파라메터 산정'!$E$19&gt;-0.25,'폭압 파라메터 산정'!$E$16*(1-F261/'폭압 파라메터 산정'!$E$20)*EXP(-Graph!$D$3*F261/'폭압 파라메터 산정'!$E$20),0)</f>
        <v>0.74485163418737499</v>
      </c>
    </row>
    <row r="262" spans="2:8" x14ac:dyDescent="0.3">
      <c r="B262">
        <f t="shared" si="3"/>
        <v>63.75</v>
      </c>
      <c r="C262" s="33">
        <f>IF(B262-'폭압 파라메터 산정'!$C$19&gt;0,B262-'폭압 파라메터 산정'!$C$19, IF(B262-'폭압 파라메터 산정'!$C$19&lt;-0.25,"none",0))</f>
        <v>9.0441577211476556</v>
      </c>
      <c r="D262" s="32">
        <f>IF(B262-'폭압 파라메터 산정'!$C$19&gt;-0.25,'폭압 파라메터 산정'!$C$14*(1-Graph!C262/'폭압 파라메터 산정'!$C$20)*EXP(-Graph!$D$3*Graph!C262/'폭압 파라메터 산정'!$C$20),0)</f>
        <v>0.66385783807536891</v>
      </c>
      <c r="E262" s="32">
        <f>IF(B262-'폭압 파라메터 산정'!$C$19&gt;-0.25,'폭압 파라메터 산정'!$C$16*(1-Graph!C262/'폭압 파라메터 산정'!$C$20)*EXP(-Graph!$D$3*Graph!C262/'폭압 파라메터 산정'!$C$20),0)</f>
        <v>1.4048938707702538</v>
      </c>
      <c r="F262" s="34">
        <f>IF(B262-'폭압 파라메터 산정'!$E$19&gt;0,B262-'폭압 파라메터 산정'!$E$19, IF(B262-'폭압 파라메터 산정'!$E$19&lt;-0.25,"none",0))</f>
        <v>12.083176975799496</v>
      </c>
      <c r="G262" s="32">
        <f>IF(B262-'폭압 파라메터 산정'!$E$19&gt;-0.25,'폭압 파라메터 산정'!$E$14*(1-F262/'폭압 파라메터 산정'!$E$20)*EXP(-Graph!$D$3*F262/'폭압 파라메터 산정'!$E$20),0)</f>
        <v>0.27629877918726975</v>
      </c>
      <c r="H262" s="32">
        <f>IF(B262-'폭압 파라메터 산정'!$E$19&gt;-0.25,'폭압 파라메터 산정'!$E$16*(1-F262/'폭압 파라메터 산정'!$E$20)*EXP(-Graph!$D$3*F262/'폭압 파라메터 산정'!$E$20),0)</f>
        <v>0.59572125005773768</v>
      </c>
    </row>
    <row r="263" spans="2:8" x14ac:dyDescent="0.3">
      <c r="B263">
        <f t="shared" si="3"/>
        <v>64</v>
      </c>
      <c r="C263" s="33">
        <f>IF(B263-'폭압 파라메터 산정'!$C$19&gt;0,B263-'폭압 파라메터 산정'!$C$19, IF(B263-'폭압 파라메터 산정'!$C$19&lt;-0.25,"none",0))</f>
        <v>9.2941577211476556</v>
      </c>
      <c r="D263" s="32">
        <f>IF(B263-'폭압 파라메터 산정'!$C$19&gt;-0.25,'폭압 파라메터 산정'!$C$14*(1-Graph!C263/'폭압 파라메터 산정'!$C$20)*EXP(-Graph!$D$3*Graph!C263/'폭압 파라메터 산정'!$C$20),0)</f>
        <v>0.57616225895320838</v>
      </c>
      <c r="E263" s="32">
        <f>IF(B263-'폭압 파라메터 산정'!$C$19&gt;-0.25,'폭압 파라메터 산정'!$C$16*(1-Graph!C263/'폭압 파라메터 산정'!$C$20)*EXP(-Graph!$D$3*Graph!C263/'폭압 파라메터 산정'!$C$20),0)</f>
        <v>1.2193074778166713</v>
      </c>
      <c r="F263" s="34">
        <f>IF(B263-'폭압 파라메터 산정'!$E$19&gt;0,B263-'폭압 파라메터 산정'!$E$19, IF(B263-'폭압 파라메터 산정'!$E$19&lt;-0.25,"none",0))</f>
        <v>12.333176975799496</v>
      </c>
      <c r="G263" s="32">
        <f>IF(B263-'폭압 파라메터 산정'!$E$19&gt;-0.25,'폭압 파라메터 산정'!$E$14*(1-F263/'폭압 파라메터 산정'!$E$20)*EXP(-Graph!$D$3*F263/'폭압 파라메터 산정'!$E$20),0)</f>
        <v>0.21176277994151299</v>
      </c>
      <c r="H263" s="32">
        <f>IF(B263-'폭압 파라메터 산정'!$E$19&gt;-0.25,'폭압 파라메터 산정'!$E$16*(1-F263/'폭압 파라메터 산정'!$E$20)*EXP(-Graph!$D$3*F263/'폭압 파라메터 산정'!$E$20),0)</f>
        <v>0.45657671146261825</v>
      </c>
    </row>
    <row r="264" spans="2:8" x14ac:dyDescent="0.3">
      <c r="B264">
        <f t="shared" si="3"/>
        <v>64.25</v>
      </c>
      <c r="C264" s="33">
        <f>IF(B264-'폭압 파라메터 산정'!$C$19&gt;0,B264-'폭압 파라메터 산정'!$C$19, IF(B264-'폭압 파라메터 산정'!$C$19&lt;-0.25,"none",0))</f>
        <v>9.5441577211476556</v>
      </c>
      <c r="D264" s="32">
        <f>IF(B264-'폭압 파라메터 산정'!$C$19&gt;-0.25,'폭압 파라메터 산정'!$C$14*(1-Graph!C264/'폭압 파라메터 산정'!$C$20)*EXP(-Graph!$D$3*Graph!C264/'폭압 파라메터 산정'!$C$20),0)</f>
        <v>0.49464308155773845</v>
      </c>
      <c r="E264" s="32">
        <f>IF(B264-'폭압 파라메터 산정'!$C$19&gt;-0.25,'폭압 파라메터 산정'!$C$16*(1-Graph!C264/'폭압 파라메터 산정'!$C$20)*EXP(-Graph!$D$3*Graph!C264/'폭압 파라메터 산정'!$C$20),0)</f>
        <v>1.0467919389399178</v>
      </c>
      <c r="F264" s="34">
        <f>IF(B264-'폭압 파라메터 산정'!$E$19&gt;0,B264-'폭압 파라메터 산정'!$E$19, IF(B264-'폭압 파라메터 산정'!$E$19&lt;-0.25,"none",0))</f>
        <v>12.583176975799496</v>
      </c>
      <c r="G264" s="32">
        <f>IF(B264-'폭압 파라메터 산정'!$E$19&gt;-0.25,'폭압 파라메터 산정'!$E$14*(1-F264/'폭압 파라메터 산정'!$E$20)*EXP(-Graph!$D$3*F264/'폭압 파라메터 산정'!$E$20),0)</f>
        <v>0.15161074456622176</v>
      </c>
      <c r="H264" s="32">
        <f>IF(B264-'폭압 파라메터 산정'!$E$19&gt;-0.25,'폭압 파라메터 산정'!$E$16*(1-F264/'폭압 파라메터 산정'!$E$20)*EXP(-Graph!$D$3*F264/'폭압 파라메터 산정'!$E$20),0)</f>
        <v>0.32688433347712487</v>
      </c>
    </row>
    <row r="265" spans="2:8" x14ac:dyDescent="0.3">
      <c r="B265">
        <f t="shared" ref="B265:B328" si="4">B264+0.25</f>
        <v>64.5</v>
      </c>
      <c r="C265" s="33">
        <f>IF(B265-'폭압 파라메터 산정'!$C$19&gt;0,B265-'폭압 파라메터 산정'!$C$19, IF(B265-'폭압 파라메터 산정'!$C$19&lt;-0.25,"none",0))</f>
        <v>9.7941577211476556</v>
      </c>
      <c r="D265" s="32">
        <f>IF(B265-'폭압 파라메터 산정'!$C$19&gt;-0.25,'폭압 파라메터 산정'!$C$14*(1-Graph!C265/'폭압 파라메터 산정'!$C$20)*EXP(-Graph!$D$3*Graph!C265/'폭압 파라메터 산정'!$C$20),0)</f>
        <v>0.41893697586140349</v>
      </c>
      <c r="E265" s="32">
        <f>IF(B265-'폭압 파라메터 산정'!$C$19&gt;-0.25,'폭압 파라메터 산정'!$C$16*(1-Graph!C265/'폭압 파라메터 산정'!$C$20)*EXP(-Graph!$D$3*Graph!C265/'폭압 파라메터 산정'!$C$20),0)</f>
        <v>0.88657835438540245</v>
      </c>
      <c r="F265" s="34">
        <f>IF(B265-'폭압 파라메터 산정'!$E$19&gt;0,B265-'폭압 파라메터 산정'!$E$19, IF(B265-'폭압 파라메터 산정'!$E$19&lt;-0.25,"none",0))</f>
        <v>12.833176975799496</v>
      </c>
      <c r="G265" s="32">
        <f>IF(B265-'폭압 파라메터 산정'!$E$19&gt;-0.25,'폭압 파라메터 산정'!$E$14*(1-F265/'폭압 파라메터 산정'!$E$20)*EXP(-Graph!$D$3*F265/'폭압 파라메터 산정'!$E$20),0)</f>
        <v>9.5607104562178122E-2</v>
      </c>
      <c r="H265" s="32">
        <f>IF(B265-'폭압 파라메터 산정'!$E$19&gt;-0.25,'폭압 파라메터 산정'!$E$16*(1-F265/'폭압 파라메터 산정'!$E$20)*EXP(-Graph!$D$3*F265/'폭압 파라메터 산정'!$E$20),0)</f>
        <v>0.20613621244261277</v>
      </c>
    </row>
    <row r="266" spans="2:8" x14ac:dyDescent="0.3">
      <c r="B266">
        <f t="shared" si="4"/>
        <v>64.75</v>
      </c>
      <c r="C266" s="33">
        <f>IF(B266-'폭압 파라메터 산정'!$C$19&gt;0,B266-'폭압 파라메터 산정'!$C$19, IF(B266-'폭압 파라메터 산정'!$C$19&lt;-0.25,"none",0))</f>
        <v>10.044157721147656</v>
      </c>
      <c r="D266" s="32">
        <f>IF(B266-'폭압 파라메터 산정'!$C$19&gt;-0.25,'폭압 파라메터 산정'!$C$14*(1-Graph!C266/'폭압 파라메터 산정'!$C$20)*EXP(-Graph!$D$3*Graph!C266/'폭압 파라메터 산정'!$C$20),0)</f>
        <v>0.34870020328093304</v>
      </c>
      <c r="E266" s="32">
        <f>IF(B266-'폭압 파라메터 산정'!$C$19&gt;-0.25,'폭압 파라메터 산정'!$C$16*(1-Graph!C266/'폭압 파라메터 산정'!$C$20)*EXP(-Graph!$D$3*Graph!C266/'폭압 파라메터 산정'!$C$20),0)</f>
        <v>0.73793928493182404</v>
      </c>
      <c r="F266" s="34">
        <f>IF(B266-'폭압 파라메터 산정'!$E$19&gt;0,B266-'폭압 파라메터 산정'!$E$19, IF(B266-'폭압 파라메터 산정'!$E$19&lt;-0.25,"none",0))</f>
        <v>13.083176975799496</v>
      </c>
      <c r="G266" s="32">
        <f>IF(B266-'폭압 파라메터 산정'!$E$19&gt;-0.25,'폭압 파라메터 산정'!$E$14*(1-F266/'폭압 파라메터 산정'!$E$20)*EXP(-Graph!$D$3*F266/'폭압 파라메터 산정'!$E$20),0)</f>
        <v>4.3527703627887472E-2</v>
      </c>
      <c r="H266" s="32">
        <f>IF(B266-'폭압 파라메터 산정'!$E$19&gt;-0.25,'폭압 파라메터 산정'!$E$16*(1-F266/'폭압 파라메터 산정'!$E$20)*EXP(-Graph!$D$3*F266/'폭압 파라메터 산정'!$E$20),0)</f>
        <v>9.384905026950105E-2</v>
      </c>
    </row>
    <row r="267" spans="2:8" x14ac:dyDescent="0.3">
      <c r="B267">
        <f t="shared" si="4"/>
        <v>65</v>
      </c>
      <c r="C267" s="33">
        <f>IF(B267-'폭압 파라메터 산정'!$C$19&gt;0,B267-'폭압 파라메터 산정'!$C$19, IF(B267-'폭압 파라메터 산정'!$C$19&lt;-0.25,"none",0))</f>
        <v>10.294157721147656</v>
      </c>
      <c r="D267" s="32">
        <f>IF(B267-'폭압 파라메터 산정'!$C$19&gt;-0.25,'폭압 파라메터 산정'!$C$14*(1-Graph!C267/'폭압 파라메터 산정'!$C$20)*EXP(-Graph!$D$3*Graph!C267/'폭압 파라메터 산정'!$C$20),0)</f>
        <v>0.28360761329273082</v>
      </c>
      <c r="E267" s="32">
        <f>IF(B267-'폭압 파라메터 산정'!$C$19&gt;-0.25,'폭압 파라메터 산정'!$C$16*(1-Graph!C267/'폭압 파라메터 산정'!$C$20)*EXP(-Graph!$D$3*Graph!C267/'폭압 파라메터 산정'!$C$20),0)</f>
        <v>0.60018662847135418</v>
      </c>
      <c r="F267" s="34">
        <f>IF(B267-'폭압 파라메터 산정'!$E$19&gt;0,B267-'폭압 파라메터 산정'!$E$19, IF(B267-'폭압 파라메터 산정'!$E$19&lt;-0.25,"none",0))</f>
        <v>13.333176975799496</v>
      </c>
      <c r="G267" s="32">
        <f>IF(B267-'폭압 파라메터 산정'!$E$19&gt;-0.25,'폭압 파라메터 산정'!$E$14*(1-F267/'폭압 파라메터 산정'!$E$20)*EXP(-Graph!$D$3*F267/'폭압 파라메터 산정'!$E$20),0)</f>
        <v>-4.8407236788516354E-3</v>
      </c>
      <c r="H267" s="32">
        <f>IF(B267-'폭압 파라메터 산정'!$E$19&gt;-0.25,'폭압 파라메터 산정'!$E$16*(1-F267/'폭압 파라메터 산정'!$E$20)*EXP(-Graph!$D$3*F267/'폭압 파라메터 산정'!$E$20),0)</f>
        <v>-1.0436969608161236E-2</v>
      </c>
    </row>
    <row r="268" spans="2:8" x14ac:dyDescent="0.3">
      <c r="B268">
        <f t="shared" si="4"/>
        <v>65.25</v>
      </c>
      <c r="C268" s="33">
        <f>IF(B268-'폭압 파라메터 산정'!$C$19&gt;0,B268-'폭압 파라메터 산정'!$C$19, IF(B268-'폭압 파라메터 산정'!$C$19&lt;-0.25,"none",0))</f>
        <v>10.544157721147656</v>
      </c>
      <c r="D268" s="32">
        <f>IF(B268-'폭압 파라메터 산정'!$C$19&gt;-0.25,'폭압 파라메터 산정'!$C$14*(1-Graph!C268/'폭압 파라메터 산정'!$C$20)*EXP(-Graph!$D$3*Graph!C268/'폭압 파라메터 산정'!$C$20),0)</f>
        <v>0.22335168971552596</v>
      </c>
      <c r="E268" s="32">
        <f>IF(B268-'폭압 파라메터 산정'!$C$19&gt;-0.25,'폭압 파라메터 산정'!$C$16*(1-Graph!C268/'폭압 파라메터 산정'!$C$20)*EXP(-Graph!$D$3*Graph!C268/'폭압 파라메터 산정'!$C$20),0)</f>
        <v>0.47266960169851513</v>
      </c>
      <c r="F268" s="34">
        <f>IF(B268-'폭압 파라메터 산정'!$E$19&gt;0,B268-'폭압 파라메터 산정'!$E$19, IF(B268-'폭압 파라메터 산정'!$E$19&lt;-0.25,"none",0))</f>
        <v>13.583176975799496</v>
      </c>
      <c r="G268" s="32">
        <f>IF(B268-'폭압 파라메터 산정'!$E$19&gt;-0.25,'폭압 파라메터 산정'!$E$14*(1-F268/'폭압 파라메터 산정'!$E$20)*EXP(-Graph!$D$3*F268/'폭압 파라메터 산정'!$E$20),0)</f>
        <v>-4.9701050348333067E-2</v>
      </c>
      <c r="H268" s="32">
        <f>IF(B268-'폭압 파라메터 산정'!$E$19&gt;-0.25,'폭압 파라메터 산정'!$E$16*(1-F268/'폭압 파라메터 산정'!$E$20)*EXP(-Graph!$D$3*F268/'폭압 파라메터 산정'!$E$20),0)</f>
        <v>-0.10715925683704829</v>
      </c>
    </row>
    <row r="269" spans="2:8" x14ac:dyDescent="0.3">
      <c r="B269">
        <f t="shared" si="4"/>
        <v>65.5</v>
      </c>
      <c r="C269" s="33">
        <f>IF(B269-'폭압 파라메터 산정'!$C$19&gt;0,B269-'폭압 파라메터 산정'!$C$19, IF(B269-'폭압 파라메터 산정'!$C$19&lt;-0.25,"none",0))</f>
        <v>10.794157721147656</v>
      </c>
      <c r="D269" s="32">
        <f>IF(B269-'폭압 파라메터 산정'!$C$19&gt;-0.25,'폭압 파라메터 산정'!$C$14*(1-Graph!C269/'폭압 파라메터 산정'!$C$20)*EXP(-Graph!$D$3*Graph!C269/'폭압 파라메터 산정'!$C$20),0)</f>
        <v>0.16764164426062175</v>
      </c>
      <c r="E269" s="32">
        <f>IF(B269-'폭압 파라메터 산정'!$C$19&gt;-0.25,'폭압 파라메터 산정'!$C$16*(1-Graph!C269/'폭압 파라메터 산정'!$C$20)*EXP(-Graph!$D$3*Graph!C269/'폭압 파라메터 산정'!$C$20),0)</f>
        <v>0.35477282182944714</v>
      </c>
      <c r="F269" s="34">
        <f>IF(B269-'폭압 파라메터 산정'!$E$19&gt;0,B269-'폭압 파라메터 산정'!$E$19, IF(B269-'폭압 파라메터 산정'!$E$19&lt;-0.25,"none",0))</f>
        <v>13.833176975799496</v>
      </c>
      <c r="G269" s="32">
        <f>IF(B269-'폭압 파라메터 산정'!$E$19&gt;-0.25,'폭압 파라메터 산정'!$E$14*(1-F269/'폭압 파라메터 산정'!$E$20)*EXP(-Graph!$D$3*F269/'폭압 파라메터 산정'!$E$20),0)</f>
        <v>-9.1246233377554803E-2</v>
      </c>
      <c r="H269" s="32">
        <f>IF(B269-'폭압 파라메터 산정'!$E$19&gt;-0.25,'폭압 파라메터 산정'!$E$16*(1-F269/'폭압 파라메터 산정'!$E$20)*EXP(-Graph!$D$3*F269/'폭압 파라메터 산정'!$E$20),0)</f>
        <v>-0.19673384142567896</v>
      </c>
    </row>
    <row r="270" spans="2:8" x14ac:dyDescent="0.3">
      <c r="B270">
        <f t="shared" si="4"/>
        <v>65.75</v>
      </c>
      <c r="C270" s="33">
        <f>IF(B270-'폭압 파라메터 산정'!$C$19&gt;0,B270-'폭압 파라메터 산정'!$C$19, IF(B270-'폭압 파라메터 산정'!$C$19&lt;-0.25,"none",0))</f>
        <v>11.044157721147656</v>
      </c>
      <c r="D270" s="32">
        <f>IF(B270-'폭압 파라메터 산정'!$C$19&gt;-0.25,'폭압 파라메터 산정'!$C$14*(1-Graph!C270/'폭압 파라메터 산정'!$C$20)*EXP(-Graph!$D$3*Graph!C270/'폭압 파라메터 산정'!$C$20),0)</f>
        <v>0.1162025550639231</v>
      </c>
      <c r="E270" s="32">
        <f>IF(B270-'폭압 파라메터 산정'!$C$19&gt;-0.25,'폭압 파라메터 산정'!$C$16*(1-Graph!C270/'폭압 파라메터 산정'!$C$20)*EXP(-Graph!$D$3*Graph!C270/'폭압 파라메터 산정'!$C$20),0)</f>
        <v>0.24591448351418602</v>
      </c>
      <c r="F270" s="34">
        <f>IF(B270-'폭압 파라메터 산정'!$E$19&gt;0,B270-'폭압 파라메터 산정'!$E$19, IF(B270-'폭압 파라메터 산정'!$E$19&lt;-0.25,"none",0))</f>
        <v>14.083176975799496</v>
      </c>
      <c r="G270" s="32">
        <f>IF(B270-'폭압 파라메터 산정'!$E$19&gt;-0.25,'폭압 파라메터 산정'!$E$14*(1-F270/'폭압 파라메터 산정'!$E$20)*EXP(-Graph!$D$3*F270/'폭압 파라메터 산정'!$E$20),0)</f>
        <v>-0.12965976922108105</v>
      </c>
      <c r="H270" s="32">
        <f>IF(B270-'폭압 파라메터 산정'!$E$19&gt;-0.25,'폭압 파라메터 산정'!$E$16*(1-F270/'폭압 파라메터 산정'!$E$20)*EXP(-Graph!$D$3*F270/'폭압 파라메터 산정'!$E$20),0)</f>
        <v>-0.27955635573122717</v>
      </c>
    </row>
    <row r="271" spans="2:8" x14ac:dyDescent="0.3">
      <c r="B271">
        <f t="shared" si="4"/>
        <v>66</v>
      </c>
      <c r="C271" s="33">
        <f>IF(B271-'폭압 파라메터 산정'!$C$19&gt;0,B271-'폭압 파라메터 산정'!$C$19, IF(B271-'폭압 파라메터 산정'!$C$19&lt;-0.25,"none",0))</f>
        <v>11.294157721147656</v>
      </c>
      <c r="D271" s="32">
        <f>IF(B271-'폭압 파라메터 산정'!$C$19&gt;-0.25,'폭압 파라메터 산정'!$C$14*(1-Graph!C271/'폭압 파라메터 산정'!$C$20)*EXP(-Graph!$D$3*Graph!C271/'폭압 파라메터 산정'!$C$20),0)</f>
        <v>6.8774548022474374E-2</v>
      </c>
      <c r="E271" s="32">
        <f>IF(B271-'폭압 파라메터 산정'!$C$19&gt;-0.25,'폭압 파라메터 산정'!$C$16*(1-Graph!C271/'폭압 파라메터 산정'!$C$20)*EXP(-Graph!$D$3*Graph!C271/'폭압 파라메터 산정'!$C$20),0)</f>
        <v>0.14554462633428933</v>
      </c>
      <c r="F271" s="34">
        <f>IF(B271-'폭압 파라메터 산정'!$E$19&gt;0,B271-'폭압 파라메터 산정'!$E$19, IF(B271-'폭압 파라메터 산정'!$E$19&lt;-0.25,"none",0))</f>
        <v>14.333176975799496</v>
      </c>
      <c r="G271" s="32">
        <f>IF(B271-'폭압 파라메터 산정'!$E$19&gt;-0.25,'폭압 파라메터 산정'!$E$14*(1-F271/'폭압 파라메터 산정'!$E$20)*EXP(-Graph!$D$3*F271/'폭압 파라메터 산정'!$E$20),0)</f>
        <v>-0.16511612913559862</v>
      </c>
      <c r="H271" s="32">
        <f>IF(B271-'폭압 파라메터 산정'!$E$19&gt;-0.25,'폭압 파라메터 산정'!$E$16*(1-F271/'폭압 파라메터 산정'!$E$20)*EXP(-Graph!$D$3*F271/'폭압 파라메터 산정'!$E$20),0)</f>
        <v>-0.35600297309560336</v>
      </c>
    </row>
    <row r="272" spans="2:8" x14ac:dyDescent="0.3">
      <c r="B272">
        <f t="shared" si="4"/>
        <v>66.25</v>
      </c>
      <c r="C272" s="33">
        <f>IF(B272-'폭압 파라메터 산정'!$C$19&gt;0,B272-'폭압 파라메터 산정'!$C$19, IF(B272-'폭압 파라메터 산정'!$C$19&lt;-0.25,"none",0))</f>
        <v>11.544157721147656</v>
      </c>
      <c r="D272" s="32">
        <f>IF(B272-'폭압 파라메터 산정'!$C$19&gt;-0.25,'폭압 파라메터 산정'!$C$14*(1-Graph!C272/'폭압 파라메터 산정'!$C$20)*EXP(-Graph!$D$3*Graph!C272/'폭압 파라메터 산정'!$C$20),0)</f>
        <v>2.5112018861671911E-2</v>
      </c>
      <c r="E272" s="32">
        <f>IF(B272-'폭압 파라메터 산정'!$C$19&gt;-0.25,'폭압 파라메터 산정'!$C$16*(1-Graph!C272/'폭압 파라메터 산정'!$C$20)*EXP(-Graph!$D$3*Graph!C272/'폭압 파라메터 산정'!$C$20),0)</f>
        <v>5.3143488497042507E-2</v>
      </c>
      <c r="F272" s="34">
        <f>IF(B272-'폭압 파라메터 산정'!$E$19&gt;0,B272-'폭압 파라메터 산정'!$E$19, IF(B272-'폭압 파라메터 산정'!$E$19&lt;-0.25,"none",0))</f>
        <v>14.583176975799496</v>
      </c>
      <c r="G272" s="32">
        <f>IF(B272-'폭압 파라메터 산정'!$E$19&gt;-0.25,'폭압 파라메터 산정'!$E$14*(1-F272/'폭압 파라메터 산정'!$E$20)*EXP(-Graph!$D$3*F272/'폭압 파라메터 산정'!$E$20),0)</f>
        <v>-0.19778117528172426</v>
      </c>
      <c r="H272" s="32">
        <f>IF(B272-'폭압 파라메터 산정'!$E$19&gt;-0.25,'폭압 파라메터 산정'!$E$16*(1-F272/'폭압 파라메터 산정'!$E$20)*EXP(-Graph!$D$3*F272/'폭압 파라메터 산정'!$E$20),0)</f>
        <v>-0.42643130499269999</v>
      </c>
    </row>
    <row r="273" spans="2:8" x14ac:dyDescent="0.3">
      <c r="B273">
        <f t="shared" si="4"/>
        <v>66.5</v>
      </c>
      <c r="C273" s="33">
        <f>IF(B273-'폭압 파라메터 산정'!$C$19&gt;0,B273-'폭압 파라메터 산정'!$C$19, IF(B273-'폭압 파라메터 산정'!$C$19&lt;-0.25,"none",0))</f>
        <v>11.794157721147656</v>
      </c>
      <c r="D273" s="32">
        <f>IF(B273-'폭압 파라메터 산정'!$C$19&gt;-0.25,'폭압 파라메터 산정'!$C$14*(1-Graph!C273/'폭압 파라메터 산정'!$C$20)*EXP(-Graph!$D$3*Graph!C273/'폭압 파라메터 산정'!$C$20),0)</f>
        <v>-1.5017106042066684E-2</v>
      </c>
      <c r="E273" s="32">
        <f>IF(B273-'폭압 파라메터 산정'!$C$19&gt;-0.25,'폭압 파라메터 산정'!$C$16*(1-Graph!C273/'폭압 파라메터 산정'!$C$20)*EXP(-Graph!$D$3*Graph!C273/'폭압 파라메터 산정'!$C$20),0)</f>
        <v>-3.1780057453823722E-2</v>
      </c>
      <c r="F273" s="34">
        <f>IF(B273-'폭압 파라메터 산정'!$E$19&gt;0,B273-'폭압 파라메터 산정'!$E$19, IF(B273-'폭압 파라메터 산정'!$E$19&lt;-0.25,"none",0))</f>
        <v>14.833176975799496</v>
      </c>
      <c r="G273" s="32">
        <f>IF(B273-'폭압 파라메터 산정'!$E$19&gt;-0.25,'폭압 파라메터 산정'!$E$14*(1-F273/'폭압 파라메터 산정'!$E$20)*EXP(-Graph!$D$3*F273/'폭압 파라메터 산정'!$E$20),0)</f>
        <v>-0.22781255841024334</v>
      </c>
      <c r="H273" s="32">
        <f>IF(B273-'폭압 파라메터 산정'!$E$19&gt;-0.25,'폭압 파라메터 산정'!$E$16*(1-F273/'폭압 파라메터 산정'!$E$20)*EXP(-Graph!$D$3*F273/'폭압 파라메터 산정'!$E$20),0)</f>
        <v>-0.49118125847026683</v>
      </c>
    </row>
    <row r="274" spans="2:8" x14ac:dyDescent="0.3">
      <c r="B274">
        <f t="shared" si="4"/>
        <v>66.75</v>
      </c>
      <c r="C274" s="33">
        <f>IF(B274-'폭압 파라메터 산정'!$C$19&gt;0,B274-'폭압 파라메터 산정'!$C$19, IF(B274-'폭압 파라메터 산정'!$C$19&lt;-0.25,"none",0))</f>
        <v>12.044157721147656</v>
      </c>
      <c r="D274" s="32">
        <f>IF(B274-'폭압 파라메터 산정'!$C$19&gt;-0.25,'폭압 파라메터 산정'!$C$14*(1-Graph!C274/'폭압 파라메터 산정'!$C$20)*EXP(-Graph!$D$3*Graph!C274/'폭압 파라메터 산정'!$C$20),0)</f>
        <v>-5.1832071964410566E-2</v>
      </c>
      <c r="E274" s="32">
        <f>IF(B274-'폭압 파라메터 산정'!$C$19&gt;-0.25,'폭압 파라메터 산정'!$C$16*(1-Graph!C274/'폭압 파라메터 산정'!$C$20)*EXP(-Graph!$D$3*Graph!C274/'폭압 파라메터 산정'!$C$20),0)</f>
        <v>-0.10968999089207997</v>
      </c>
      <c r="F274" s="34">
        <f>IF(B274-'폭압 파라메터 산정'!$E$19&gt;0,B274-'폭압 파라메터 산정'!$E$19, IF(B274-'폭압 파라메터 산정'!$E$19&lt;-0.25,"none",0))</f>
        <v>15.083176975799496</v>
      </c>
      <c r="G274" s="32">
        <f>IF(B274-'폭압 파라메터 산정'!$E$19&gt;-0.25,'폭압 파라메터 산정'!$E$14*(1-F274/'폭압 파라메터 산정'!$E$20)*EXP(-Graph!$D$3*F274/'폭압 파라메터 산정'!$E$20),0)</f>
        <v>-0.25536009792514719</v>
      </c>
      <c r="H274" s="32">
        <f>IF(B274-'폭압 파라메터 산정'!$E$19&gt;-0.25,'폭압 파라메터 산정'!$E$16*(1-F274/'폭압 파라메터 산정'!$E$20)*EXP(-Graph!$D$3*F274/'폭압 파라메터 산정'!$E$20),0)</f>
        <v>-0.55057585559481892</v>
      </c>
    </row>
    <row r="275" spans="2:8" x14ac:dyDescent="0.3">
      <c r="B275">
        <f t="shared" si="4"/>
        <v>67</v>
      </c>
      <c r="C275" s="33">
        <f>IF(B275-'폭압 파라메터 산정'!$C$19&gt;0,B275-'폭압 파라메터 산정'!$C$19, IF(B275-'폭압 파라메터 산정'!$C$19&lt;-0.25,"none",0))</f>
        <v>12.294157721147656</v>
      </c>
      <c r="D275" s="32">
        <f>IF(B275-'폭압 파라메터 산정'!$C$19&gt;-0.25,'폭압 파라메터 산정'!$C$14*(1-Graph!C275/'폭압 파라메터 산정'!$C$20)*EXP(-Graph!$D$3*Graph!C275/'폭압 파라메터 산정'!$C$20),0)</f>
        <v>-8.5539963053669135E-2</v>
      </c>
      <c r="E275" s="32">
        <f>IF(B275-'폭압 파라메터 산정'!$C$19&gt;-0.25,'폭압 파라메터 산정'!$C$16*(1-Graph!C275/'폭압 파라메터 산정'!$C$20)*EXP(-Graph!$D$3*Graph!C275/'폭압 파라메터 산정'!$C$20),0)</f>
        <v>-0.18102455511923943</v>
      </c>
      <c r="F275" s="34">
        <f>IF(B275-'폭압 파라메터 산정'!$E$19&gt;0,B275-'폭압 파라메터 산정'!$E$19, IF(B275-'폭압 파라메터 산정'!$E$19&lt;-0.25,"none",0))</f>
        <v>15.333176975799496</v>
      </c>
      <c r="G275" s="32">
        <f>IF(B275-'폭압 파라메터 산정'!$E$19&gt;-0.25,'폭압 파라메터 산정'!$E$14*(1-F275/'폭압 파라메터 산정'!$E$20)*EXP(-Graph!$D$3*F275/'폭압 파라메터 산정'!$E$20),0)</f>
        <v>-0.28056614508241629</v>
      </c>
      <c r="H275" s="32">
        <f>IF(B275-'폭압 파라메터 산정'!$E$19&gt;-0.25,'폭압 파라메터 산정'!$E$16*(1-F275/'폭압 파라메터 산정'!$E$20)*EXP(-Graph!$D$3*F275/'폭압 파라메터 산정'!$E$20),0)</f>
        <v>-0.60492201653592548</v>
      </c>
    </row>
    <row r="276" spans="2:8" x14ac:dyDescent="0.3">
      <c r="B276">
        <f t="shared" si="4"/>
        <v>67.25</v>
      </c>
      <c r="C276" s="33">
        <f>IF(B276-'폭압 파라메터 산정'!$C$19&gt;0,B276-'폭압 파라메터 산정'!$C$19, IF(B276-'폭압 파라메터 산정'!$C$19&lt;-0.25,"none",0))</f>
        <v>12.544157721147656</v>
      </c>
      <c r="D276" s="32">
        <f>IF(B276-'폭압 파라메터 산정'!$C$19&gt;-0.25,'폭압 파라메터 산정'!$C$14*(1-Graph!C276/'폭압 파라메터 산정'!$C$20)*EXP(-Graph!$D$3*Graph!C276/'폭압 파라메터 산정'!$C$20),0)</f>
        <v>-0.11633633617506171</v>
      </c>
      <c r="E276" s="32">
        <f>IF(B276-'폭압 파라메터 산정'!$C$19&gt;-0.25,'폭압 파라메터 산정'!$C$16*(1-Graph!C276/'폭압 파라메터 산정'!$C$20)*EXP(-Graph!$D$3*Graph!C276/'폭압 파라메터 산정'!$C$20),0)</f>
        <v>-0.24619759874200103</v>
      </c>
      <c r="F276" s="34">
        <f>IF(B276-'폭압 파라메터 산정'!$E$19&gt;0,B276-'폭압 파라메터 산정'!$E$19, IF(B276-'폭압 파라메터 산정'!$E$19&lt;-0.25,"none",0))</f>
        <v>15.583176975799496</v>
      </c>
      <c r="G276" s="32">
        <f>IF(B276-'폭압 파라메터 산정'!$E$19&gt;-0.25,'폭압 파라메터 산정'!$E$14*(1-F276/'폭압 파라메터 산정'!$E$20)*EXP(-Graph!$D$3*F276/'폭압 파라메터 산정'!$E$20),0)</f>
        <v>-0.3035659300515085</v>
      </c>
      <c r="H276" s="32">
        <f>IF(B276-'폭압 파라메터 산정'!$E$19&gt;-0.25,'폭압 파라메터 산정'!$E$16*(1-F276/'폭압 파라메터 산정'!$E$20)*EXP(-Graph!$D$3*F276/'폭압 파라메터 산정'!$E$20),0)</f>
        <v>-0.65451130785726064</v>
      </c>
    </row>
    <row r="277" spans="2:8" x14ac:dyDescent="0.3">
      <c r="B277">
        <f t="shared" si="4"/>
        <v>67.5</v>
      </c>
      <c r="C277" s="33">
        <f>IF(B277-'폭압 파라메터 산정'!$C$19&gt;0,B277-'폭압 파라메터 산정'!$C$19, IF(B277-'폭압 파라메터 산정'!$C$19&lt;-0.25,"none",0))</f>
        <v>12.794157721147656</v>
      </c>
      <c r="D277" s="32">
        <f>IF(B277-'폭압 파라메터 산정'!$C$19&gt;-0.25,'폭압 파라메터 산정'!$C$14*(1-Graph!C277/'폭압 파라메터 산정'!$C$20)*EXP(-Graph!$D$3*Graph!C277/'폭압 파라메터 산정'!$C$20),0)</f>
        <v>-0.14440582300363139</v>
      </c>
      <c r="E277" s="32">
        <f>IF(B277-'폭압 파라메터 산정'!$C$19&gt;-0.25,'폭압 파라메터 산정'!$C$16*(1-Graph!C277/'폭압 파라메터 산정'!$C$20)*EXP(-Graph!$D$3*Graph!C277/'폭압 파라메터 산정'!$C$20),0)</f>
        <v>-0.30559984985566013</v>
      </c>
      <c r="F277" s="34">
        <f>IF(B277-'폭압 파라메터 산정'!$E$19&gt;0,B277-'폭압 파라메터 산정'!$E$19, IF(B277-'폭압 파라메터 산정'!$E$19&lt;-0.25,"none",0))</f>
        <v>15.833176975799496</v>
      </c>
      <c r="G277" s="32">
        <f>IF(B277-'폭압 파라메터 산정'!$E$19&gt;-0.25,'폭압 파라메터 산정'!$E$14*(1-F277/'폭압 파라메터 산정'!$E$20)*EXP(-Graph!$D$3*F277/'폭압 파라메터 산정'!$E$20),0)</f>
        <v>-0.32448789353581081</v>
      </c>
      <c r="H277" s="32">
        <f>IF(B277-'폭압 파라메터 산정'!$E$19&gt;-0.25,'폭압 파라메터 산정'!$E$16*(1-F277/'폭압 파라메터 산정'!$E$20)*EXP(-Graph!$D$3*F277/'폭압 파라메터 산정'!$E$20),0)</f>
        <v>-0.69962065751560021</v>
      </c>
    </row>
    <row r="278" spans="2:8" x14ac:dyDescent="0.3">
      <c r="B278">
        <f t="shared" si="4"/>
        <v>67.75</v>
      </c>
      <c r="C278" s="33">
        <f>IF(B278-'폭압 파라메터 산정'!$C$19&gt;0,B278-'폭압 파라메터 산정'!$C$19, IF(B278-'폭압 파라메터 산정'!$C$19&lt;-0.25,"none",0))</f>
        <v>13.044157721147656</v>
      </c>
      <c r="D278" s="32">
        <f>IF(B278-'폭압 파라메터 산정'!$C$19&gt;-0.25,'폭압 파라메터 산정'!$C$14*(1-Graph!C278/'폭압 파라메터 산정'!$C$20)*EXP(-Graph!$D$3*Graph!C278/'폭압 파라메터 산정'!$C$20),0)</f>
        <v>-0.16992270191316666</v>
      </c>
      <c r="E278" s="32">
        <f>IF(B278-'폭압 파라메터 산정'!$C$19&gt;-0.25,'폭압 파라메터 산정'!$C$16*(1-Graph!C278/'폭압 파라메터 산정'!$C$20)*EXP(-Graph!$D$3*Graph!C278/'폭압 파라메터 산정'!$C$20),0)</f>
        <v>-0.35960012630810578</v>
      </c>
      <c r="F278" s="34">
        <f>IF(B278-'폭압 파라메터 산정'!$E$19&gt;0,B278-'폭압 파라메터 산정'!$E$19, IF(B278-'폭압 파라메터 산정'!$E$19&lt;-0.25,"none",0))</f>
        <v>16.083176975799496</v>
      </c>
      <c r="G278" s="32">
        <f>IF(B278-'폭압 파라메터 산정'!$E$19&gt;-0.25,'폭압 파라메터 산정'!$E$14*(1-F278/'폭압 파라메터 산정'!$E$20)*EXP(-Graph!$D$3*F278/'폭압 파라메터 산정'!$E$20),0)</f>
        <v>-0.34345400361892287</v>
      </c>
      <c r="H278" s="32">
        <f>IF(B278-'폭압 파라메터 산정'!$E$19&gt;-0.25,'폭압 파라메터 산정'!$E$16*(1-F278/'폭압 파라메터 산정'!$E$20)*EXP(-Graph!$D$3*F278/'폭압 파라메터 산정'!$E$20),0)</f>
        <v>-0.74051303800558521</v>
      </c>
    </row>
    <row r="279" spans="2:8" x14ac:dyDescent="0.3">
      <c r="B279">
        <f t="shared" si="4"/>
        <v>68</v>
      </c>
      <c r="C279" s="33">
        <f>IF(B279-'폭압 파라메터 산정'!$C$19&gt;0,B279-'폭압 파라메터 산정'!$C$19, IF(B279-'폭압 파라메터 산정'!$C$19&lt;-0.25,"none",0))</f>
        <v>13.294157721147656</v>
      </c>
      <c r="D279" s="32">
        <f>IF(B279-'폭압 파라메터 산정'!$C$19&gt;-0.25,'폭압 파라메터 산정'!$C$14*(1-Graph!C279/'폭압 파라메터 산정'!$C$20)*EXP(-Graph!$D$3*Graph!C279/'폭압 파라메터 산정'!$C$20),0)</f>
        <v>-0.19305144113460232</v>
      </c>
      <c r="E279" s="32">
        <f>IF(B279-'폭압 파라메터 산정'!$C$19&gt;-0.25,'폭압 파라메터 산정'!$C$16*(1-Graph!C279/'폭압 파라메터 산정'!$C$20)*EXP(-Graph!$D$3*Graph!C279/'폭압 파라메터 산정'!$C$20),0)</f>
        <v>-0.40854648516264946</v>
      </c>
      <c r="F279" s="34">
        <f>IF(B279-'폭압 파라메터 산정'!$E$19&gt;0,B279-'폭압 파라메터 산정'!$E$19, IF(B279-'폭압 파라메터 산정'!$E$19&lt;-0.25,"none",0))</f>
        <v>16.333176975799496</v>
      </c>
      <c r="G279" s="32">
        <f>IF(B279-'폭압 파라메터 산정'!$E$19&gt;-0.25,'폭압 파라메터 산정'!$E$14*(1-F279/'폭압 파라메터 산정'!$E$20)*EXP(-Graph!$D$3*F279/'폭압 파라메터 산정'!$E$20),0)</f>
        <v>-0.36058005847544045</v>
      </c>
      <c r="H279" s="32">
        <f>IF(B279-'폭압 파라메터 산정'!$E$19&gt;-0.25,'폭압 파라메터 산정'!$E$16*(1-F279/'폭압 파라메터 산정'!$E$20)*EXP(-Graph!$D$3*F279/'폭압 파라메터 산정'!$E$20),0)</f>
        <v>-0.77743811902726834</v>
      </c>
    </row>
    <row r="280" spans="2:8" x14ac:dyDescent="0.3">
      <c r="B280">
        <f t="shared" si="4"/>
        <v>68.25</v>
      </c>
      <c r="C280" s="33">
        <f>IF(B280-'폭압 파라메터 산정'!$C$19&gt;0,B280-'폭압 파라메터 산정'!$C$19, IF(B280-'폭압 파라메터 산정'!$C$19&lt;-0.25,"none",0))</f>
        <v>13.544157721147656</v>
      </c>
      <c r="D280" s="32">
        <f>IF(B280-'폭압 파라메터 산정'!$C$19&gt;-0.25,'폭압 파라메터 산정'!$C$14*(1-Graph!C280/'폭압 파라메터 산정'!$C$20)*EXP(-Graph!$D$3*Graph!C280/'폭압 파라메터 산정'!$C$20),0)</f>
        <v>-0.21394721458694441</v>
      </c>
      <c r="E280" s="32">
        <f>IF(B280-'폭압 파라메터 산정'!$C$19&gt;-0.25,'폭압 파라메터 산정'!$C$16*(1-Graph!C280/'폭압 파라메터 산정'!$C$20)*EXP(-Graph!$D$3*Graph!C280/'폭압 파라메터 산정'!$C$20),0)</f>
        <v>-0.45276731432888778</v>
      </c>
      <c r="F280" s="34">
        <f>IF(B280-'폭압 파라메터 산정'!$E$19&gt;0,B280-'폭압 파라메터 산정'!$E$19, IF(B280-'폭압 파라메터 산정'!$E$19&lt;-0.25,"none",0))</f>
        <v>16.583176975799496</v>
      </c>
      <c r="G280" s="32">
        <f>IF(B280-'폭압 파라메터 산정'!$E$19&gt;-0.25,'폭압 파라메터 산정'!$E$14*(1-F280/'폭압 파라메터 산정'!$E$20)*EXP(-Graph!$D$3*F280/'폭압 파라메터 산정'!$E$20),0)</f>
        <v>-0.37597597555790846</v>
      </c>
      <c r="H280" s="32">
        <f>IF(B280-'폭압 파라메터 산정'!$E$19&gt;-0.25,'폭압 파라메터 산정'!$E$16*(1-F280/'폭압 파라메터 산정'!$E$20)*EXP(-Graph!$D$3*F280/'폭압 파라메터 산정'!$E$20),0)</f>
        <v>-0.81063289099524982</v>
      </c>
    </row>
    <row r="281" spans="2:8" x14ac:dyDescent="0.3">
      <c r="B281">
        <f t="shared" si="4"/>
        <v>68.5</v>
      </c>
      <c r="C281" s="33">
        <f>IF(B281-'폭압 파라메터 산정'!$C$19&gt;0,B281-'폭압 파라메터 산정'!$C$19, IF(B281-'폭압 파라메터 산정'!$C$19&lt;-0.25,"none",0))</f>
        <v>13.794157721147656</v>
      </c>
      <c r="D281" s="32">
        <f>IF(B281-'폭압 파라메터 산정'!$C$19&gt;-0.25,'폭압 파라메터 산정'!$C$14*(1-Graph!C281/'폭압 파라메터 산정'!$C$20)*EXP(-Graph!$D$3*Graph!C281/'폭압 파라메터 산정'!$C$20),0)</f>
        <v>-0.23275639171664672</v>
      </c>
      <c r="E281" s="32">
        <f>IF(B281-'폭압 파라메터 산정'!$C$19&gt;-0.25,'폭압 파라메터 산정'!$C$16*(1-Graph!C281/'폭압 파라메터 산정'!$C$20)*EXP(-Graph!$D$3*Graph!C281/'폭압 파라메터 산정'!$C$20),0)</f>
        <v>-0.4925723691887669</v>
      </c>
      <c r="F281" s="34">
        <f>IF(B281-'폭압 파라메터 산정'!$E$19&gt;0,B281-'폭압 파라메터 산정'!$E$19, IF(B281-'폭압 파라메터 산정'!$E$19&lt;-0.25,"none",0))</f>
        <v>16.833176975799496</v>
      </c>
      <c r="G281" s="32">
        <f>IF(B281-'폭압 파라메터 산정'!$E$19&gt;-0.25,'폭압 파라메터 산정'!$E$14*(1-F281/'폭압 파라메터 산정'!$E$20)*EXP(-Graph!$D$3*F281/'폭압 파라메터 산정'!$E$20),0)</f>
        <v>-0.38974606784570892</v>
      </c>
      <c r="H281" s="32">
        <f>IF(B281-'폭압 파라메터 산정'!$E$19&gt;-0.25,'폭압 파라메터 산정'!$E$16*(1-F281/'폭압 파라메터 산정'!$E$20)*EXP(-Graph!$D$3*F281/'폭압 파라메터 산정'!$E$20),0)</f>
        <v>-0.84032226065235938</v>
      </c>
    </row>
    <row r="282" spans="2:8" x14ac:dyDescent="0.3">
      <c r="B282">
        <f t="shared" si="4"/>
        <v>68.75</v>
      </c>
      <c r="C282" s="33">
        <f>IF(B282-'폭압 파라메터 산정'!$C$19&gt;0,B282-'폭압 파라메터 산정'!$C$19, IF(B282-'폭압 파라메터 산정'!$C$19&lt;-0.25,"none",0))</f>
        <v>14.044157721147656</v>
      </c>
      <c r="D282" s="32">
        <f>IF(B282-'폭압 파라메터 산정'!$C$19&gt;-0.25,'폭압 파라메터 산정'!$C$14*(1-Graph!C282/'폭압 파라메터 산정'!$C$20)*EXP(-Graph!$D$3*Graph!C282/'폭압 파라메터 산정'!$C$20),0)</f>
        <v>-0.24961700261742359</v>
      </c>
      <c r="E282" s="32">
        <f>IF(B282-'폭압 파라메터 산정'!$C$19&gt;-0.25,'폭압 파라메터 산정'!$C$16*(1-Graph!C282/'폭압 파라메터 산정'!$C$20)*EXP(-Graph!$D$3*Graph!C282/'폭압 파라메터 산정'!$C$20),0)</f>
        <v>-0.52825375690969378</v>
      </c>
      <c r="F282" s="34">
        <f>IF(B282-'폭압 파라메터 산정'!$E$19&gt;0,B282-'폭압 파라메터 산정'!$E$19, IF(B282-'폭압 파라메터 산정'!$E$19&lt;-0.25,"none",0))</f>
        <v>17.083176975799496</v>
      </c>
      <c r="G282" s="32">
        <f>IF(B282-'폭압 파라메터 산정'!$E$19&gt;-0.25,'폭압 파라메터 산정'!$E$14*(1-F282/'폭압 파라메터 산정'!$E$20)*EXP(-Graph!$D$3*F282/'폭압 파라메터 산정'!$E$20),0)</f>
        <v>-0.4019893077168526</v>
      </c>
      <c r="H282" s="32">
        <f>IF(B282-'폭압 파라메터 산정'!$E$19&gt;-0.25,'폭압 파라메터 산정'!$E$16*(1-F282/'폭압 파라메터 산정'!$E$20)*EXP(-Graph!$D$3*F282/'폭압 파라메터 산정'!$E$20),0)</f>
        <v>-0.86671961999737113</v>
      </c>
    </row>
    <row r="283" spans="2:8" x14ac:dyDescent="0.3">
      <c r="B283">
        <f t="shared" si="4"/>
        <v>69</v>
      </c>
      <c r="C283" s="33">
        <f>IF(B283-'폭압 파라메터 산정'!$C$19&gt;0,B283-'폭압 파라메터 산정'!$C$19, IF(B283-'폭압 파라메터 산정'!$C$19&lt;-0.25,"none",0))</f>
        <v>14.294157721147656</v>
      </c>
      <c r="D283" s="32">
        <f>IF(B283-'폭압 파라메터 산정'!$C$19&gt;-0.25,'폭압 파라메터 산정'!$C$14*(1-Graph!C283/'폭압 파라메터 산정'!$C$20)*EXP(-Graph!$D$3*Graph!C283/'폭압 파라메터 산정'!$C$20),0)</f>
        <v>-0.26465917964153468</v>
      </c>
      <c r="E283" s="32">
        <f>IF(B283-'폭압 파라메터 산정'!$C$19&gt;-0.25,'폭압 파라메터 산정'!$C$16*(1-Graph!C283/'폭압 파라메터 산정'!$C$20)*EXP(-Graph!$D$3*Graph!C283/'폭압 파라메터 산정'!$C$20),0)</f>
        <v>-0.56008687100755816</v>
      </c>
      <c r="F283" s="34">
        <f>IF(B283-'폭압 파라메터 산정'!$E$19&gt;0,B283-'폭압 파라메터 산정'!$E$19, IF(B283-'폭압 파라메터 산정'!$E$19&lt;-0.25,"none",0))</f>
        <v>17.333176975799496</v>
      </c>
      <c r="G283" s="32">
        <f>IF(B283-'폭압 파라메터 산정'!$E$19&gt;-0.25,'폭압 파라메터 산정'!$E$14*(1-F283/'폭압 파라메터 산정'!$E$20)*EXP(-Graph!$D$3*F283/'폭압 파라메터 산정'!$E$20),0)</f>
        <v>-0.41279957897985009</v>
      </c>
      <c r="H283" s="32">
        <f>IF(B283-'폭압 파라메터 산정'!$E$19&gt;-0.25,'폭압 파라메터 산정'!$E$16*(1-F283/'폭압 파라메터 산정'!$E$20)*EXP(-Graph!$D$3*F283/'폭압 파라메터 산정'!$E$20),0)</f>
        <v>-0.89002738968495021</v>
      </c>
    </row>
    <row r="284" spans="2:8" x14ac:dyDescent="0.3">
      <c r="B284">
        <f t="shared" si="4"/>
        <v>69.25</v>
      </c>
      <c r="C284" s="33">
        <f>IF(B284-'폭압 파라메터 산정'!$C$19&gt;0,B284-'폭압 파라메터 산정'!$C$19, IF(B284-'폭압 파라메터 산정'!$C$19&lt;-0.25,"none",0))</f>
        <v>14.544157721147656</v>
      </c>
      <c r="D284" s="32">
        <f>IF(B284-'폭압 파라메터 산정'!$C$19&gt;-0.25,'폭압 파라메터 산정'!$C$14*(1-Graph!C284/'폭압 파라메터 산정'!$C$20)*EXP(-Graph!$D$3*Graph!C284/'폭압 파라메터 산정'!$C$20),0)</f>
        <v>-0.27800557665551706</v>
      </c>
      <c r="E284" s="32">
        <f>IF(B284-'폭압 파라메터 산정'!$C$19&gt;-0.25,'폭압 파라메터 산정'!$C$16*(1-Graph!C284/'폭압 파라메터 산정'!$C$20)*EXP(-Graph!$D$3*Graph!C284/'폭압 파라메터 산정'!$C$20),0)</f>
        <v>-0.58833127859965695</v>
      </c>
      <c r="F284" s="34">
        <f>IF(B284-'폭압 파라메터 산정'!$E$19&gt;0,B284-'폭압 파라메터 산정'!$E$19, IF(B284-'폭압 파라메터 산정'!$E$19&lt;-0.25,"none",0))</f>
        <v>17.583176975799496</v>
      </c>
      <c r="G284" s="32">
        <f>IF(B284-'폭압 파라메터 산정'!$E$19&gt;-0.25,'폭압 파라메터 산정'!$E$14*(1-F284/'폭압 파라메터 산정'!$E$20)*EXP(-Graph!$D$3*F284/'폭압 파라메터 산정'!$E$20),0)</f>
        <v>-0.4222659175800641</v>
      </c>
      <c r="H284" s="32">
        <f>IF(B284-'폭압 파라메터 산정'!$E$19&gt;-0.25,'폭압 파라메터 산정'!$E$16*(1-F284/'폭압 파라메터 산정'!$E$20)*EXP(-Graph!$D$3*F284/'폭압 파라메터 산정'!$E$20),0)</f>
        <v>-0.91043753800691241</v>
      </c>
    </row>
    <row r="285" spans="2:8" x14ac:dyDescent="0.3">
      <c r="B285">
        <f t="shared" si="4"/>
        <v>69.5</v>
      </c>
      <c r="C285" s="33">
        <f>IF(B285-'폭압 파라메터 산정'!$C$19&gt;0,B285-'폭압 파라메터 산정'!$C$19, IF(B285-'폭압 파라메터 산정'!$C$19&lt;-0.25,"none",0))</f>
        <v>14.794157721147656</v>
      </c>
      <c r="D285" s="32">
        <f>IF(B285-'폭압 파라메터 산정'!$C$19&gt;-0.25,'폭압 파라메터 산정'!$C$14*(1-Graph!C285/'폭압 파라메터 산정'!$C$20)*EXP(-Graph!$D$3*Graph!C285/'폭압 파라메터 산정'!$C$20),0)</f>
        <v>-0.28977176703800933</v>
      </c>
      <c r="E285" s="32">
        <f>IF(B285-'폭압 파라메터 산정'!$C$19&gt;-0.25,'폭압 파라메터 산정'!$C$16*(1-Graph!C285/'폭압 파라메터 산정'!$C$20)*EXP(-Graph!$D$3*Graph!C285/'폭압 파라메터 산정'!$C$20),0)</f>
        <v>-0.61323156267042012</v>
      </c>
      <c r="F285" s="34">
        <f>IF(B285-'폭압 파라메터 산정'!$E$19&gt;0,B285-'폭압 파라메터 산정'!$E$19, IF(B285-'폭압 파라메터 산정'!$E$19&lt;-0.25,"none",0))</f>
        <v>17.833176975799496</v>
      </c>
      <c r="G285" s="32">
        <f>IF(B285-'폭압 파라메터 산정'!$E$19&gt;-0.25,'폭압 파라메터 산정'!$E$14*(1-F285/'폭압 파라메터 산정'!$E$20)*EXP(-Graph!$D$3*F285/'폭압 파라메터 산정'!$E$20),0)</f>
        <v>-0.43047274147309522</v>
      </c>
      <c r="H285" s="32">
        <f>IF(B285-'폭압 파라메터 산정'!$E$19&gt;-0.25,'폭압 파라메터 산정'!$E$16*(1-F285/'폭압 파라메터 산정'!$E$20)*EXP(-Graph!$D$3*F285/'폭압 파라메터 산정'!$E$20),0)</f>
        <v>-0.92813207651678609</v>
      </c>
    </row>
    <row r="286" spans="2:8" x14ac:dyDescent="0.3">
      <c r="B286">
        <f t="shared" si="4"/>
        <v>69.75</v>
      </c>
      <c r="C286" s="33">
        <f>IF(B286-'폭압 파라메터 산정'!$C$19&gt;0,B286-'폭압 파라메터 산정'!$C$19, IF(B286-'폭압 파라메터 산정'!$C$19&lt;-0.25,"none",0))</f>
        <v>15.044157721147656</v>
      </c>
      <c r="D286" s="32">
        <f>IF(B286-'폭압 파라메터 산정'!$C$19&gt;-0.25,'폭압 파라메터 산정'!$C$14*(1-Graph!C286/'폭압 파라메터 산정'!$C$20)*EXP(-Graph!$D$3*Graph!C286/'폭압 파라메터 산정'!$C$20),0)</f>
        <v>-0.30006662146459884</v>
      </c>
      <c r="E286" s="32">
        <f>IF(B286-'폭압 파라메터 산정'!$C$19&gt;-0.25,'폭압 파라메터 산정'!$C$16*(1-Graph!C286/'폭압 파라메터 산정'!$C$20)*EXP(-Graph!$D$3*Graph!C286/'폭압 파라메터 산정'!$C$20),0)</f>
        <v>-0.63501812156127935</v>
      </c>
      <c r="F286" s="34">
        <f>IF(B286-'폭압 파라메터 산정'!$E$19&gt;0,B286-'폭압 파라메터 산정'!$E$19, IF(B286-'폭압 파라메터 산정'!$E$19&lt;-0.25,"none",0))</f>
        <v>18.083176975799496</v>
      </c>
      <c r="G286" s="32">
        <f>IF(B286-'폭압 파라메터 산정'!$E$19&gt;-0.25,'폭압 파라메터 산정'!$E$14*(1-F286/'폭압 파라메터 산정'!$E$20)*EXP(-Graph!$D$3*F286/'폭압 파라메터 산정'!$E$20),0)</f>
        <v>-0.43750007013683828</v>
      </c>
      <c r="H286" s="32">
        <f>IF(B286-'폭압 파라메터 산정'!$E$19&gt;-0.25,'폭압 파라메터 산정'!$E$16*(1-F286/'폭압 파라메터 산정'!$E$20)*EXP(-Graph!$D$3*F286/'폭압 파라메터 산정'!$E$20),0)</f>
        <v>-0.94328353331455261</v>
      </c>
    </row>
    <row r="287" spans="2:8" x14ac:dyDescent="0.3">
      <c r="B287">
        <f t="shared" si="4"/>
        <v>70</v>
      </c>
      <c r="C287" s="33">
        <f>IF(B287-'폭압 파라메터 산정'!$C$19&gt;0,B287-'폭압 파라메터 산정'!$C$19, IF(B287-'폭압 파라메터 산정'!$C$19&lt;-0.25,"none",0))</f>
        <v>15.294157721147656</v>
      </c>
      <c r="D287" s="32">
        <f>IF(B287-'폭압 파라메터 산정'!$C$19&gt;-0.25,'폭압 파라메터 산정'!$C$14*(1-Graph!C287/'폭압 파라메터 산정'!$C$20)*EXP(-Graph!$D$3*Graph!C287/'폭압 파라메터 산정'!$C$20),0)</f>
        <v>-0.30899266647439227</v>
      </c>
      <c r="E287" s="32">
        <f>IF(B287-'폭압 파라메터 산정'!$C$19&gt;-0.25,'폭압 파라메터 산정'!$C$16*(1-Graph!C287/'폭압 파라메터 산정'!$C$20)*EXP(-Graph!$D$3*Graph!C287/'폭압 파라메터 산정'!$C$20),0)</f>
        <v>-0.65390792778972462</v>
      </c>
      <c r="F287" s="34">
        <f>IF(B287-'폭압 파라메터 산정'!$E$19&gt;0,B287-'폭압 파라메터 산정'!$E$19, IF(B287-'폭압 파라메터 산정'!$E$19&lt;-0.25,"none",0))</f>
        <v>18.333176975799496</v>
      </c>
      <c r="G287" s="32">
        <f>IF(B287-'폭압 파라메터 산정'!$E$19&gt;-0.25,'폭압 파라메터 산정'!$E$14*(1-F287/'폭압 파라메터 산정'!$E$20)*EXP(-Graph!$D$3*F287/'폭압 파라메터 산정'!$E$20),0)</f>
        <v>-0.44342373417378278</v>
      </c>
      <c r="H287" s="32">
        <f>IF(B287-'폭압 파라메터 산정'!$E$19&gt;-0.25,'폭압 파라메터 산정'!$E$16*(1-F287/'폭압 파라메터 산정'!$E$20)*EXP(-Graph!$D$3*F287/'폭압 파라메터 산정'!$E$20),0)</f>
        <v>-0.95605540496520114</v>
      </c>
    </row>
    <row r="288" spans="2:8" x14ac:dyDescent="0.3">
      <c r="B288">
        <f t="shared" si="4"/>
        <v>70.25</v>
      </c>
      <c r="C288" s="33">
        <f>IF(B288-'폭압 파라메터 산정'!$C$19&gt;0,B288-'폭압 파라메터 산정'!$C$19, IF(B288-'폭압 파라메터 산정'!$C$19&lt;-0.25,"none",0))</f>
        <v>15.544157721147656</v>
      </c>
      <c r="D288" s="32">
        <f>IF(B288-'폭압 파라메터 산정'!$C$19&gt;-0.25,'폭압 파라메터 산정'!$C$14*(1-Graph!C288/'폭압 파라메터 산정'!$C$20)*EXP(-Graph!$D$3*Graph!C288/'폭압 파라메터 산정'!$C$20),0)</f>
        <v>-0.31664642476516391</v>
      </c>
      <c r="E288" s="32">
        <f>IF(B288-'폭압 파라메터 산정'!$C$19&gt;-0.25,'폭압 파라메터 산정'!$C$16*(1-Graph!C288/'폭압 파라메터 산정'!$C$20)*EXP(-Graph!$D$3*Graph!C288/'폭압 파라메터 산정'!$C$20),0)</f>
        <v>-0.67010524820132955</v>
      </c>
      <c r="F288" s="34">
        <f>IF(B288-'폭압 파라메터 산정'!$E$19&gt;0,B288-'폭압 파라메터 산정'!$E$19, IF(B288-'폭압 파라메터 산정'!$E$19&lt;-0.25,"none",0))</f>
        <v>18.583176975799496</v>
      </c>
      <c r="G288" s="32">
        <f>IF(B288-'폭압 파라메터 산정'!$E$19&gt;-0.25,'폭압 파라메터 산정'!$E$14*(1-F288/'폭압 파라메터 산정'!$E$20)*EXP(-Graph!$D$3*F288/'폭압 파라메터 산정'!$E$20),0)</f>
        <v>-0.4483155754359272</v>
      </c>
      <c r="H288" s="32">
        <f>IF(B288-'폭압 파라메터 산정'!$E$19&gt;-0.25,'폭압 파라메터 산정'!$E$16*(1-F288/'폭압 파라메터 산정'!$E$20)*EXP(-Graph!$D$3*F288/'폭압 파라메터 산정'!$E$20),0)</f>
        <v>-0.96660258798331189</v>
      </c>
    </row>
    <row r="289" spans="2:8" x14ac:dyDescent="0.3">
      <c r="B289">
        <f t="shared" si="4"/>
        <v>70.5</v>
      </c>
      <c r="C289" s="33">
        <f>IF(B289-'폭압 파라메터 산정'!$C$19&gt;0,B289-'폭압 파라메터 산정'!$C$19, IF(B289-'폭압 파라메터 산정'!$C$19&lt;-0.25,"none",0))</f>
        <v>15.794157721147656</v>
      </c>
      <c r="D289" s="32">
        <f>IF(B289-'폭압 파라메터 산정'!$C$19&gt;-0.25,'폭압 파라메터 산정'!$C$14*(1-Graph!C289/'폭압 파라메터 산정'!$C$20)*EXP(-Graph!$D$3*Graph!C289/'폭압 파라메터 산정'!$C$20),0)</f>
        <v>-0.32311873811833935</v>
      </c>
      <c r="E289" s="32">
        <f>IF(B289-'폭압 파라메터 산정'!$C$19&gt;-0.25,'폭압 파라메터 산정'!$C$16*(1-Graph!C289/'폭압 파라메터 산정'!$C$20)*EXP(-Graph!$D$3*Graph!C289/'폭압 파라메터 산정'!$C$20),0)</f>
        <v>-0.68380232736204638</v>
      </c>
      <c r="F289" s="34">
        <f>IF(B289-'폭압 파라메터 산정'!$E$19&gt;0,B289-'폭압 파라메터 산정'!$E$19, IF(B289-'폭압 파라메터 산정'!$E$19&lt;-0.25,"none",0))</f>
        <v>18.833176975799496</v>
      </c>
      <c r="G289" s="32">
        <f>IF(B289-'폭압 파라메터 산정'!$E$19&gt;-0.25,'폭압 파라메터 산정'!$E$14*(1-F289/'폭압 파라메터 산정'!$E$20)*EXP(-Graph!$D$3*F289/'폭압 파라메터 산정'!$E$20),0)</f>
        <v>-0.45224363808625323</v>
      </c>
      <c r="H289" s="32">
        <f>IF(B289-'폭압 파라메터 산정'!$E$19&gt;-0.25,'폭압 파라메터 산정'!$E$16*(1-F289/'폭압 파라메터 산정'!$E$20)*EXP(-Graph!$D$3*F289/'폭압 파라메터 산정'!$E$20),0)</f>
        <v>-0.97507179077617445</v>
      </c>
    </row>
    <row r="290" spans="2:8" x14ac:dyDescent="0.3">
      <c r="B290">
        <f t="shared" si="4"/>
        <v>70.75</v>
      </c>
      <c r="C290" s="33">
        <f>IF(B290-'폭압 파라메터 산정'!$C$19&gt;0,B290-'폭압 파라메터 산정'!$C$19, IF(B290-'폭압 파라메터 산정'!$C$19&lt;-0.25,"none",0))</f>
        <v>16.044157721147656</v>
      </c>
      <c r="D290" s="32">
        <f>IF(B290-'폭압 파라메터 산정'!$C$19&gt;-0.25,'폭압 파라메터 산정'!$C$14*(1-Graph!C290/'폭압 파라메터 산정'!$C$20)*EXP(-Graph!$D$3*Graph!C290/'폭압 파라메터 산정'!$C$20),0)</f>
        <v>-0.32849507381164489</v>
      </c>
      <c r="E290" s="32">
        <f>IF(B290-'폭압 파라메터 산정'!$C$19&gt;-0.25,'폭압 파라메터 산정'!$C$16*(1-Graph!C290/'폭압 파라메터 산정'!$C$20)*EXP(-Graph!$D$3*Graph!C290/'폭압 파라메터 산정'!$C$20),0)</f>
        <v>-0.69518003600615319</v>
      </c>
      <c r="F290" s="34">
        <f>IF(B290-'폭압 파라메터 산정'!$E$19&gt;0,B290-'폭압 파라메터 산정'!$E$19, IF(B290-'폭압 파라메터 산정'!$E$19&lt;-0.25,"none",0))</f>
        <v>19.083176975799496</v>
      </c>
      <c r="G290" s="32">
        <f>IF(B290-'폭압 파라메터 산정'!$E$19&gt;-0.25,'폭압 파라메터 산정'!$E$14*(1-F290/'폭압 파라메터 산정'!$E$20)*EXP(-Graph!$D$3*F290/'폭압 파라메터 산정'!$E$20),0)</f>
        <v>-0.45527235099307412</v>
      </c>
      <c r="H290" s="32">
        <f>IF(B290-'폭압 파라메터 산정'!$E$19&gt;-0.25,'폭압 파라메터 산정'!$E$16*(1-F290/'폭압 파라메터 산정'!$E$20)*EXP(-Graph!$D$3*F290/'폭압 파라메터 산정'!$E$20),0)</f>
        <v>-0.9816019268999191</v>
      </c>
    </row>
    <row r="291" spans="2:8" x14ac:dyDescent="0.3">
      <c r="B291">
        <f t="shared" si="4"/>
        <v>71</v>
      </c>
      <c r="C291" s="33">
        <f>IF(B291-'폭압 파라메터 산정'!$C$19&gt;0,B291-'폭압 파라메터 산정'!$C$19, IF(B291-'폭압 파라메터 산정'!$C$19&lt;-0.25,"none",0))</f>
        <v>16.294157721147656</v>
      </c>
      <c r="D291" s="32">
        <f>IF(B291-'폭압 파라메터 산정'!$C$19&gt;-0.25,'폭압 파라메터 산정'!$C$14*(1-Graph!C291/'폭압 파라메터 산정'!$C$20)*EXP(-Graph!$D$3*Graph!C291/'폭압 파라메터 산정'!$C$20),0)</f>
        <v>-0.33285581533587516</v>
      </c>
      <c r="E291" s="32">
        <f>IF(B291-'폭압 파라메터 산정'!$C$19&gt;-0.25,'폭압 파라메터 산정'!$C$16*(1-Graph!C291/'폭압 파라메터 산정'!$C$20)*EXP(-Graph!$D$3*Graph!C291/'폭압 파라메터 산정'!$C$20),0)</f>
        <v>-0.70440848626768182</v>
      </c>
      <c r="F291" s="34">
        <f>IF(B291-'폭압 파라메터 산정'!$E$19&gt;0,B291-'폭압 파라메터 산정'!$E$19, IF(B291-'폭압 파라메터 산정'!$E$19&lt;-0.25,"none",0))</f>
        <v>19.333176975799496</v>
      </c>
      <c r="G291" s="32">
        <f>IF(B291-'폭압 파라메터 산정'!$E$19&gt;-0.25,'폭압 파라메터 산정'!$E$14*(1-F291/'폭압 파라메터 산정'!$E$20)*EXP(-Graph!$D$3*F291/'폭압 파라메터 산정'!$E$20),0)</f>
        <v>-0.45746270183666066</v>
      </c>
      <c r="H291" s="32">
        <f>IF(B291-'폭압 파라메터 산정'!$E$19&gt;-0.25,'폭압 파라메터 산정'!$E$16*(1-F291/'폭압 파라메터 산정'!$E$20)*EXP(-Graph!$D$3*F291/'폭압 파라메터 산정'!$E$20),0)</f>
        <v>-0.98632449044668724</v>
      </c>
    </row>
    <row r="292" spans="2:8" x14ac:dyDescent="0.3">
      <c r="B292">
        <f t="shared" si="4"/>
        <v>71.25</v>
      </c>
      <c r="C292" s="33">
        <f>IF(B292-'폭압 파라메터 산정'!$C$19&gt;0,B292-'폭압 파라메터 산정'!$C$19, IF(B292-'폭압 파라메터 산정'!$C$19&lt;-0.25,"none",0))</f>
        <v>16.544157721147656</v>
      </c>
      <c r="D292" s="32">
        <f>IF(B292-'폭압 파라메터 산정'!$C$19&gt;-0.25,'폭압 파라메터 산정'!$C$14*(1-Graph!C292/'폭압 파라메터 산정'!$C$20)*EXP(-Graph!$D$3*Graph!C292/'폭압 파라메터 산정'!$C$20),0)</f>
        <v>-0.33627653819281794</v>
      </c>
      <c r="E292" s="32">
        <f>IF(B292-'폭압 파라메터 산정'!$C$19&gt;-0.25,'폭압 파라메터 산정'!$C$16*(1-Graph!C292/'폭압 파라메터 산정'!$C$20)*EXP(-Graph!$D$3*Graph!C292/'폭압 파라메터 산정'!$C$20),0)</f>
        <v>-0.71164761533973631</v>
      </c>
      <c r="F292" s="34">
        <f>IF(B292-'폭압 파라메터 산정'!$E$19&gt;0,B292-'폭압 파라메터 산정'!$E$19, IF(B292-'폭압 파라메터 산정'!$E$19&lt;-0.25,"none",0))</f>
        <v>19.583176975799496</v>
      </c>
      <c r="G292" s="32">
        <f>IF(B292-'폭압 파라메터 산정'!$E$19&gt;-0.25,'폭압 파라메터 산정'!$E$14*(1-F292/'폭압 파라메터 산정'!$E$20)*EXP(-Graph!$D$3*F292/'폭압 파라메터 산정'!$E$20),0)</f>
        <v>-0.45887240329135459</v>
      </c>
      <c r="H292" s="32">
        <f>IF(B292-'폭압 파라메터 산정'!$E$19&gt;-0.25,'폭압 파라메터 산정'!$E$16*(1-F292/'폭압 파라메터 산정'!$E$20)*EXP(-Graph!$D$3*F292/'폭압 파라메터 산정'!$E$20),0)</f>
        <v>-0.9893639143459485</v>
      </c>
    </row>
    <row r="293" spans="2:8" x14ac:dyDescent="0.3">
      <c r="B293">
        <f t="shared" si="4"/>
        <v>71.5</v>
      </c>
      <c r="C293" s="33">
        <f>IF(B293-'폭압 파라메터 산정'!$C$19&gt;0,B293-'폭압 파라메터 산정'!$C$19, IF(B293-'폭압 파라메터 산정'!$C$19&lt;-0.25,"none",0))</f>
        <v>16.794157721147656</v>
      </c>
      <c r="D293" s="32">
        <f>IF(B293-'폭압 파라메터 산정'!$C$19&gt;-0.25,'폭압 파라메터 산정'!$C$14*(1-Graph!C293/'폭압 파라메터 산정'!$C$20)*EXP(-Graph!$D$3*Graph!C293/'폭압 파라메터 산정'!$C$20),0)</f>
        <v>-0.33882827151382688</v>
      </c>
      <c r="E293" s="32">
        <f>IF(B293-'폭압 파라메터 산정'!$C$19&gt;-0.25,'폭압 파라메터 산정'!$C$16*(1-Graph!C293/'폭압 파라메터 산정'!$C$20)*EXP(-Graph!$D$3*Graph!C293/'폭압 파라메터 산정'!$C$20),0)</f>
        <v>-0.71704773912665876</v>
      </c>
      <c r="F293" s="34">
        <f>IF(B293-'폭압 파라메터 산정'!$E$19&gt;0,B293-'폭압 파라메터 산정'!$E$19, IF(B293-'폭압 파라메터 산정'!$E$19&lt;-0.25,"none",0))</f>
        <v>19.833176975799496</v>
      </c>
      <c r="G293" s="32">
        <f>IF(B293-'폭압 파라메터 산정'!$E$19&gt;-0.25,'폭압 파라메터 산정'!$E$14*(1-F293/'폭압 파라메터 산정'!$E$20)*EXP(-Graph!$D$3*F293/'폭압 파라메터 산정'!$E$20),0)</f>
        <v>-0.4595560516308641</v>
      </c>
      <c r="H293" s="32">
        <f>IF(B293-'폭압 파라메터 산정'!$E$19&gt;-0.25,'폭압 파라메터 산정'!$E$16*(1-F293/'폭압 파라메터 산정'!$E$20)*EXP(-Graph!$D$3*F293/'폭압 파라메터 산정'!$E$20),0)</f>
        <v>-0.9908379123296186</v>
      </c>
    </row>
    <row r="294" spans="2:8" x14ac:dyDescent="0.3">
      <c r="B294">
        <f t="shared" si="4"/>
        <v>71.75</v>
      </c>
      <c r="C294" s="33">
        <f>IF(B294-'폭압 파라메터 산정'!$C$19&gt;0,B294-'폭압 파라메터 산정'!$C$19, IF(B294-'폭압 파라메터 산정'!$C$19&lt;-0.25,"none",0))</f>
        <v>17.044157721147656</v>
      </c>
      <c r="D294" s="32">
        <f>IF(B294-'폭압 파라메터 산정'!$C$19&gt;-0.25,'폭압 파라메터 산정'!$C$14*(1-Graph!C294/'폭압 파라메터 산정'!$C$20)*EXP(-Graph!$D$3*Graph!C294/'폭압 파라메터 산정'!$C$20),0)</f>
        <v>-0.34057774620277248</v>
      </c>
      <c r="E294" s="32">
        <f>IF(B294-'폭압 파라메터 산정'!$C$19&gt;-0.25,'폭압 파라메터 산정'!$C$16*(1-Graph!C294/'폭압 파라메터 산정'!$C$20)*EXP(-Graph!$D$3*Graph!C294/'폭압 파라메터 산정'!$C$20),0)</f>
        <v>-0.72075007737831365</v>
      </c>
      <c r="F294" s="34">
        <f>IF(B294-'폭압 파라메터 산정'!$E$19&gt;0,B294-'폭압 파라메터 산정'!$E$19, IF(B294-'폭압 파라메터 산정'!$E$19&lt;-0.25,"none",0))</f>
        <v>20.083176975799496</v>
      </c>
      <c r="G294" s="32">
        <f>IF(B294-'폭압 파라메터 산정'!$E$19&gt;-0.25,'폭압 파라메터 산정'!$E$14*(1-F294/'폭압 파라메터 산정'!$E$20)*EXP(-Graph!$D$3*F294/'폭압 파라메터 산정'!$E$20),0)</f>
        <v>-0.45956527808956288</v>
      </c>
      <c r="H294" s="32">
        <f>IF(B294-'폭압 파라메터 산정'!$E$19&gt;-0.25,'폭압 파라메터 산정'!$E$16*(1-F294/'폭압 파라메터 산정'!$E$20)*EXP(-Graph!$D$3*F294/'폭압 파라메터 산정'!$E$20),0)</f>
        <v>-0.99085780527856959</v>
      </c>
    </row>
    <row r="295" spans="2:8" x14ac:dyDescent="0.3">
      <c r="B295">
        <f t="shared" si="4"/>
        <v>72</v>
      </c>
      <c r="C295" s="33">
        <f>IF(B295-'폭압 파라메터 산정'!$C$19&gt;0,B295-'폭압 파라메터 산정'!$C$19, IF(B295-'폭압 파라메터 산정'!$C$19&lt;-0.25,"none",0))</f>
        <v>17.294157721147656</v>
      </c>
      <c r="D295" s="32">
        <f>IF(B295-'폭압 파라메터 산정'!$C$19&gt;-0.25,'폭압 파라메터 산정'!$C$14*(1-Graph!C295/'폭압 파라메터 산정'!$C$20)*EXP(-Graph!$D$3*Graph!C295/'폭압 파라메터 산정'!$C$20),0)</f>
        <v>-0.34158763027303057</v>
      </c>
      <c r="E295" s="32">
        <f>IF(B295-'폭압 파라메터 산정'!$C$19&gt;-0.25,'폭압 파라메터 산정'!$C$16*(1-Graph!C295/'폭압 파라메터 산정'!$C$20)*EXP(-Graph!$D$3*Graph!C295/'폭압 파라메터 산정'!$C$20),0)</f>
        <v>-0.72288725172366342</v>
      </c>
      <c r="F295" s="34">
        <f>IF(B295-'폭압 파라메터 산정'!$E$19&gt;0,B295-'폭압 파라메터 산정'!$E$19, IF(B295-'폭압 파라메터 산정'!$E$19&lt;-0.25,"none",0))</f>
        <v>20.333176975799496</v>
      </c>
      <c r="G295" s="32">
        <f>IF(B295-'폭압 파라메터 산정'!$E$19&gt;-0.25,'폭압 파라메터 산정'!$E$14*(1-F295/'폭압 파라메터 산정'!$E$20)*EXP(-Graph!$D$3*F295/'폭압 파라메터 산정'!$E$20),0)</f>
        <v>-0.45894889329837818</v>
      </c>
      <c r="H295" s="32">
        <f>IF(B295-'폭압 파라메터 산정'!$E$19&gt;-0.25,'폭압 파라메터 산정'!$E$16*(1-F295/'폭압 파라메터 산정'!$E$20)*EXP(-Graph!$D$3*F295/'폭압 파라메터 산정'!$E$20),0)</f>
        <v>-0.98952883263742641</v>
      </c>
    </row>
    <row r="296" spans="2:8" x14ac:dyDescent="0.3">
      <c r="B296">
        <f t="shared" si="4"/>
        <v>72.25</v>
      </c>
      <c r="C296" s="33">
        <f>IF(B296-'폭압 파라메터 산정'!$C$19&gt;0,B296-'폭압 파라메터 산정'!$C$19, IF(B296-'폭압 파라메터 산정'!$C$19&lt;-0.25,"none",0))</f>
        <v>17.544157721147656</v>
      </c>
      <c r="D296" s="32">
        <f>IF(B296-'폭압 파라메터 산정'!$C$19&gt;-0.25,'폭압 파라메터 산정'!$C$14*(1-Graph!C296/'폭압 파라메터 산정'!$C$20)*EXP(-Graph!$D$3*Graph!C296/'폭압 파라메터 산정'!$C$20),0)</f>
        <v>-0.34191675201572486</v>
      </c>
      <c r="E296" s="32">
        <f>IF(B296-'폭압 파라메터 산정'!$C$19&gt;-0.25,'폭압 파라메터 산정'!$C$16*(1-Graph!C296/'폭압 파라메터 산정'!$C$20)*EXP(-Graph!$D$3*Graph!C296/'폭압 파라메터 산정'!$C$20),0)</f>
        <v>-0.72358375795214891</v>
      </c>
      <c r="F296" s="34">
        <f>IF(B296-'폭압 파라메터 산정'!$E$19&gt;0,B296-'폭압 파라메터 산정'!$E$19, IF(B296-'폭압 파라메터 산정'!$E$19&lt;-0.25,"none",0))</f>
        <v>20.583176975799496</v>
      </c>
      <c r="G296" s="32">
        <f>IF(B296-'폭압 파라메터 산정'!$E$19&gt;-0.25,'폭압 파라메터 산정'!$E$14*(1-F296/'폭압 파라메터 산정'!$E$20)*EXP(-Graph!$D$3*F296/'폭압 파라메터 산정'!$E$20),0)</f>
        <v>-0.4577530251002031</v>
      </c>
      <c r="H296" s="32">
        <f>IF(B296-'폭압 파라메터 산정'!$E$19&gt;-0.25,'폭압 파라메터 산정'!$E$16*(1-F296/'폭압 파라메터 산정'!$E$20)*EXP(-Graph!$D$3*F296/'폭압 파라메터 산정'!$E$20),0)</f>
        <v>-0.98695044955511002</v>
      </c>
    </row>
    <row r="297" spans="2:8" x14ac:dyDescent="0.3">
      <c r="B297">
        <f t="shared" si="4"/>
        <v>72.5</v>
      </c>
      <c r="C297" s="33">
        <f>IF(B297-'폭압 파라메터 산정'!$C$19&gt;0,B297-'폭압 파라메터 산정'!$C$19, IF(B297-'폭압 파라메터 산정'!$C$19&lt;-0.25,"none",0))</f>
        <v>17.794157721147656</v>
      </c>
      <c r="D297" s="32">
        <f>IF(B297-'폭압 파라메터 산정'!$C$19&gt;-0.25,'폭압 파라메터 산정'!$C$14*(1-Graph!C297/'폭압 파라메터 산정'!$C$20)*EXP(-Graph!$D$3*Graph!C297/'폭압 파라메터 산정'!$C$20),0)</f>
        <v>-0.34162031160553219</v>
      </c>
      <c r="E297" s="32">
        <f>IF(B297-'폭압 파라메터 산정'!$C$19&gt;-0.25,'폭압 파라메터 산정'!$C$16*(1-Graph!C297/'폭압 파라메터 산정'!$C$20)*EXP(-Graph!$D$3*Graph!C297/'폭압 파라메터 산정'!$C$20),0)</f>
        <v>-0.72295641382597942</v>
      </c>
      <c r="F297" s="34">
        <f>IF(B297-'폭압 파라메터 산정'!$E$19&gt;0,B297-'폭압 파라메터 산정'!$E$19, IF(B297-'폭압 파라메터 산정'!$E$19&lt;-0.25,"none",0))</f>
        <v>20.833176975799496</v>
      </c>
      <c r="G297" s="32">
        <f>IF(B297-'폭압 파라메터 산정'!$E$19&gt;-0.25,'폭압 파라메터 산정'!$E$14*(1-F297/'폭압 파라메터 산정'!$E$20)*EXP(-Graph!$D$3*F297/'폭압 파라메터 산정'!$E$20),0)</f>
        <v>-0.45602125003669719</v>
      </c>
      <c r="H297" s="32">
        <f>IF(B297-'폭압 파라메터 산정'!$E$19&gt;-0.25,'폭압 파라메터 산정'!$E$16*(1-F297/'폭압 파라메터 산정'!$E$20)*EXP(-Graph!$D$3*F297/'폭압 파라메터 산정'!$E$20),0)</f>
        <v>-0.98321661038041241</v>
      </c>
    </row>
    <row r="298" spans="2:8" x14ac:dyDescent="0.3">
      <c r="B298">
        <f t="shared" si="4"/>
        <v>72.75</v>
      </c>
      <c r="C298" s="33">
        <f>IF(B298-'폭압 파라메터 산정'!$C$19&gt;0,B298-'폭압 파라메터 산정'!$C$19, IF(B298-'폭압 파라메터 산정'!$C$19&lt;-0.25,"none",0))</f>
        <v>18.044157721147656</v>
      </c>
      <c r="D298" s="32">
        <f>IF(B298-'폭압 파라메터 산정'!$C$19&gt;-0.25,'폭압 파라메터 산정'!$C$14*(1-Graph!C298/'폭압 파라메터 산정'!$C$20)*EXP(-Graph!$D$3*Graph!C298/'폭압 파라메터 산정'!$C$20),0)</f>
        <v>-0.34075008172092791</v>
      </c>
      <c r="E298" s="32">
        <f>IF(B298-'폭압 파라메터 산정'!$C$19&gt;-0.25,'폭압 파라메터 산정'!$C$16*(1-Graph!C298/'폭압 파라메터 산정'!$C$20)*EXP(-Graph!$D$3*Graph!C298/'폭압 파라메터 산정'!$C$20),0)</f>
        <v>-0.72111478364415282</v>
      </c>
      <c r="F298" s="34">
        <f>IF(B298-'폭압 파라메터 산정'!$E$19&gt;0,B298-'폭압 파라메터 산정'!$E$19, IF(B298-'폭압 파라메터 산정'!$E$19&lt;-0.25,"none",0))</f>
        <v>21.083176975799496</v>
      </c>
      <c r="G298" s="32">
        <f>IF(B298-'폭압 파라메터 산정'!$E$19&gt;-0.25,'폭압 파라메터 산정'!$E$14*(1-F298/'폭압 파라메터 산정'!$E$20)*EXP(-Graph!$D$3*F298/'폭압 파라메터 산정'!$E$20),0)</f>
        <v>-0.45379471878581751</v>
      </c>
      <c r="H298" s="32">
        <f>IF(B298-'폭압 파라메터 산정'!$E$19&gt;-0.25,'폭압 파라메터 산정'!$E$16*(1-F298/'폭압 파라메터 산정'!$E$20)*EXP(-Graph!$D$3*F298/'폭압 파라메터 산정'!$E$20),0)</f>
        <v>-0.97841603911488517</v>
      </c>
    </row>
    <row r="299" spans="2:8" x14ac:dyDescent="0.3">
      <c r="B299">
        <f t="shared" si="4"/>
        <v>73</v>
      </c>
      <c r="C299" s="33">
        <f>IF(B299-'폭압 파라메터 산정'!$C$19&gt;0,B299-'폭압 파라메터 산정'!$C$19, IF(B299-'폭압 파라메터 산정'!$C$19&lt;-0.25,"none",0))</f>
        <v>18.294157721147656</v>
      </c>
      <c r="D299" s="32">
        <f>IF(B299-'폭압 파라메터 산정'!$C$19&gt;-0.25,'폭압 파라메터 산정'!$C$14*(1-Graph!C299/'폭압 파라메터 산정'!$C$20)*EXP(-Graph!$D$3*Graph!C299/'폭압 파라메터 산정'!$C$20),0)</f>
        <v>-0.33935459772771304</v>
      </c>
      <c r="E299" s="32">
        <f>IF(B299-'폭압 파라메터 산정'!$C$19&gt;-0.25,'폭압 파라메터 산정'!$C$16*(1-Graph!C299/'폭압 파라메터 산정'!$C$20)*EXP(-Graph!$D$3*Graph!C299/'폭압 파라메터 산정'!$C$20),0)</f>
        <v>-0.71816158071969927</v>
      </c>
      <c r="F299" s="34">
        <f>IF(B299-'폭압 파라메터 산정'!$E$19&gt;0,B299-'폭압 파라메터 산정'!$E$19, IF(B299-'폭압 파라메터 산정'!$E$19&lt;-0.25,"none",0))</f>
        <v>21.333176975799496</v>
      </c>
      <c r="G299" s="32">
        <f>IF(B299-'폭압 파라메터 산정'!$E$19&gt;-0.25,'폭압 파라메터 산정'!$E$14*(1-F299/'폭압 파라메터 산정'!$E$20)*EXP(-Graph!$D$3*F299/'폭압 파라메터 산정'!$E$20),0)</f>
        <v>-0.4511122758174253</v>
      </c>
      <c r="H299" s="32">
        <f>IF(B299-'폭압 파라메터 산정'!$E$19&gt;-0.25,'폭압 파라메터 산정'!$E$16*(1-F299/'폭압 파라메터 산정'!$E$20)*EXP(-Graph!$D$3*F299/'폭압 파라메터 산정'!$E$20),0)</f>
        <v>-0.97263248739945707</v>
      </c>
    </row>
    <row r="300" spans="2:8" x14ac:dyDescent="0.3">
      <c r="B300">
        <f t="shared" si="4"/>
        <v>73.25</v>
      </c>
      <c r="C300" s="33">
        <f>IF(B300-'폭압 파라메터 산정'!$C$19&gt;0,B300-'폭압 파라메터 산정'!$C$19, IF(B300-'폭압 파라메터 산정'!$C$19&lt;-0.25,"none",0))</f>
        <v>18.544157721147656</v>
      </c>
      <c r="D300" s="32">
        <f>IF(B300-'폭압 파라메터 산정'!$C$19&gt;-0.25,'폭압 파라메터 산정'!$C$14*(1-Graph!C300/'폭압 파라메터 산정'!$C$20)*EXP(-Graph!$D$3*Graph!C300/'폭압 파라메터 산정'!$C$20),0)</f>
        <v>-0.33747933794797375</v>
      </c>
      <c r="E300" s="32">
        <f>IF(B300-'폭압 파라메터 산정'!$C$19&gt;-0.25,'폭압 파라메터 산정'!$C$16*(1-Graph!C300/'폭압 파라메터 산정'!$C$20)*EXP(-Graph!$D$3*Graph!C300/'폭압 파라메터 산정'!$C$20),0)</f>
        <v>-0.71419304887514712</v>
      </c>
      <c r="F300" s="34">
        <f>IF(B300-'폭압 파라메터 산정'!$E$19&gt;0,B300-'폭압 파라메터 산정'!$E$19, IF(B300-'폭압 파라메터 산정'!$E$19&lt;-0.25,"none",0))</f>
        <v>21.583176975799496</v>
      </c>
      <c r="G300" s="32">
        <f>IF(B300-'폭압 파라메터 산정'!$E$19&gt;-0.25,'폭압 파라메터 산정'!$E$14*(1-F300/'폭압 파라메터 산정'!$E$20)*EXP(-Graph!$D$3*F300/'폭압 파라메터 산정'!$E$20),0)</f>
        <v>-0.44801057352282192</v>
      </c>
      <c r="H300" s="32">
        <f>IF(B300-'폭압 파라메터 산정'!$E$19&gt;-0.25,'폭압 파라메터 산정'!$E$16*(1-F300/'폭압 파라메터 산정'!$E$20)*EXP(-Graph!$D$3*F300/'폭압 파라메터 산정'!$E$20),0)</f>
        <v>-0.9659449805864222</v>
      </c>
    </row>
    <row r="301" spans="2:8" x14ac:dyDescent="0.3">
      <c r="B301">
        <f t="shared" si="4"/>
        <v>73.5</v>
      </c>
      <c r="C301" s="33">
        <f>IF(B301-'폭압 파라메터 산정'!$C$19&gt;0,B301-'폭압 파라메터 산정'!$C$19, IF(B301-'폭압 파라메터 산정'!$C$19&lt;-0.25,"none",0))</f>
        <v>18.794157721147656</v>
      </c>
      <c r="D301" s="32">
        <f>IF(B301-'폭압 파라메터 산정'!$C$19&gt;-0.25,'폭압 파라메터 산정'!$C$14*(1-Graph!C301/'폭압 파라메터 산정'!$C$20)*EXP(-Graph!$D$3*Graph!C301/'폭압 파라메터 산정'!$C$20),0)</f>
        <v>-0.33516689451119497</v>
      </c>
      <c r="E301" s="32">
        <f>IF(B301-'폭압 파라메터 산정'!$C$19&gt;-0.25,'폭압 파라메터 산정'!$C$16*(1-Graph!C301/'폭압 파라메터 산정'!$C$20)*EXP(-Graph!$D$3*Graph!C301/'폭압 파라메터 산정'!$C$20),0)</f>
        <v>-0.70929932400740736</v>
      </c>
      <c r="F301" s="34">
        <f>IF(B301-'폭압 파라메터 산정'!$E$19&gt;0,B301-'폭압 파라메터 산정'!$E$19, IF(B301-'폭압 파라메터 산정'!$E$19&lt;-0.25,"none",0))</f>
        <v>21.833176975799496</v>
      </c>
      <c r="G301" s="32">
        <f>IF(B301-'폭압 파라메터 산정'!$E$19&gt;-0.25,'폭압 파라메터 산정'!$E$14*(1-F301/'폭압 파라메터 산정'!$E$20)*EXP(-Graph!$D$3*F301/'폭압 파라메터 산정'!$E$20),0)</f>
        <v>-0.44452418106306263</v>
      </c>
      <c r="H301" s="32">
        <f>IF(B301-'폭압 파라메터 산정'!$E$19&gt;-0.25,'폭압 파라메터 산정'!$E$16*(1-F301/'폭압 파라메터 산정'!$E$20)*EXP(-Graph!$D$3*F301/'폭압 파라메터 산정'!$E$20),0)</f>
        <v>-0.95842805242470952</v>
      </c>
    </row>
    <row r="302" spans="2:8" x14ac:dyDescent="0.3">
      <c r="B302">
        <f t="shared" si="4"/>
        <v>73.75</v>
      </c>
      <c r="C302" s="33">
        <f>IF(B302-'폭압 파라메터 산정'!$C$19&gt;0,B302-'폭압 파라메터 산정'!$C$19, IF(B302-'폭압 파라메터 산정'!$C$19&lt;-0.25,"none",0))</f>
        <v>19.044157721147656</v>
      </c>
      <c r="D302" s="32">
        <f>IF(B302-'폭압 파라메터 산정'!$C$19&gt;-0.25,'폭압 파라메터 산정'!$C$14*(1-Graph!C302/'폭압 파라메터 산정'!$C$20)*EXP(-Graph!$D$3*Graph!C302/'폭압 파라메터 산정'!$C$20),0)</f>
        <v>-0.33245713526004428</v>
      </c>
      <c r="E302" s="32">
        <f>IF(B302-'폭압 파라메터 산정'!$C$19&gt;-0.25,'폭압 파라메터 산정'!$C$16*(1-Graph!C302/'폭압 파라메터 산정'!$C$20)*EXP(-Graph!$D$3*Graph!C302/'폭압 파라메터 산정'!$C$20),0)</f>
        <v>-0.70356477672204043</v>
      </c>
      <c r="F302" s="34">
        <f>IF(B302-'폭압 파라메터 산정'!$E$19&gt;0,B302-'폭압 파라메터 산정'!$E$19, IF(B302-'폭압 파라메터 산정'!$E$19&lt;-0.25,"none",0))</f>
        <v>22.083176975799496</v>
      </c>
      <c r="G302" s="32">
        <f>IF(B302-'폭압 파라메터 산정'!$E$19&gt;-0.25,'폭압 파라메터 산정'!$E$14*(1-F302/'폭압 파라메터 산정'!$E$20)*EXP(-Graph!$D$3*F302/'폭압 파라메터 산정'!$E$20),0)</f>
        <v>-0.44068568817034937</v>
      </c>
      <c r="H302" s="32">
        <f>IF(B302-'폭압 파라메터 산정'!$E$19&gt;-0.25,'폭압 파라메터 산정'!$E$16*(1-F302/'폭압 파라메터 산정'!$E$20)*EXP(-Graph!$D$3*F302/'폭압 파라메터 산정'!$E$20),0)</f>
        <v>-0.95015196886360542</v>
      </c>
    </row>
    <row r="303" spans="2:8" x14ac:dyDescent="0.3">
      <c r="B303">
        <f t="shared" si="4"/>
        <v>74</v>
      </c>
      <c r="C303" s="33">
        <f>IF(B303-'폭압 파라메터 산정'!$C$19&gt;0,B303-'폭압 파라메터 산정'!$C$19, IF(B303-'폭압 파라메터 산정'!$C$19&lt;-0.25,"none",0))</f>
        <v>19.294157721147656</v>
      </c>
      <c r="D303" s="32">
        <f>IF(B303-'폭압 파라메터 산정'!$C$19&gt;-0.25,'폭압 파라메터 산정'!$C$14*(1-Graph!C303/'폭압 파라메터 산정'!$C$20)*EXP(-Graph!$D$3*Graph!C303/'폭압 파라메터 산정'!$C$20),0)</f>
        <v>-0.32938735716028533</v>
      </c>
      <c r="E303" s="32">
        <f>IF(B303-'폭압 파라메터 산정'!$C$19&gt;-0.25,'폭압 파라메터 산정'!$C$16*(1-Graph!C303/'폭압 파라메터 산정'!$C$20)*EXP(-Graph!$D$3*Graph!C303/'폭압 파라메터 산정'!$C$20),0)</f>
        <v>-0.6970683369880768</v>
      </c>
      <c r="F303" s="34">
        <f>IF(B303-'폭압 파라메터 산정'!$E$19&gt;0,B303-'폭압 파라메터 산정'!$E$19, IF(B303-'폭압 파라메터 산정'!$E$19&lt;-0.25,"none",0))</f>
        <v>22.333176975799496</v>
      </c>
      <c r="G303" s="32">
        <f>IF(B303-'폭압 파라메터 산정'!$E$19&gt;-0.25,'폭압 파라메터 산정'!$E$14*(1-F303/'폭압 파라메터 산정'!$E$20)*EXP(-Graph!$D$3*F303/'폭압 파라메터 산정'!$E$20),0)</f>
        <v>-0.43652580412670877</v>
      </c>
      <c r="H303" s="32">
        <f>IF(B303-'폭압 파라메터 산정'!$E$19&gt;-0.25,'폭압 파라메터 산정'!$E$16*(1-F303/'폭압 파라메터 산정'!$E$20)*EXP(-Graph!$D$3*F303/'폭압 파라메터 산정'!$E$20),0)</f>
        <v>-0.94118294145833703</v>
      </c>
    </row>
    <row r="304" spans="2:8" x14ac:dyDescent="0.3">
      <c r="B304">
        <f t="shared" si="4"/>
        <v>74.25</v>
      </c>
      <c r="C304" s="33">
        <f>IF(B304-'폭압 파라메터 산정'!$C$19&gt;0,B304-'폭압 파라메터 산정'!$C$19, IF(B304-'폭압 파라메터 산정'!$C$19&lt;-0.25,"none",0))</f>
        <v>19.544157721147656</v>
      </c>
      <c r="D304" s="32">
        <f>IF(B304-'폭압 파라메터 산정'!$C$19&gt;-0.25,'폭압 파라메터 산정'!$C$14*(1-Graph!C304/'폭압 파라메터 산정'!$C$20)*EXP(-Graph!$D$3*Graph!C304/'폭압 파라메터 산정'!$C$20),0)</f>
        <v>-0.32599243164233294</v>
      </c>
      <c r="E304" s="32">
        <f>IF(B304-'폭압 파라메터 산정'!$C$19&gt;-0.25,'폭압 파라메터 산정'!$C$16*(1-Graph!C304/'폭압 파라메터 산정'!$C$20)*EXP(-Graph!$D$3*Graph!C304/'폭압 파라메터 산정'!$C$20),0)</f>
        <v>-0.68988380171811536</v>
      </c>
      <c r="F304" s="34">
        <f>IF(B304-'폭압 파라메터 산정'!$E$19&gt;0,B304-'폭압 파라메터 산정'!$E$19, IF(B304-'폭압 파라메터 산정'!$E$19&lt;-0.25,"none",0))</f>
        <v>22.583176975799496</v>
      </c>
      <c r="G304" s="32">
        <f>IF(B304-'폭압 파라메터 산정'!$E$19&gt;-0.25,'폭압 파라메터 산정'!$E$14*(1-F304/'폭압 파라메터 산정'!$E$20)*EXP(-Graph!$D$3*F304/'폭압 파라메터 산정'!$E$20),0)</f>
        <v>-0.43207345213448722</v>
      </c>
      <c r="H304" s="32">
        <f>IF(B304-'폭압 파라메터 산정'!$E$19&gt;-0.25,'폭압 파라메터 산정'!$E$16*(1-F304/'폭압 파라메터 산정'!$E$20)*EXP(-Graph!$D$3*F304/'폭압 파라메터 산정'!$E$20),0)</f>
        <v>-0.93158333084005929</v>
      </c>
    </row>
    <row r="305" spans="2:8" x14ac:dyDescent="0.3">
      <c r="B305">
        <f t="shared" si="4"/>
        <v>74.5</v>
      </c>
      <c r="C305" s="33">
        <f>IF(B305-'폭압 파라메터 산정'!$C$19&gt;0,B305-'폭압 파라메터 산정'!$C$19, IF(B305-'폭압 파라메터 산정'!$C$19&lt;-0.25,"none",0))</f>
        <v>19.794157721147656</v>
      </c>
      <c r="D305" s="32">
        <f>IF(B305-'폭압 파라메터 산정'!$C$19&gt;-0.25,'폭압 파라메터 산정'!$C$14*(1-Graph!C305/'폭압 파라메터 산정'!$C$20)*EXP(-Graph!$D$3*Graph!C305/'폭압 파라메터 산정'!$C$20),0)</f>
        <v>-0.32230494228105488</v>
      </c>
      <c r="E305" s="32">
        <f>IF(B305-'폭압 파라메터 산정'!$C$19&gt;-0.25,'폭압 파라메터 산정'!$C$16*(1-Graph!C305/'폭압 파라메터 산정'!$C$20)*EXP(-Graph!$D$3*Graph!C305/'폭압 파라메터 산정'!$C$20),0)</f>
        <v>-0.68208012613418412</v>
      </c>
      <c r="F305" s="34">
        <f>IF(B305-'폭압 파라메터 산정'!$E$19&gt;0,B305-'폭압 파라메터 산정'!$E$19, IF(B305-'폭압 파라메터 산정'!$E$19&lt;-0.25,"none",0))</f>
        <v>22.833176975799496</v>
      </c>
      <c r="G305" s="32">
        <f>IF(B305-'폭압 파라메터 산정'!$E$19&gt;-0.25,'폭압 파라메터 산정'!$E$14*(1-F305/'폭압 파라메터 산정'!$E$20)*EXP(-Graph!$D$3*F305/'폭압 파라메터 산정'!$E$20),0)</f>
        <v>-0.42735585928393122</v>
      </c>
      <c r="H305" s="32">
        <f>IF(B305-'폭압 파라메터 산정'!$E$19&gt;-0.25,'폭압 파라메터 산정'!$E$16*(1-F305/'폭압 파라메터 산정'!$E$20)*EXP(-Graph!$D$3*F305/'폭압 파라메터 산정'!$E$20),0)</f>
        <v>-0.92141184069282323</v>
      </c>
    </row>
    <row r="306" spans="2:8" x14ac:dyDescent="0.3">
      <c r="B306">
        <f t="shared" si="4"/>
        <v>74.75</v>
      </c>
      <c r="C306" s="33">
        <f>IF(B306-'폭압 파라메터 산정'!$C$19&gt;0,B306-'폭압 파라메터 산정'!$C$19, IF(B306-'폭압 파라메터 산정'!$C$19&lt;-0.25,"none",0))</f>
        <v>20.044157721147656</v>
      </c>
      <c r="D306" s="32">
        <f>IF(B306-'폭압 파라메터 산정'!$C$19&gt;-0.25,'폭압 파라메터 산정'!$C$14*(1-Graph!C306/'폭압 파라메터 산정'!$C$20)*EXP(-Graph!$D$3*Graph!C306/'폭압 파라메터 산정'!$C$20),0)</f>
        <v>-0.31835531520052979</v>
      </c>
      <c r="E306" s="32">
        <f>IF(B306-'폭압 파라메터 산정'!$C$19&gt;-0.25,'폭압 파라메터 산정'!$C$16*(1-Graph!C306/'폭압 파라메터 산정'!$C$20)*EXP(-Graph!$D$3*Graph!C306/'폭압 파라메터 산정'!$C$20),0)</f>
        <v>-0.67372169973773632</v>
      </c>
      <c r="F306" s="34">
        <f>IF(B306-'폭압 파라메터 산정'!$E$19&gt;0,B306-'폭압 파라메터 산정'!$E$19, IF(B306-'폭압 파라메터 산정'!$E$19&lt;-0.25,"none",0))</f>
        <v>23.083176975799496</v>
      </c>
      <c r="G306" s="32">
        <f>IF(B306-'폭압 파라메터 산정'!$E$19&gt;-0.25,'폭압 파라메터 산정'!$E$14*(1-F306/'폭압 파라메터 산정'!$E$20)*EXP(-Graph!$D$3*F306/'폭압 파라메터 산정'!$E$20),0)</f>
        <v>-0.42239864231424812</v>
      </c>
      <c r="H306" s="32">
        <f>IF(B306-'폭압 파라메터 산정'!$E$19&gt;-0.25,'폭압 파라메터 산정'!$E$16*(1-F306/'폭압 파라메터 산정'!$E$20)*EXP(-Graph!$D$3*F306/'폭압 파라메터 산정'!$E$20),0)</f>
        <v>-0.91072370266096647</v>
      </c>
    </row>
    <row r="307" spans="2:8" x14ac:dyDescent="0.3">
      <c r="B307">
        <f t="shared" si="4"/>
        <v>75</v>
      </c>
      <c r="C307" s="33">
        <f>IF(B307-'폭압 파라메터 산정'!$C$19&gt;0,B307-'폭압 파라메터 산정'!$C$19, IF(B307-'폭압 파라메터 산정'!$C$19&lt;-0.25,"none",0))</f>
        <v>20.294157721147656</v>
      </c>
      <c r="D307" s="32">
        <f>IF(B307-'폭압 파라메터 산정'!$C$19&gt;-0.25,'폭압 파라메터 산정'!$C$14*(1-Graph!C307/'폭압 파라메터 산정'!$C$20)*EXP(-Graph!$D$3*Graph!C307/'폭압 파라메터 산정'!$C$20),0)</f>
        <v>-0.31417194257152004</v>
      </c>
      <c r="E307" s="32">
        <f>IF(B307-'폭압 파라메터 산정'!$C$19&gt;-0.25,'폭압 파라메터 산정'!$C$16*(1-Graph!C307/'폭압 파라메터 산정'!$C$20)*EXP(-Graph!$D$3*Graph!C307/'폭압 파라메터 산정'!$C$20),0)</f>
        <v>-0.66486860766205536</v>
      </c>
      <c r="F307" s="34">
        <f>IF(B307-'폭압 파라메터 산정'!$E$19&gt;0,B307-'폭압 파라메터 산정'!$E$19, IF(B307-'폭압 파라메터 산정'!$E$19&lt;-0.25,"none",0))</f>
        <v>23.333176975799496</v>
      </c>
      <c r="G307" s="32">
        <f>IF(B307-'폭압 파라메터 산정'!$E$19&gt;-0.25,'폭압 파라메터 산정'!$E$14*(1-F307/'폭압 파라메터 산정'!$E$20)*EXP(-Graph!$D$3*F307/'폭압 파라메터 산정'!$E$20),0)</f>
        <v>-0.41722588935604527</v>
      </c>
      <c r="H307" s="32">
        <f>IF(B307-'폭압 파라메터 산정'!$E$19&gt;-0.25,'폭압 파라메터 산정'!$E$16*(1-F307/'폭압 파라메터 산정'!$E$20)*EXP(-Graph!$D$3*F307/'폭압 파라메터 산정'!$E$20),0)</f>
        <v>-0.89957085259204927</v>
      </c>
    </row>
    <row r="308" spans="2:8" x14ac:dyDescent="0.3">
      <c r="B308">
        <f t="shared" si="4"/>
        <v>75.25</v>
      </c>
      <c r="C308" s="33">
        <f>IF(B308-'폭압 파라메터 산정'!$C$19&gt;0,B308-'폭압 파라메터 산정'!$C$19, IF(B308-'폭압 파라메터 산정'!$C$19&lt;-0.25,"none",0))</f>
        <v>20.544157721147656</v>
      </c>
      <c r="D308" s="32">
        <f>IF(B308-'폭압 파라메터 산정'!$C$19&gt;-0.25,'폭압 파라메터 산정'!$C$14*(1-Graph!C308/'폭압 파라메터 산정'!$C$20)*EXP(-Graph!$D$3*Graph!C308/'폭압 파라메터 산정'!$C$20),0)</f>
        <v>-0.3097812995513809</v>
      </c>
      <c r="E308" s="32">
        <f>IF(B308-'폭압 파라메터 산정'!$C$19&gt;-0.25,'폭압 파라메터 산정'!$C$16*(1-Graph!C308/'폭압 파라메터 산정'!$C$20)*EXP(-Graph!$D$3*Graph!C308/'폭압 파라메터 산정'!$C$20),0)</f>
        <v>-0.65557687814716858</v>
      </c>
      <c r="F308" s="34">
        <f>IF(B308-'폭압 파라메터 산정'!$E$19&gt;0,B308-'폭압 파라메터 산정'!$E$19, IF(B308-'폭압 파라메터 산정'!$E$19&lt;-0.25,"none",0))</f>
        <v>23.583176975799496</v>
      </c>
      <c r="G308" s="32">
        <f>IF(B308-'폭압 파라메터 산정'!$E$19&gt;-0.25,'폭압 파라메터 산정'!$E$14*(1-F308/'폭압 파라메터 산정'!$E$20)*EXP(-Graph!$D$3*F308/'폭압 파라메터 산정'!$E$20),0)</f>
        <v>-0.4118602378349096</v>
      </c>
      <c r="H308" s="32">
        <f>IF(B308-'폭압 파라메터 산정'!$E$19&gt;-0.25,'폭압 파라메터 산정'!$E$16*(1-F308/'폭압 파라메터 산정'!$E$20)*EXP(-Graph!$D$3*F308/'폭압 파라메터 산정'!$E$20),0)</f>
        <v>-0.88800209850291645</v>
      </c>
    </row>
    <row r="309" spans="2:8" x14ac:dyDescent="0.3">
      <c r="B309">
        <f t="shared" si="4"/>
        <v>75.5</v>
      </c>
      <c r="C309" s="33">
        <f>IF(B309-'폭압 파라메터 산정'!$C$19&gt;0,B309-'폭압 파라메터 산정'!$C$19, IF(B309-'폭압 파라메터 산정'!$C$19&lt;-0.25,"none",0))</f>
        <v>20.794157721147656</v>
      </c>
      <c r="D309" s="32">
        <f>IF(B309-'폭압 파라메터 산정'!$C$19&gt;-0.25,'폭압 파라메터 산정'!$C$14*(1-Graph!C309/'폭압 파라메터 산정'!$C$20)*EXP(-Graph!$D$3*Graph!C309/'폭압 파라메터 산정'!$C$20),0)</f>
        <v>-0.30520805499895393</v>
      </c>
      <c r="E309" s="32">
        <f>IF(B309-'폭압 파라메터 산정'!$C$19&gt;-0.25,'폭압 파라메터 산정'!$C$16*(1-Graph!C309/'폭압 파라메터 산정'!$C$20)*EXP(-Graph!$D$3*Graph!C309/'폭압 파라메터 산정'!$C$20),0)</f>
        <v>-0.64589871684102973</v>
      </c>
      <c r="F309" s="34">
        <f>IF(B309-'폭압 파라메터 산정'!$E$19&gt;0,B309-'폭압 파라메터 산정'!$E$19, IF(B309-'폭압 파라메터 산정'!$E$19&lt;-0.25,"none",0))</f>
        <v>23.833176975799496</v>
      </c>
      <c r="G309" s="32">
        <f>IF(B309-'폭압 파라메터 산정'!$E$19&gt;-0.25,'폭압 파라메터 산정'!$E$14*(1-F309/'폭압 파라메터 산정'!$E$20)*EXP(-Graph!$D$3*F309/'폭압 파라메터 산정'!$E$20),0)</f>
        <v>-0.40632294870809271</v>
      </c>
      <c r="H309" s="32">
        <f>IF(B309-'폭압 파라메터 산정'!$E$19&gt;-0.25,'폭압 파라메터 산정'!$E$16*(1-F309/'폭압 파라메터 산정'!$E$20)*EXP(-Graph!$D$3*F309/'폭압 파라메터 산정'!$E$20),0)</f>
        <v>-0.87606328063965444</v>
      </c>
    </row>
    <row r="310" spans="2:8" x14ac:dyDescent="0.3">
      <c r="B310">
        <f t="shared" si="4"/>
        <v>75.75</v>
      </c>
      <c r="C310" s="33">
        <f>IF(B310-'폭압 파라메터 산정'!$C$19&gt;0,B310-'폭압 파라메터 산정'!$C$19, IF(B310-'폭압 파라메터 산정'!$C$19&lt;-0.25,"none",0))</f>
        <v>21.044157721147656</v>
      </c>
      <c r="D310" s="32">
        <f>IF(B310-'폭압 파라메터 산정'!$C$19&gt;-0.25,'폭압 파라메터 산정'!$C$14*(1-Graph!C310/'폭압 파라메터 산정'!$C$20)*EXP(-Graph!$D$3*Graph!C310/'폭압 파라메터 산정'!$C$20),0)</f>
        <v>-0.30047517628064563</v>
      </c>
      <c r="E310" s="32">
        <f>IF(B310-'폭압 파라메터 산정'!$C$19&gt;-0.25,'폭압 파라메터 산정'!$C$16*(1-Graph!C310/'폭압 파라메터 산정'!$C$20)*EXP(-Graph!$D$3*Graph!C310/'폭압 파라메터 산정'!$C$20),0)</f>
        <v>-0.63588272859612571</v>
      </c>
      <c r="F310" s="34">
        <f>IF(B310-'폭압 파라메터 산정'!$E$19&gt;0,B310-'폭압 파라메터 산정'!$E$19, IF(B310-'폭압 파라메터 산정'!$E$19&lt;-0.25,"none",0))</f>
        <v>24.083176975799496</v>
      </c>
      <c r="G310" s="32">
        <f>IF(B310-'폭압 파라메터 산정'!$E$19&gt;-0.25,'폭압 파라메터 산정'!$E$14*(1-F310/'폭압 파라메터 산정'!$E$20)*EXP(-Graph!$D$3*F310/'폭압 파라메터 산정'!$E$20),0)</f>
        <v>-0.40063397719880861</v>
      </c>
      <c r="H310" s="32">
        <f>IF(B310-'폭압 파라메터 산정'!$E$19&gt;-0.25,'폭압 파라메터 산정'!$E$16*(1-F310/'폭압 파라메터 산정'!$E$20)*EXP(-Graph!$D$3*F310/'폭압 파라메터 산정'!$E$20),0)</f>
        <v>-0.86379742398613468</v>
      </c>
    </row>
    <row r="311" spans="2:8" x14ac:dyDescent="0.3">
      <c r="B311">
        <f t="shared" si="4"/>
        <v>76</v>
      </c>
      <c r="C311" s="33">
        <f>IF(B311-'폭압 파라메터 산정'!$C$19&gt;0,B311-'폭압 파라메터 산정'!$C$19, IF(B311-'폭압 파라메터 산정'!$C$19&lt;-0.25,"none",0))</f>
        <v>21.294157721147656</v>
      </c>
      <c r="D311" s="32">
        <f>IF(B311-'폭압 파라메터 산정'!$C$19&gt;-0.25,'폭압 파라메터 산정'!$C$14*(1-Graph!C311/'폭압 파라메터 산정'!$C$20)*EXP(-Graph!$D$3*Graph!C311/'폭압 파라메터 산정'!$C$20),0)</f>
        <v>-0.29560402846832684</v>
      </c>
      <c r="E311" s="32">
        <f>IF(B311-'폭압 파라메터 산정'!$C$19&gt;-0.25,'폭압 파라메터 산정'!$C$16*(1-Graph!C311/'폭압 파라메터 산정'!$C$20)*EXP(-Graph!$D$3*Graph!C311/'폭압 파라메터 산정'!$C$20),0)</f>
        <v>-0.62557412739773832</v>
      </c>
      <c r="F311" s="34">
        <f>IF(B311-'폭압 파라메터 산정'!$E$19&gt;0,B311-'폭압 파라메터 산정'!$E$19, IF(B311-'폭압 파라메터 산정'!$E$19&lt;-0.25,"none",0))</f>
        <v>24.333176975799496</v>
      </c>
      <c r="G311" s="32">
        <f>IF(B311-'폭압 파라메터 산정'!$E$19&gt;-0.25,'폭압 파라메터 산정'!$E$14*(1-F311/'폭압 파라메터 산정'!$E$20)*EXP(-Graph!$D$3*F311/'폭압 파라메터 산정'!$E$20),0)</f>
        <v>-0.39481204018550042</v>
      </c>
      <c r="H311" s="32">
        <f>IF(B311-'폭압 파라메터 산정'!$E$19&gt;-0.25,'폭압 파라메터 산정'!$E$16*(1-F311/'폭압 파라메터 산정'!$E$20)*EXP(-Graph!$D$3*F311/'폭압 파라메터 산정'!$E$20),0)</f>
        <v>-0.85124488356041428</v>
      </c>
    </row>
    <row r="312" spans="2:8" x14ac:dyDescent="0.3">
      <c r="B312">
        <f t="shared" si="4"/>
        <v>76.25</v>
      </c>
      <c r="C312" s="33">
        <f>IF(B312-'폭압 파라메터 산정'!$C$19&gt;0,B312-'폭압 파라메터 산정'!$C$19, IF(B312-'폭압 파라메터 산정'!$C$19&lt;-0.25,"none",0))</f>
        <v>21.544157721147656</v>
      </c>
      <c r="D312" s="32">
        <f>IF(B312-'폭압 파라메터 산정'!$C$19&gt;-0.25,'폭압 파라메터 산정'!$C$14*(1-Graph!C312/'폭압 파라메터 산정'!$C$20)*EXP(-Graph!$D$3*Graph!C312/'폭압 파라메터 산정'!$C$20),0)</f>
        <v>-0.29061446821487869</v>
      </c>
      <c r="E312" s="32">
        <f>IF(B312-'폭압 파라메터 산정'!$C$19&gt;-0.25,'폭압 파라메터 산정'!$C$16*(1-Graph!C312/'폭압 파라메터 산정'!$C$20)*EXP(-Graph!$D$3*Graph!C312/'폭압 파라메터 산정'!$C$20),0)</f>
        <v>-0.61501493502873539</v>
      </c>
      <c r="F312" s="34">
        <f>IF(B312-'폭압 파라메터 산정'!$E$19&gt;0,B312-'폭압 파라메터 산정'!$E$19, IF(B312-'폭압 파라메터 산정'!$E$19&lt;-0.25,"none",0))</f>
        <v>24.583176975799496</v>
      </c>
      <c r="G312" s="32">
        <f>IF(B312-'폭압 파라메터 산정'!$E$19&gt;-0.25,'폭압 파라메터 산정'!$E$14*(1-F312/'폭압 파라메터 산정'!$E$20)*EXP(-Graph!$D$3*F312/'폭압 파라메터 산정'!$E$20),0)</f>
        <v>-0.38887468039659423</v>
      </c>
      <c r="H312" s="32">
        <f>IF(B312-'폭압 파라메터 산정'!$E$19&gt;-0.25,'폭압 파라메터 산정'!$E$16*(1-F312/'폭압 파라메터 산정'!$E$20)*EXP(-Graph!$D$3*F312/'폭압 파라메터 산정'!$E$20),0)</f>
        <v>-0.83844348282352421</v>
      </c>
    </row>
    <row r="313" spans="2:8" x14ac:dyDescent="0.3">
      <c r="B313">
        <f t="shared" si="4"/>
        <v>76.5</v>
      </c>
      <c r="C313" s="33">
        <f>IF(B313-'폭압 파라메터 산정'!$C$19&gt;0,B313-'폭압 파라메터 산정'!$C$19, IF(B313-'폭압 파라메터 산정'!$C$19&lt;-0.25,"none",0))</f>
        <v>21.794157721147656</v>
      </c>
      <c r="D313" s="32">
        <f>IF(B313-'폭압 파라메터 산정'!$C$19&gt;-0.25,'폭압 파라메터 산정'!$C$14*(1-Graph!C313/'폭압 파라메터 산정'!$C$20)*EXP(-Graph!$D$3*Graph!C313/'폭압 파라메터 산정'!$C$20),0)</f>
        <v>-0.28552493257910733</v>
      </c>
      <c r="E313" s="32">
        <f>IF(B313-'폭압 파라메터 산정'!$C$19&gt;-0.25,'폭압 파라메터 산정'!$C$16*(1-Graph!C313/'폭압 파라메터 산정'!$C$20)*EXP(-Graph!$D$3*Graph!C313/'폭압 파라메터 산정'!$C$20),0)</f>
        <v>-0.60424416904592859</v>
      </c>
      <c r="F313" s="34">
        <f>IF(B313-'폭압 파라메터 산정'!$E$19&gt;0,B313-'폭압 파라메터 산정'!$E$19, IF(B313-'폭압 파라메터 산정'!$E$19&lt;-0.25,"none",0))</f>
        <v>24.833176975799496</v>
      </c>
      <c r="G313" s="32">
        <f>IF(B313-'폭압 파라메터 산정'!$E$19&gt;-0.25,'폭압 파라메터 산정'!$E$14*(1-F313/'폭압 파라메터 산정'!$E$20)*EXP(-Graph!$D$3*F313/'폭압 파라메터 산정'!$E$20),0)</f>
        <v>-0.38283832755470087</v>
      </c>
      <c r="H313" s="32">
        <f>IF(B313-'폭압 파라메터 산정'!$E$19&gt;-0.25,'폭압 파라메터 산정'!$E$16*(1-F313/'폭압 파라메터 산정'!$E$20)*EXP(-Graph!$D$3*F313/'폭압 파라메터 산정'!$E$20),0)</f>
        <v>-0.8254286455110329</v>
      </c>
    </row>
    <row r="314" spans="2:8" x14ac:dyDescent="0.3">
      <c r="B314">
        <f t="shared" si="4"/>
        <v>76.75</v>
      </c>
      <c r="C314" s="33">
        <f>IF(B314-'폭압 파라메터 산정'!$C$19&gt;0,B314-'폭압 파라메터 산정'!$C$19, IF(B314-'폭압 파라메터 산정'!$C$19&lt;-0.25,"none",0))</f>
        <v>22.044157721147656</v>
      </c>
      <c r="D314" s="32">
        <f>IF(B314-'폭압 파라메터 산정'!$C$19&gt;-0.25,'폭압 파라메터 산정'!$C$14*(1-Graph!C314/'폭압 파라메터 산정'!$C$20)*EXP(-Graph!$D$3*Graph!C314/'폭압 파라메터 산정'!$C$20),0)</f>
        <v>-0.28035252305833197</v>
      </c>
      <c r="E314" s="32">
        <f>IF(B314-'폭압 파라메터 산정'!$C$19&gt;-0.25,'폭압 파라메터 산정'!$C$16*(1-Graph!C314/'폭압 파라메터 산정'!$C$20)*EXP(-Graph!$D$3*Graph!C314/'폭압 파라메터 산정'!$C$20),0)</f>
        <v>-0.59329802061463432</v>
      </c>
      <c r="F314" s="34">
        <f>IF(B314-'폭압 파라메터 산정'!$E$19&gt;0,B314-'폭압 파라메터 산정'!$E$19, IF(B314-'폭압 파라메터 산정'!$E$19&lt;-0.25,"none",0))</f>
        <v>25.083176975799496</v>
      </c>
      <c r="G314" s="32">
        <f>IF(B314-'폭압 파라메터 산정'!$E$19&gt;-0.25,'폭압 파라메터 산정'!$E$14*(1-F314/'폭압 파라메터 산정'!$E$20)*EXP(-Graph!$D$3*F314/'폭압 파라메터 산정'!$E$20),0)</f>
        <v>-0.37671835660795866</v>
      </c>
      <c r="H314" s="32">
        <f>IF(B314-'폭압 파라메터 산정'!$E$19&gt;-0.25,'폭압 파라메터 산정'!$E$16*(1-F314/'폭압 파라메터 산정'!$E$20)*EXP(-Graph!$D$3*F314/'폭압 파라메터 산정'!$E$20),0)</f>
        <v>-0.81223352118426462</v>
      </c>
    </row>
    <row r="315" spans="2:8" x14ac:dyDescent="0.3">
      <c r="B315">
        <f t="shared" si="4"/>
        <v>77</v>
      </c>
      <c r="C315" s="33">
        <f>IF(B315-'폭압 파라메터 산정'!$C$19&gt;0,B315-'폭압 파라메터 산정'!$C$19, IF(B315-'폭압 파라메터 산정'!$C$19&lt;-0.25,"none",0))</f>
        <v>22.294157721147656</v>
      </c>
      <c r="D315" s="32">
        <f>IF(B315-'폭압 파라메터 산정'!$C$19&gt;-0.25,'폭압 파라메터 산정'!$C$14*(1-Graph!C315/'폭압 파라메터 산정'!$C$20)*EXP(-Graph!$D$3*Graph!C315/'폭압 파라메터 산정'!$C$20),0)</f>
        <v>-0.27511308507417354</v>
      </c>
      <c r="E315" s="32">
        <f>IF(B315-'폭압 파라메터 산정'!$C$19&gt;-0.25,'폭압 파라메터 산정'!$C$16*(1-Graph!C315/'폭압 파라메터 산정'!$C$20)*EXP(-Graph!$D$3*Graph!C315/'폭압 파라메터 산정'!$C$20),0)</f>
        <v>-0.58221002272104116</v>
      </c>
      <c r="F315" s="34">
        <f>IF(B315-'폭압 파라메터 산정'!$E$19&gt;0,B315-'폭압 파라메터 산정'!$E$19, IF(B315-'폭압 파라메터 산정'!$E$19&lt;-0.25,"none",0))</f>
        <v>25.333176975799496</v>
      </c>
      <c r="G315" s="32">
        <f>IF(B315-'폭압 파라메터 산정'!$E$19&gt;-0.25,'폭압 파라메터 산정'!$E$14*(1-F315/'폭압 파라메터 산정'!$E$20)*EXP(-Graph!$D$3*F315/'폭압 파라메터 산정'!$E$20),0)</f>
        <v>-0.37052914318019725</v>
      </c>
      <c r="H315" s="32">
        <f>IF(B315-'폭압 파라메터 산정'!$E$19&gt;-0.25,'폭압 파라메터 산정'!$E$16*(1-F315/'폭압 파라메터 산정'!$E$20)*EXP(-Graph!$D$3*F315/'폭압 파라메터 산정'!$E$20),0)</f>
        <v>-0.79888910478508424</v>
      </c>
    </row>
    <row r="316" spans="2:8" x14ac:dyDescent="0.3">
      <c r="B316">
        <f t="shared" si="4"/>
        <v>77.25</v>
      </c>
      <c r="C316" s="33">
        <f>IF(B316-'폭압 파라메터 산정'!$C$19&gt;0,B316-'폭압 파라메터 산정'!$C$19, IF(B316-'폭압 파라메터 산정'!$C$19&lt;-0.25,"none",0))</f>
        <v>22.544157721147656</v>
      </c>
      <c r="D316" s="32">
        <f>IF(B316-'폭압 파라메터 산정'!$C$19&gt;-0.25,'폭압 파라메터 산정'!$C$14*(1-Graph!C316/'폭압 파라메터 산정'!$C$20)*EXP(-Graph!$D$3*Graph!C316/'폭압 파라메터 산정'!$C$20),0)</f>
        <v>-0.26982128314491904</v>
      </c>
      <c r="E316" s="32">
        <f>IF(B316-'폭압 파라메터 산정'!$C$19&gt;-0.25,'폭압 파라메터 산정'!$C$16*(1-Graph!C316/'폭압 파라메터 산정'!$C$20)*EXP(-Graph!$D$3*Graph!C316/'폭압 파라메터 산정'!$C$20),0)</f>
        <v>-0.5710112092562587</v>
      </c>
      <c r="F316" s="34">
        <f>IF(B316-'폭압 파라메터 산정'!$E$19&gt;0,B316-'폭압 파라메터 산정'!$E$19, IF(B316-'폭압 파라메터 산정'!$E$19&lt;-0.25,"none",0))</f>
        <v>25.583176975799496</v>
      </c>
      <c r="G316" s="32">
        <f>IF(B316-'폭압 파라메터 산정'!$E$19&gt;-0.25,'폭압 파라메터 산정'!$E$14*(1-F316/'폭압 파라메터 산정'!$E$20)*EXP(-Graph!$D$3*F316/'폭압 파라메터 산정'!$E$20),0)</f>
        <v>-0.36428411636585833</v>
      </c>
      <c r="H316" s="32">
        <f>IF(B316-'폭압 파라메터 산정'!$E$19&gt;-0.25,'폭압 파라메터 산정'!$E$16*(1-F316/'폭압 파라메터 산정'!$E$20)*EXP(-Graph!$D$3*F316/'폭압 파라메터 산정'!$E$20),0)</f>
        <v>-0.78542435046577341</v>
      </c>
    </row>
    <row r="317" spans="2:8" x14ac:dyDescent="0.3">
      <c r="B317">
        <f t="shared" si="4"/>
        <v>77.5</v>
      </c>
      <c r="C317" s="33">
        <f>IF(B317-'폭압 파라메터 산정'!$C$19&gt;0,B317-'폭압 파라메터 산정'!$C$19, IF(B317-'폭압 파라메터 산정'!$C$19&lt;-0.25,"none",0))</f>
        <v>22.794157721147656</v>
      </c>
      <c r="D317" s="32">
        <f>IF(B317-'폭압 파라메터 산정'!$C$19&gt;-0.25,'폭압 파라메터 산정'!$C$14*(1-Graph!C317/'폭압 파라메터 산정'!$C$20)*EXP(-Graph!$D$3*Graph!C317/'폭압 파라메터 산정'!$C$20),0)</f>
        <v>-0.26449067196626336</v>
      </c>
      <c r="E317" s="32">
        <f>IF(B317-'폭압 파라메터 산정'!$C$19&gt;-0.25,'폭압 파라메터 산정'!$C$16*(1-Graph!C317/'폭압 파라메터 산정'!$C$20)*EXP(-Graph!$D$3*Graph!C317/'폭압 파라메터 산정'!$C$20),0)</f>
        <v>-0.55973026544144366</v>
      </c>
      <c r="F317" s="34">
        <f>IF(B317-'폭압 파라메터 산정'!$E$19&gt;0,B317-'폭압 파라메터 산정'!$E$19, IF(B317-'폭압 파라메터 산정'!$E$19&lt;-0.25,"none",0))</f>
        <v>25.833176975799496</v>
      </c>
      <c r="G317" s="32">
        <f>IF(B317-'폭압 파라메터 산정'!$E$19&gt;-0.25,'폭압 파라메터 산정'!$E$14*(1-F317/'폭압 파라메터 산정'!$E$20)*EXP(-Graph!$D$3*F317/'폭압 파라메터 산정'!$E$20),0)</f>
        <v>-0.35799580899009636</v>
      </c>
      <c r="H317" s="32">
        <f>IF(B317-'폭압 파라메터 산정'!$E$19&gt;-0.25,'폭압 파라메터 산정'!$E$16*(1-F317/'폭압 파라메터 산정'!$E$20)*EXP(-Graph!$D$3*F317/'폭압 파라메터 산정'!$E$20),0)</f>
        <v>-0.77186627995364421</v>
      </c>
    </row>
    <row r="318" spans="2:8" x14ac:dyDescent="0.3">
      <c r="B318">
        <f t="shared" si="4"/>
        <v>77.75</v>
      </c>
      <c r="C318" s="33">
        <f>IF(B318-'폭압 파라메터 산정'!$C$19&gt;0,B318-'폭압 파라메터 산정'!$C$19, IF(B318-'폭압 파라메터 산정'!$C$19&lt;-0.25,"none",0))</f>
        <v>23.044157721147656</v>
      </c>
      <c r="D318" s="32">
        <f>IF(B318-'폭압 파라메터 산정'!$C$19&gt;-0.25,'폭압 파라메터 산정'!$C$14*(1-Graph!C318/'폭압 파라메터 산정'!$C$20)*EXP(-Graph!$D$3*Graph!C318/'폭압 파라메터 산정'!$C$20),0)</f>
        <v>-0.25913376361122414</v>
      </c>
      <c r="E318" s="32">
        <f>IF(B318-'폭압 파라메터 산정'!$C$19&gt;-0.25,'폭압 파라메터 산정'!$C$16*(1-Graph!C318/'폭압 파라메터 산정'!$C$20)*EXP(-Graph!$D$3*Graph!C318/'폭압 파라메터 산정'!$C$20),0)</f>
        <v>-0.54839367004009798</v>
      </c>
      <c r="F318" s="34">
        <f>IF(B318-'폭압 파라메터 산정'!$E$19&gt;0,B318-'폭압 파라메터 산정'!$E$19, IF(B318-'폭압 파라메터 산정'!$E$19&lt;-0.25,"none",0))</f>
        <v>26.083176975799496</v>
      </c>
      <c r="G318" s="32">
        <f>IF(B318-'폭압 파라메터 산정'!$E$19&gt;-0.25,'폭압 파라메터 산정'!$E$14*(1-F318/'폭압 파라메터 산정'!$E$20)*EXP(-Graph!$D$3*F318/'폭압 파라메터 산정'!$E$20),0)</f>
        <v>-0.35167590544921801</v>
      </c>
      <c r="H318" s="32">
        <f>IF(B318-'폭압 파라메터 산정'!$E$19&gt;-0.25,'폭압 파라메터 산정'!$E$16*(1-F318/'폭압 파라메터 산정'!$E$20)*EXP(-Graph!$D$3*F318/'폭압 파라메터 산정'!$E$20),0)</f>
        <v>-0.75824008569867585</v>
      </c>
    </row>
    <row r="319" spans="2:8" x14ac:dyDescent="0.3">
      <c r="B319">
        <f t="shared" si="4"/>
        <v>78</v>
      </c>
      <c r="C319" s="33">
        <f>IF(B319-'폭압 파라메터 산정'!$C$19&gt;0,B319-'폭압 파라메터 산정'!$C$19, IF(B319-'폭압 파라메터 산정'!$C$19&lt;-0.25,"none",0))</f>
        <v>23.294157721147656</v>
      </c>
      <c r="D319" s="32">
        <f>IF(B319-'폭압 파라메터 산정'!$C$19&gt;-0.25,'폭압 파라메터 산정'!$C$14*(1-Graph!C319/'폭압 파라메터 산정'!$C$20)*EXP(-Graph!$D$3*Graph!C319/'폭압 파라메터 산정'!$C$20),0)</f>
        <v>-0.25376209104954611</v>
      </c>
      <c r="E319" s="32">
        <f>IF(B319-'폭압 파라메터 산정'!$C$19&gt;-0.25,'폭압 파라메터 산정'!$C$16*(1-Graph!C319/'폭압 파라메터 산정'!$C$20)*EXP(-Graph!$D$3*Graph!C319/'폭압 파라메터 산정'!$C$20),0)</f>
        <v>-0.53702582978145896</v>
      </c>
      <c r="F319" s="34">
        <f>IF(B319-'폭압 파라메터 산정'!$E$19&gt;0,B319-'폭압 파라메터 산정'!$E$19, IF(B319-'폭압 파라메터 산정'!$E$19&lt;-0.25,"none",0))</f>
        <v>26.333176975799496</v>
      </c>
      <c r="G319" s="32">
        <f>IF(B319-'폭압 파라메터 산정'!$E$19&gt;-0.25,'폭압 파라메터 산정'!$E$14*(1-F319/'폭압 파라메터 산정'!$E$20)*EXP(-Graph!$D$3*F319/'폭압 파라메터 산정'!$E$20),0)</f>
        <v>-0.34533528724156759</v>
      </c>
      <c r="H319" s="32">
        <f>IF(B319-'폭압 파라메터 산정'!$E$19&gt;-0.25,'폭압 파라메터 산정'!$E$16*(1-F319/'폭압 파라메터 산정'!$E$20)*EXP(-Graph!$D$3*F319/'폭압 파라메터 산정'!$E$20),0)</f>
        <v>-0.74456922904157785</v>
      </c>
    </row>
    <row r="320" spans="2:8" x14ac:dyDescent="0.3">
      <c r="B320">
        <f t="shared" si="4"/>
        <v>78.25</v>
      </c>
      <c r="C320" s="33">
        <f>IF(B320-'폭압 파라메터 산정'!$C$19&gt;0,B320-'폭압 파라메터 산정'!$C$19, IF(B320-'폭압 파라메터 산정'!$C$19&lt;-0.25,"none",0))</f>
        <v>23.544157721147656</v>
      </c>
      <c r="D320" s="32">
        <f>IF(B320-'폭압 파라메터 산정'!$C$19&gt;-0.25,'폭압 파라메터 산정'!$C$14*(1-Graph!C320/'폭압 파라메터 산정'!$C$20)*EXP(-Graph!$D$3*Graph!C320/'폭압 파라메터 산정'!$C$20),0)</f>
        <v>-0.24838626817694309</v>
      </c>
      <c r="E320" s="32">
        <f>IF(B320-'폭압 파라메터 산정'!$C$19&gt;-0.25,'폭압 파라메터 산정'!$C$16*(1-Graph!C320/'폭압 파라메터 산정'!$C$20)*EXP(-Graph!$D$3*Graph!C320/'폭압 파라메터 산정'!$C$20),0)</f>
        <v>-0.52564920639781054</v>
      </c>
      <c r="F320" s="34">
        <f>IF(B320-'폭압 파라메터 산정'!$E$19&gt;0,B320-'폭압 파라메터 산정'!$E$19, IF(B320-'폭압 파라메터 산정'!$E$19&lt;-0.25,"none",0))</f>
        <v>26.583176975799496</v>
      </c>
      <c r="G320" s="32">
        <f>IF(B320-'폭압 파라메터 산정'!$E$19&gt;-0.25,'폭압 파라메터 산정'!$E$14*(1-F320/'폭압 파라메터 산정'!$E$20)*EXP(-Graph!$D$3*F320/'폭압 파라메터 산정'!$E$20),0)</f>
        <v>-0.33898407629413968</v>
      </c>
      <c r="H320" s="32">
        <f>IF(B320-'폭압 파라메터 산정'!$E$19&gt;-0.25,'폭압 파라메터 산정'!$E$16*(1-F320/'폭압 파라메터 산정'!$E$20)*EXP(-Graph!$D$3*F320/'폭압 파라메터 산정'!$E$20),0)</f>
        <v>-0.73087553362927282</v>
      </c>
    </row>
    <row r="321" spans="2:8" x14ac:dyDescent="0.3">
      <c r="B321">
        <f t="shared" si="4"/>
        <v>78.5</v>
      </c>
      <c r="C321" s="33">
        <f>IF(B321-'폭압 파라메터 산정'!$C$19&gt;0,B321-'폭압 파라메터 산정'!$C$19, IF(B321-'폭압 파라메터 산정'!$C$19&lt;-0.25,"none",0))</f>
        <v>23.794157721147656</v>
      </c>
      <c r="D321" s="32">
        <f>IF(B321-'폭압 파라메터 산정'!$C$19&gt;-0.25,'폭압 파라메터 산정'!$C$14*(1-Graph!C321/'폭압 파라메터 산정'!$C$20)*EXP(-Graph!$D$3*Graph!C321/'폭압 파라메터 산정'!$C$20),0)</f>
        <v>-0.2430160465350423</v>
      </c>
      <c r="E321" s="32">
        <f>IF(B321-'폭압 파라메터 산정'!$C$19&gt;-0.25,'폭압 파라메터 산정'!$C$16*(1-Graph!C321/'폭압 파라메터 산정'!$C$20)*EXP(-Graph!$D$3*Graph!C321/'폭압 파라메터 산정'!$C$20),0)</f>
        <v>-0.51428443665846824</v>
      </c>
      <c r="F321" s="34">
        <f>IF(B321-'폭압 파라메터 산정'!$E$19&gt;0,B321-'폭압 파라메터 산정'!$E$19, IF(B321-'폭압 파라메터 산정'!$E$19&lt;-0.25,"none",0))</f>
        <v>26.833176975799496</v>
      </c>
      <c r="G321" s="32">
        <f>IF(B321-'폭압 파라메터 산정'!$E$19&gt;-0.25,'폭압 파라메터 산정'!$E$14*(1-F321/'폭압 파라메터 산정'!$E$20)*EXP(-Graph!$D$3*F321/'폭압 파라메터 산정'!$E$20),0)</f>
        <v>-0.33263167618557099</v>
      </c>
      <c r="H321" s="32">
        <f>IF(B321-'폭압 파라메터 산정'!$E$19&gt;-0.25,'폭압 파라메터 산정'!$E$16*(1-F321/'폭압 파라메터 산정'!$E$20)*EXP(-Graph!$D$3*F321/'폭압 파라메터 산정'!$E$20),0)</f>
        <v>-0.71717927429481321</v>
      </c>
    </row>
    <row r="322" spans="2:8" x14ac:dyDescent="0.3">
      <c r="B322">
        <f t="shared" si="4"/>
        <v>78.75</v>
      </c>
      <c r="C322" s="33">
        <f>IF(B322-'폭압 파라메터 산정'!$C$19&gt;0,B322-'폭압 파라메터 산정'!$C$19, IF(B322-'폭압 파라메터 산정'!$C$19&lt;-0.25,"none",0))</f>
        <v>24.044157721147656</v>
      </c>
      <c r="D322" s="32">
        <f>IF(B322-'폭압 파라메터 산정'!$C$19&gt;-0.25,'폭압 파라메터 산정'!$C$14*(1-Graph!C322/'폭압 파라메터 산정'!$C$20)*EXP(-Graph!$D$3*Graph!C322/'폭압 파라메터 산정'!$C$20),0)</f>
        <v>-0.23766036889386732</v>
      </c>
      <c r="E322" s="32">
        <f>IF(B322-'폭압 파라메터 산정'!$C$19&gt;-0.25,'폭압 파라메터 산정'!$C$16*(1-Graph!C322/'폭압 파라메터 산정'!$C$20)*EXP(-Graph!$D$3*Graph!C322/'폭압 파라메터 산정'!$C$20),0)</f>
        <v>-0.50295044576408965</v>
      </c>
      <c r="F322" s="34">
        <f>IF(B322-'폭압 파라메터 산정'!$E$19&gt;0,B322-'폭압 파라메터 산정'!$E$19, IF(B322-'폭압 파라메터 산정'!$E$19&lt;-0.25,"none",0))</f>
        <v>27.083176975799496</v>
      </c>
      <c r="G322" s="32">
        <f>IF(B322-'폭압 파라메터 산정'!$E$19&gt;-0.25,'폭압 파라메터 산정'!$E$14*(1-F322/'폭압 파라메터 산정'!$E$20)*EXP(-Graph!$D$3*F322/'폭압 파라메터 산정'!$E$20),0)</f>
        <v>-0.32628681136174509</v>
      </c>
      <c r="H322" s="32">
        <f>IF(B322-'폭압 파라메터 산정'!$E$19&gt;-0.25,'폭압 파라메터 산정'!$E$16*(1-F322/'폭압 파라메터 산정'!$E$20)*EXP(-Graph!$D$3*F322/'폭압 파라메터 산정'!$E$20),0)</f>
        <v>-0.70349926160921583</v>
      </c>
    </row>
    <row r="323" spans="2:8" x14ac:dyDescent="0.3">
      <c r="B323">
        <f t="shared" si="4"/>
        <v>79</v>
      </c>
      <c r="C323" s="33">
        <f>IF(B323-'폭압 파라메터 산정'!$C$19&gt;0,B323-'폭압 파라메터 산정'!$C$19, IF(B323-'폭압 파라메터 산정'!$C$19&lt;-0.25,"none",0))</f>
        <v>24.294157721147656</v>
      </c>
      <c r="D323" s="32">
        <f>IF(B323-'폭압 파라메터 산정'!$C$19&gt;-0.25,'폭압 파라메터 산정'!$C$14*(1-Graph!C323/'폭압 파라메터 산정'!$C$20)*EXP(-Graph!$D$3*Graph!C323/'폭압 파라메터 산정'!$C$20),0)</f>
        <v>-0.23232741986011129</v>
      </c>
      <c r="E323" s="32">
        <f>IF(B323-'폭압 파라메터 산정'!$C$19&gt;-0.25,'폭압 파라메터 산정'!$C$16*(1-Graph!C323/'폭압 파라메터 산정'!$C$20)*EXP(-Graph!$D$3*Graph!C323/'폭압 파라메터 산정'!$C$20),0)</f>
        <v>-0.4916645544467933</v>
      </c>
      <c r="F323" s="34">
        <f>IF(B323-'폭압 파라메터 산정'!$E$19&gt;0,B323-'폭압 파라메터 산정'!$E$19, IF(B323-'폭압 파라메터 산정'!$E$19&lt;-0.25,"none",0))</f>
        <v>27.333176975799496</v>
      </c>
      <c r="G323" s="32">
        <f>IF(B323-'폭압 파라메터 산정'!$E$19&gt;-0.25,'폭압 파라메터 산정'!$E$14*(1-F323/'폭압 파라메터 산정'!$E$20)*EXP(-Graph!$D$3*F323/'폭압 파라메터 산정'!$E$20),0)</f>
        <v>-0.3199575644359976</v>
      </c>
      <c r="H323" s="32">
        <f>IF(B323-'폭압 파라메터 산정'!$E$19&gt;-0.25,'폭압 파라메터 산정'!$E$16*(1-F323/'폭압 파라메터 산정'!$E$20)*EXP(-Graph!$D$3*F323/'폭압 파라메터 산정'!$E$20),0)</f>
        <v>-0.68985292230355111</v>
      </c>
    </row>
    <row r="324" spans="2:8" x14ac:dyDescent="0.3">
      <c r="B324">
        <f t="shared" si="4"/>
        <v>79.25</v>
      </c>
      <c r="C324" s="33">
        <f>IF(B324-'폭압 파라메터 산정'!$C$19&gt;0,B324-'폭압 파라메터 산정'!$C$19, IF(B324-'폭압 파라메터 산정'!$C$19&lt;-0.25,"none",0))</f>
        <v>24.544157721147656</v>
      </c>
      <c r="D324" s="32">
        <f>IF(B324-'폭압 파라메터 산정'!$C$19&gt;-0.25,'폭압 파라메터 산정'!$C$14*(1-Graph!C324/'폭압 파라메터 산정'!$C$20)*EXP(-Graph!$D$3*Graph!C324/'폭압 파라메터 산정'!$C$20),0)</f>
        <v>-0.2270246736662869</v>
      </c>
      <c r="E324" s="32">
        <f>IF(B324-'폭압 파라메터 산정'!$C$19&gt;-0.25,'폭압 파라메터 산정'!$C$16*(1-Graph!C324/'폭압 파라메터 산정'!$C$20)*EXP(-Graph!$D$3*Graph!C324/'폭압 파라메터 산정'!$C$20),0)</f>
        <v>-0.48044258010428598</v>
      </c>
      <c r="F324" s="34">
        <f>IF(B324-'폭압 파라메터 산정'!$E$19&gt;0,B324-'폭압 파라메터 산정'!$E$19, IF(B324-'폭압 파라메터 산정'!$E$19&lt;-0.25,"none",0))</f>
        <v>27.583176975799496</v>
      </c>
      <c r="G324" s="32">
        <f>IF(B324-'폭압 파라메터 산정'!$E$19&gt;-0.25,'폭압 파라메터 산정'!$E$14*(1-F324/'폭압 파라메터 산정'!$E$20)*EXP(-Graph!$D$3*F324/'폭압 파라메터 산정'!$E$20),0)</f>
        <v>-0.31365141166186405</v>
      </c>
      <c r="H324" s="32">
        <f>IF(B324-'폭압 파라메터 산정'!$E$19&gt;-0.25,'폭압 파라메터 산정'!$E$16*(1-F324/'폭압 파라메터 산정'!$E$20)*EXP(-Graph!$D$3*F324/'폭압 파라메터 산정'!$E$20),0)</f>
        <v>-0.67625637575089448</v>
      </c>
    </row>
    <row r="325" spans="2:8" x14ac:dyDescent="0.3">
      <c r="B325">
        <f t="shared" si="4"/>
        <v>79.5</v>
      </c>
      <c r="C325" s="33">
        <f>IF(B325-'폭압 파라메터 산정'!$C$19&gt;0,B325-'폭압 파라메터 산정'!$C$19, IF(B325-'폭압 파라메터 산정'!$C$19&lt;-0.25,"none",0))</f>
        <v>24.794157721147656</v>
      </c>
      <c r="D325" s="32">
        <f>IF(B325-'폭압 파라메터 산정'!$C$19&gt;-0.25,'폭압 파라메터 산정'!$C$14*(1-Graph!C325/'폭압 파라메터 산정'!$C$20)*EXP(-Graph!$D$3*Graph!C325/'폭압 파라메터 산정'!$C$20),0)</f>
        <v>-0.22175893928806087</v>
      </c>
      <c r="E325" s="32">
        <f>IF(B325-'폭압 파라메터 산정'!$C$19&gt;-0.25,'폭압 파라메터 산정'!$C$16*(1-Graph!C325/'폭압 파라메터 산정'!$C$20)*EXP(-Graph!$D$3*Graph!C325/'폭압 파라메터 산정'!$C$20),0)</f>
        <v>-0.46929893227974356</v>
      </c>
      <c r="F325" s="34">
        <f>IF(B325-'폭압 파라메터 산정'!$E$19&gt;0,B325-'폭압 파라메터 산정'!$E$19, IF(B325-'폭압 파라메터 산정'!$E$19&lt;-0.25,"none",0))</f>
        <v>27.833176975799496</v>
      </c>
      <c r="G325" s="32">
        <f>IF(B325-'폭압 파라메터 산정'!$E$19&gt;-0.25,'폭압 파라메터 산정'!$E$14*(1-F325/'폭압 파라메터 산정'!$E$20)*EXP(-Graph!$D$3*F325/'폭압 파라메터 산정'!$E$20),0)</f>
        <v>-0.30737525666242321</v>
      </c>
      <c r="H325" s="32">
        <f>IF(B325-'폭압 파라메터 산정'!$E$19&gt;-0.25,'폭압 파라메터 산정'!$E$16*(1-F325/'폭압 파라메터 산정'!$E$20)*EXP(-Graph!$D$3*F325/'폭압 파라메터 산정'!$E$20),0)</f>
        <v>-0.66272450668936345</v>
      </c>
    </row>
    <row r="326" spans="2:8" x14ac:dyDescent="0.3">
      <c r="B326">
        <f t="shared" si="4"/>
        <v>79.75</v>
      </c>
      <c r="C326" s="33">
        <f>IF(B326-'폭압 파라메터 산정'!$C$19&gt;0,B326-'폭압 파라메터 산정'!$C$19, IF(B326-'폭압 파라메터 산정'!$C$19&lt;-0.25,"none",0))</f>
        <v>25.044157721147656</v>
      </c>
      <c r="D326" s="32">
        <f>IF(B326-'폭압 파라메터 산정'!$C$19&gt;-0.25,'폭압 파라메터 산정'!$C$14*(1-Graph!C326/'폭압 파라메터 산정'!$C$20)*EXP(-Graph!$D$3*Graph!C326/'폭압 파라메터 산정'!$C$20),0)</f>
        <v>-0.21653640302969643</v>
      </c>
      <c r="E326" s="32">
        <f>IF(B326-'폭압 파라메터 산정'!$C$19&gt;-0.25,'폭압 파라메터 산정'!$C$16*(1-Graph!C326/'폭압 파라메터 산정'!$C$20)*EXP(-Graph!$D$3*Graph!C326/'폭압 파라메터 산정'!$C$20),0)</f>
        <v>-0.45824670278355639</v>
      </c>
      <c r="F326" s="34">
        <f>IF(B326-'폭압 파라메터 산정'!$E$19&gt;0,B326-'폭압 파라메터 산정'!$E$19, IF(B326-'폭압 파라메터 산정'!$E$19&lt;-0.25,"none",0))</f>
        <v>28.083176975799496</v>
      </c>
      <c r="G326" s="32">
        <f>IF(B326-'폭압 파라메터 산정'!$E$19&gt;-0.25,'폭압 파라메터 산정'!$E$14*(1-F326/'폭압 파라메터 산정'!$E$20)*EXP(-Graph!$D$3*F326/'폭압 파라메터 산정'!$E$20),0)</f>
        <v>-0.30113546249658224</v>
      </c>
      <c r="H326" s="32">
        <f>IF(B326-'폭압 파라메터 산정'!$E$19&gt;-0.25,'폭압 파라메터 산정'!$E$16*(1-F326/'폭압 파라메터 산정'!$E$20)*EXP(-Graph!$D$3*F326/'폭압 파라메터 산정'!$E$20),0)</f>
        <v>-0.64927103435947553</v>
      </c>
    </row>
    <row r="327" spans="2:8" x14ac:dyDescent="0.3">
      <c r="B327">
        <f t="shared" si="4"/>
        <v>80</v>
      </c>
      <c r="C327" s="33">
        <f>IF(B327-'폭압 파라메터 산정'!$C$19&gt;0,B327-'폭압 파라메터 산정'!$C$19, IF(B327-'폭압 파라메터 산정'!$C$19&lt;-0.25,"none",0))</f>
        <v>25.294157721147656</v>
      </c>
      <c r="D327" s="32">
        <f>IF(B327-'폭압 파라메터 산정'!$C$19&gt;-0.25,'폭압 파라메터 산정'!$C$14*(1-Graph!C327/'폭압 파라메터 산정'!$C$20)*EXP(-Graph!$D$3*Graph!C327/'폭압 파라메터 산정'!$C$20),0)</f>
        <v>-0.21136266871049186</v>
      </c>
      <c r="E327" s="32">
        <f>IF(B327-'폭압 파라메터 산정'!$C$19&gt;-0.25,'폭압 파라메터 산정'!$C$16*(1-Graph!C327/'폭압 파라메터 산정'!$C$20)*EXP(-Graph!$D$3*Graph!C327/'폭압 파라메터 산정'!$C$20),0)</f>
        <v>-0.44729775073816536</v>
      </c>
      <c r="F327" s="34">
        <f>IF(B327-'폭압 파라메터 산정'!$E$19&gt;0,B327-'폭압 파라메터 산정'!$E$19, IF(B327-'폭압 파라메터 산정'!$E$19&lt;-0.25,"none",0))</f>
        <v>28.333176975799496</v>
      </c>
      <c r="G327" s="32">
        <f>IF(B327-'폭압 파라메터 산정'!$E$19&gt;-0.25,'폭압 파라메터 산정'!$E$14*(1-F327/'폭압 파라메터 산정'!$E$20)*EXP(-Graph!$D$3*F327/'폭압 파라메터 산정'!$E$20),0)</f>
        <v>-0.29493788213908695</v>
      </c>
      <c r="H327" s="32">
        <f>IF(B327-'폭압 파라메터 산정'!$E$19&gt;-0.25,'폭압 파라메터 산정'!$E$16*(1-F327/'폭압 파라메터 산정'!$E$20)*EXP(-Graph!$D$3*F327/'폭압 파라메터 산정'!$E$20),0)</f>
        <v>-0.63590857822137581</v>
      </c>
    </row>
    <row r="328" spans="2:8" x14ac:dyDescent="0.3">
      <c r="B328">
        <f t="shared" si="4"/>
        <v>80.25</v>
      </c>
      <c r="C328" s="33">
        <f>IF(B328-'폭압 파라메터 산정'!$C$19&gt;0,B328-'폭압 파라메터 산정'!$C$19, IF(B328-'폭압 파라메터 산정'!$C$19&lt;-0.25,"none",0))</f>
        <v>25.544157721147656</v>
      </c>
      <c r="D328" s="32">
        <f>IF(B328-'폭압 파라메터 산정'!$C$19&gt;-0.25,'폭압 파라메터 산정'!$C$14*(1-Graph!C328/'폭압 파라메터 산정'!$C$20)*EXP(-Graph!$D$3*Graph!C328/'폭압 파라메터 산정'!$C$20),0)</f>
        <v>-0.20624279557841596</v>
      </c>
      <c r="E328" s="32">
        <f>IF(B328-'폭압 파라메터 산정'!$C$19&gt;-0.25,'폭압 파라메터 산정'!$C$16*(1-Graph!C328/'폭압 파라메터 산정'!$C$20)*EXP(-Graph!$D$3*Graph!C328/'폭압 파라메터 산정'!$C$20),0)</f>
        <v>-0.4364627828130625</v>
      </c>
      <c r="F328" s="34">
        <f>IF(B328-'폭압 파라메터 산정'!$E$19&gt;0,B328-'폭압 파라메터 산정'!$E$19, IF(B328-'폭압 파라메터 산정'!$E$19&lt;-0.25,"none",0))</f>
        <v>28.583176975799496</v>
      </c>
      <c r="G328" s="32">
        <f>IF(B328-'폭압 파라메터 산정'!$E$19&gt;-0.25,'폭압 파라메터 산정'!$E$14*(1-F328/'폭압 파라메터 산정'!$E$20)*EXP(-Graph!$D$3*F328/'폭압 파라메터 산정'!$E$20),0)</f>
        <v>-0.28878788744764722</v>
      </c>
      <c r="H328" s="32">
        <f>IF(B328-'폭압 파라메터 산정'!$E$19&gt;-0.25,'폭압 파라메터 산정'!$E$16*(1-F328/'폭압 파라메터 산정'!$E$20)*EXP(-Graph!$D$3*F328/'폭압 파라메터 산정'!$E$20),0)</f>
        <v>-0.62264872041017016</v>
      </c>
    </row>
    <row r="329" spans="2:8" x14ac:dyDescent="0.3">
      <c r="B329">
        <f t="shared" ref="B329:B392" si="5">B328+0.25</f>
        <v>80.5</v>
      </c>
      <c r="C329" s="33">
        <f>IF(B329-'폭압 파라메터 산정'!$C$19&gt;0,B329-'폭압 파라메터 산정'!$C$19, IF(B329-'폭압 파라메터 산정'!$C$19&lt;-0.25,"none",0))</f>
        <v>25.794157721147656</v>
      </c>
      <c r="D329" s="32">
        <f>IF(B329-'폭압 파라메터 산정'!$C$19&gt;-0.25,'폭압 파라메터 산정'!$C$14*(1-Graph!C329/'폭압 파라메터 산정'!$C$20)*EXP(-Graph!$D$3*Graph!C329/'폭압 파라메터 산정'!$C$20),0)</f>
        <v>-0.20118133407078018</v>
      </c>
      <c r="E329" s="32">
        <f>IF(B329-'폭압 파라메터 산정'!$C$19&gt;-0.25,'폭압 파라메터 산정'!$C$16*(1-Graph!C329/'폭압 파라메터 산정'!$C$20)*EXP(-Graph!$D$3*Graph!C329/'폭압 파라메터 산정'!$C$20),0)</f>
        <v>-0.42575142890356815</v>
      </c>
      <c r="F329" s="34">
        <f>IF(B329-'폭압 파라메터 산정'!$E$19&gt;0,B329-'폭압 파라메터 산정'!$E$19, IF(B329-'폭압 파라메터 산정'!$E$19&lt;-0.25,"none",0))</f>
        <v>28.833176975799496</v>
      </c>
      <c r="G329" s="32">
        <f>IF(B329-'폭압 파라메터 산정'!$E$19&gt;-0.25,'폭압 파라메터 산정'!$E$14*(1-F329/'폭압 파라메터 산정'!$E$20)*EXP(-Graph!$D$3*F329/'폭압 파라메터 산정'!$E$20),0)</f>
        <v>-0.28269039668730578</v>
      </c>
      <c r="H329" s="32">
        <f>IF(B329-'폭압 파라메터 산정'!$E$19&gt;-0.25,'폭압 파라메터 산정'!$E$16*(1-F329/'폭압 파라메터 산정'!$E$20)*EXP(-Graph!$D$3*F329/'폭압 파라메터 산정'!$E$20),0)</f>
        <v>-0.60950206508056359</v>
      </c>
    </row>
    <row r="330" spans="2:8" x14ac:dyDescent="0.3">
      <c r="B330">
        <f t="shared" si="5"/>
        <v>80.75</v>
      </c>
      <c r="C330" s="33">
        <f>IF(B330-'폭압 파라메터 산정'!$C$19&gt;0,B330-'폭압 파라메터 산정'!$C$19, IF(B330-'폭압 파라메터 산정'!$C$19&lt;-0.25,"none",0))</f>
        <v>26.044157721147656</v>
      </c>
      <c r="D330" s="32">
        <f>IF(B330-'폭압 파라메터 산정'!$C$19&gt;-0.25,'폭압 파라메터 산정'!$C$14*(1-Graph!C330/'폭압 파라메터 산정'!$C$20)*EXP(-Graph!$D$3*Graph!C330/'폭압 파라메터 산정'!$C$20),0)</f>
        <v>-0.19618235953573904</v>
      </c>
      <c r="E330" s="32">
        <f>IF(B330-'폭압 파라메터 산정'!$C$19&gt;-0.25,'폭압 파라메터 산정'!$C$16*(1-Graph!C330/'폭압 파라메터 산정'!$C$20)*EXP(-Graph!$D$3*Graph!C330/'폭압 파라메터 산정'!$C$20),0)</f>
        <v>-0.4151723134941957</v>
      </c>
      <c r="F330" s="34">
        <f>IF(B330-'폭압 파라메터 산정'!$E$19&gt;0,B330-'폭압 파라메터 산정'!$E$19, IF(B330-'폭압 파라메터 산정'!$E$19&lt;-0.25,"none",0))</f>
        <v>29.083176975799496</v>
      </c>
      <c r="G330" s="32">
        <f>IF(B330-'폭압 파라메터 산정'!$E$19&gt;-0.25,'폭압 파라메터 산정'!$E$14*(1-F330/'폭압 파라메터 산정'!$E$20)*EXP(-Graph!$D$3*F330/'폭압 파라메터 산정'!$E$20),0)</f>
        <v>-0.27664990067906775</v>
      </c>
      <c r="H330" s="32">
        <f>IF(B330-'폭압 파라메터 산정'!$E$19&gt;-0.25,'폭압 파라메터 산정'!$E$16*(1-F330/'폭압 파라메터 산정'!$E$20)*EXP(-Graph!$D$3*F330/'폭압 파라메터 산정'!$E$20),0)</f>
        <v>-0.59647829478530157</v>
      </c>
    </row>
    <row r="331" spans="2:8" x14ac:dyDescent="0.3">
      <c r="B331">
        <f t="shared" si="5"/>
        <v>81</v>
      </c>
      <c r="C331" s="33">
        <f>IF(B331-'폭압 파라메터 산정'!$C$19&gt;0,B331-'폭압 파라메터 산정'!$C$19, IF(B331-'폭압 파라메터 산정'!$C$19&lt;-0.25,"none",0))</f>
        <v>26.294157721147656</v>
      </c>
      <c r="D331" s="32">
        <f>IF(B331-'폭압 파라메터 산정'!$C$19&gt;-0.25,'폭압 파라메터 산정'!$C$14*(1-Graph!C331/'폭압 파라메터 산정'!$C$20)*EXP(-Graph!$D$3*Graph!C331/'폭압 파라메터 산정'!$C$20),0)</f>
        <v>-0.19124950402265528</v>
      </c>
      <c r="E331" s="32">
        <f>IF(B331-'폭압 파라메터 산정'!$C$19&gt;-0.25,'폭압 파라메터 산정'!$C$16*(1-Graph!C331/'폭압 파라메터 산정'!$C$20)*EXP(-Graph!$D$3*Graph!C331/'폭압 파라메터 산정'!$C$20),0)</f>
        <v>-0.40473312293523772</v>
      </c>
      <c r="F331" s="34">
        <f>IF(B331-'폭압 파라메터 산정'!$E$19&gt;0,B331-'폭압 파라메터 산정'!$E$19, IF(B331-'폭압 파라메터 산정'!$E$19&lt;-0.25,"none",0))</f>
        <v>29.333176975799496</v>
      </c>
      <c r="G331" s="32">
        <f>IF(B331-'폭압 파라메터 산정'!$E$19&gt;-0.25,'폭압 파라메터 산정'!$E$14*(1-F331/'폭압 파라메터 산정'!$E$20)*EXP(-Graph!$D$3*F331/'폭압 파라메터 산정'!$E$20),0)</f>
        <v>-0.27067048763682322</v>
      </c>
      <c r="H331" s="32">
        <f>IF(B331-'폭압 파라메터 산정'!$E$19&gt;-0.25,'폭압 파라메터 산정'!$E$16*(1-F331/'폭압 파라메터 산정'!$E$20)*EXP(-Graph!$D$3*F331/'폭압 파라메터 산정'!$E$20),0)</f>
        <v>-0.58358622402546945</v>
      </c>
    </row>
    <row r="332" spans="2:8" x14ac:dyDescent="0.3">
      <c r="B332">
        <f t="shared" si="5"/>
        <v>81.25</v>
      </c>
      <c r="C332" s="33">
        <f>IF(B332-'폭압 파라메터 산정'!$C$19&gt;0,B332-'폭압 파라메터 산정'!$C$19, IF(B332-'폭압 파라메터 산정'!$C$19&lt;-0.25,"none",0))</f>
        <v>26.544157721147656</v>
      </c>
      <c r="D332" s="32">
        <f>IF(B332-'폭압 파라메터 산정'!$C$19&gt;-0.25,'폭압 파라메터 산정'!$C$14*(1-Graph!C332/'폭압 파라메터 산정'!$C$20)*EXP(-Graph!$D$3*Graph!C332/'폭압 파라메터 산정'!$C$20),0)</f>
        <v>-0.1863859862438963</v>
      </c>
      <c r="E332" s="32">
        <f>IF(B332-'폭압 파라메터 산정'!$C$19&gt;-0.25,'폭압 파라메터 산정'!$C$16*(1-Graph!C332/'폭압 파라메터 산정'!$C$20)*EXP(-Graph!$D$3*Graph!C332/'폭압 파라메터 산정'!$C$20),0)</f>
        <v>-0.3944406688496313</v>
      </c>
      <c r="F332" s="34">
        <f>IF(B332-'폭압 파라메터 산정'!$E$19&gt;0,B332-'폭압 파라메터 산정'!$E$19, IF(B332-'폭압 파라메터 산정'!$E$19&lt;-0.25,"none",0))</f>
        <v>29.583176975799496</v>
      </c>
      <c r="G332" s="32">
        <f>IF(B332-'폭압 파라메터 산정'!$E$19&gt;-0.25,'폭압 파라메터 산정'!$E$14*(1-F332/'폭압 파라메터 산정'!$E$20)*EXP(-Graph!$D$3*F332/'폭압 파라메터 산정'!$E$20),0)</f>
        <v>-0.26475586675374929</v>
      </c>
      <c r="H332" s="32">
        <f>IF(B332-'폭압 파라메터 산정'!$E$19&gt;-0.25,'폭압 파라메터 산정'!$E$16*(1-F332/'폭압 파라메터 산정'!$E$20)*EXP(-Graph!$D$3*F332/'폭압 파라메터 산정'!$E$20),0)</f>
        <v>-0.57083385010457621</v>
      </c>
    </row>
    <row r="333" spans="2:8" x14ac:dyDescent="0.3">
      <c r="B333">
        <f t="shared" si="5"/>
        <v>81.5</v>
      </c>
      <c r="C333" s="33">
        <f>IF(B333-'폭압 파라메터 산정'!$C$19&gt;0,B333-'폭압 파라메터 산정'!$C$19, IF(B333-'폭압 파라메터 산정'!$C$19&lt;-0.25,"none",0))</f>
        <v>26.794157721147656</v>
      </c>
      <c r="D333" s="32">
        <f>IF(B333-'폭압 파라메터 산정'!$C$19&gt;-0.25,'폭압 파라메터 산정'!$C$14*(1-Graph!C333/'폭압 파라메터 산정'!$C$20)*EXP(-Graph!$D$3*Graph!C333/'폭압 파라메터 산정'!$C$20),0)</f>
        <v>-0.18159463980542703</v>
      </c>
      <c r="E333" s="32">
        <f>IF(B333-'폭압 파라메터 산정'!$C$19&gt;-0.25,'폭압 파라메터 산정'!$C$16*(1-Graph!C333/'폭압 파라메터 산정'!$C$20)*EXP(-Graph!$D$3*Graph!C333/'폭압 파라메터 산정'!$C$20),0)</f>
        <v>-0.3843009478761506</v>
      </c>
      <c r="F333" s="34">
        <f>IF(B333-'폭압 파라메터 산정'!$E$19&gt;0,B333-'폭압 파라메터 산정'!$E$19, IF(B333-'폭압 파라메터 산정'!$E$19&lt;-0.25,"none",0))</f>
        <v>29.833176975799496</v>
      </c>
      <c r="G333" s="32">
        <f>IF(B333-'폭압 파라메터 산정'!$E$19&gt;-0.25,'폭압 파라메터 산정'!$E$14*(1-F333/'폭압 파라메터 산정'!$E$20)*EXP(-Graph!$D$3*F333/'폭압 파라메터 산정'!$E$20),0)</f>
        <v>-0.25890939059664408</v>
      </c>
      <c r="H333" s="32">
        <f>IF(B333-'폭압 파라메터 산정'!$E$19&gt;-0.25,'폭압 파라메터 산정'!$E$16*(1-F333/'폭압 파라메터 산정'!$E$20)*EXP(-Graph!$D$3*F333/'폭압 파라메터 산정'!$E$20),0)</f>
        <v>-0.55822840141244567</v>
      </c>
    </row>
    <row r="334" spans="2:8" x14ac:dyDescent="0.3">
      <c r="B334">
        <f t="shared" si="5"/>
        <v>81.75</v>
      </c>
      <c r="C334" s="33">
        <f>IF(B334-'폭압 파라메터 산정'!$C$19&gt;0,B334-'폭압 파라메터 산정'!$C$19, IF(B334-'폭압 파라메터 산정'!$C$19&lt;-0.25,"none",0))</f>
        <v>27.044157721147656</v>
      </c>
      <c r="D334" s="32">
        <f>IF(B334-'폭압 파라메터 산정'!$C$19&gt;-0.25,'폭압 파라메터 산정'!$C$14*(1-Graph!C334/'폭압 파라메터 산정'!$C$20)*EXP(-Graph!$D$3*Graph!C334/'폭압 파라메터 산정'!$C$20),0)</f>
        <v>-0.17687793979861582</v>
      </c>
      <c r="E334" s="32">
        <f>IF(B334-'폭압 파라메터 산정'!$C$19&gt;-0.25,'폭압 파라메터 산정'!$C$16*(1-Graph!C334/'폭압 파라메터 산정'!$C$20)*EXP(-Graph!$D$3*Graph!C334/'폭압 파라메터 산정'!$C$20),0)</f>
        <v>-0.37431919794450519</v>
      </c>
      <c r="F334" s="34">
        <f>IF(B334-'폭압 파라메터 산정'!$E$19&gt;0,B334-'폭압 파라메터 산정'!$E$19, IF(B334-'폭압 파라메터 산정'!$E$19&lt;-0.25,"none",0))</f>
        <v>30.083176975799496</v>
      </c>
      <c r="G334" s="32">
        <f>IF(B334-'폭압 파라메터 산정'!$E$19&gt;-0.25,'폭압 파라메터 산정'!$E$14*(1-F334/'폭압 파라메터 산정'!$E$20)*EXP(-Graph!$D$3*F334/'폭압 파라메터 산정'!$E$20),0)</f>
        <v>-0.25313407636403773</v>
      </c>
      <c r="H334" s="32">
        <f>IF(B334-'폭압 파라메터 산정'!$E$19&gt;-0.25,'폭압 파라메터 산정'!$E$16*(1-F334/'폭압 파라메터 산정'!$E$20)*EXP(-Graph!$D$3*F334/'폭압 파라메터 산정'!$E$20),0)</f>
        <v>-0.54577638325932665</v>
      </c>
    </row>
    <row r="335" spans="2:8" x14ac:dyDescent="0.3">
      <c r="B335">
        <f t="shared" si="5"/>
        <v>82</v>
      </c>
      <c r="C335" s="33">
        <f>IF(B335-'폭압 파라메터 산정'!$C$19&gt;0,B335-'폭압 파라메터 산정'!$C$19, IF(B335-'폭압 파라메터 산정'!$C$19&lt;-0.25,"none",0))</f>
        <v>27.294157721147656</v>
      </c>
      <c r="D335" s="32">
        <f>IF(B335-'폭압 파라메터 산정'!$C$19&gt;-0.25,'폭압 파라메터 산정'!$C$14*(1-Graph!C335/'폭압 파라메터 산정'!$C$20)*EXP(-Graph!$D$3*Graph!C335/'폭압 파라메터 산정'!$C$20),0)</f>
        <v>-0.17223802784097009</v>
      </c>
      <c r="E335" s="32">
        <f>IF(B335-'폭압 파라메터 산정'!$C$19&gt;-0.25,'폭압 파라메터 산정'!$C$16*(1-Graph!C335/'폭압 파라메터 산정'!$C$20)*EXP(-Graph!$D$3*Graph!C335/'폭압 파라메터 산정'!$C$20),0)</f>
        <v>-0.36449995126797508</v>
      </c>
      <c r="F335" s="34">
        <f>IF(B335-'폭압 파라메터 산정'!$E$19&gt;0,B335-'폭압 파라메터 산정'!$E$19, IF(B335-'폭압 파라메터 산정'!$E$19&lt;-0.25,"none",0))</f>
        <v>30.333176975799496</v>
      </c>
      <c r="G335" s="32">
        <f>IF(B335-'폭압 파라메터 산정'!$E$19&gt;-0.25,'폭압 파라메터 산정'!$E$14*(1-F335/'폭압 파라메터 산정'!$E$20)*EXP(-Graph!$D$3*F335/'폭압 파라메터 산정'!$E$20),0)</f>
        <v>-0.24743262606142361</v>
      </c>
      <c r="H335" s="32">
        <f>IF(B335-'폭압 파라메터 산정'!$E$19&gt;-0.25,'폭압 파라메터 산정'!$E$16*(1-F335/'폭압 파라메터 산정'!$E$20)*EXP(-Graph!$D$3*F335/'폭압 파라메터 산정'!$E$20),0)</f>
        <v>-0.5334836213752312</v>
      </c>
    </row>
    <row r="336" spans="2:8" x14ac:dyDescent="0.3">
      <c r="B336">
        <f t="shared" si="5"/>
        <v>82.25</v>
      </c>
      <c r="C336" s="33">
        <f>IF(B336-'폭압 파라메터 산정'!$C$19&gt;0,B336-'폭압 파라메터 산정'!$C$19, IF(B336-'폭압 파라메터 산정'!$C$19&lt;-0.25,"none",0))</f>
        <v>27.544157721147656</v>
      </c>
      <c r="D336" s="32">
        <f>IF(B336-'폭압 파라메터 산정'!$C$19&gt;-0.25,'폭압 파라메터 산정'!$C$14*(1-Graph!C336/'폭압 파라메터 산정'!$C$20)*EXP(-Graph!$D$3*Graph!C336/'폭압 파라메터 산정'!$C$20),0)</f>
        <v>-0.16767673564904312</v>
      </c>
      <c r="E336" s="32">
        <f>IF(B336-'폭압 파라메터 산정'!$C$19&gt;-0.25,'폭압 파라메터 산정'!$C$16*(1-Graph!C336/'폭압 파라메터 산정'!$C$20)*EXP(-Graph!$D$3*Graph!C336/'폭압 파라메터 산정'!$C$20),0)</f>
        <v>-0.35484708422974193</v>
      </c>
      <c r="F336" s="34">
        <f>IF(B336-'폭압 파라메터 산정'!$E$19&gt;0,B336-'폭압 파라메터 산정'!$E$19, IF(B336-'폭압 파라메터 산정'!$E$19&lt;-0.25,"none",0))</f>
        <v>30.583176975799496</v>
      </c>
      <c r="G336" s="32">
        <f>IF(B336-'폭압 파라메터 산정'!$E$19&gt;-0.25,'폭압 파라메터 산정'!$E$14*(1-F336/'폭압 파라메터 산정'!$E$20)*EXP(-Graph!$D$3*F336/'폭압 파라메터 산정'!$E$20),0)</f>
        <v>-0.24180744564457127</v>
      </c>
      <c r="H336" s="32">
        <f>IF(B336-'폭압 파라메터 산정'!$E$19&gt;-0.25,'폭압 파라메터 산정'!$E$16*(1-F336/'폭압 파라메터 산정'!$E$20)*EXP(-Graph!$D$3*F336/'폭압 파라메터 산정'!$E$20),0)</f>
        <v>-0.52135530318437773</v>
      </c>
    </row>
    <row r="337" spans="2:8" x14ac:dyDescent="0.3">
      <c r="B337">
        <f t="shared" si="5"/>
        <v>82.5</v>
      </c>
      <c r="C337" s="33">
        <f>IF(B337-'폭압 파라메터 산정'!$C$19&gt;0,B337-'폭압 파라메터 산정'!$C$19, IF(B337-'폭압 파라메터 산정'!$C$19&lt;-0.25,"none",0))</f>
        <v>27.794157721147656</v>
      </c>
      <c r="D337" s="32">
        <f>IF(B337-'폭압 파라메터 산정'!$C$19&gt;-0.25,'폭압 파라메터 산정'!$C$14*(1-Graph!C337/'폭압 파라메터 산정'!$C$20)*EXP(-Graph!$D$3*Graph!C337/'폭압 파라메터 산정'!$C$20),0)</f>
        <v>-0.16319560722250701</v>
      </c>
      <c r="E337" s="32">
        <f>IF(B337-'폭압 파라메터 산정'!$C$19&gt;-0.25,'폭압 파라메터 산정'!$C$16*(1-Graph!C337/'폭압 파라메터 산정'!$C$20)*EXP(-Graph!$D$3*Graph!C337/'폭압 파라메터 산정'!$C$20),0)</f>
        <v>-0.34536386433009192</v>
      </c>
      <c r="F337" s="34">
        <f>IF(B337-'폭압 파라메터 산정'!$E$19&gt;0,B337-'폭압 파라메터 산정'!$E$19, IF(B337-'폭압 파라메터 산정'!$E$19&lt;-0.25,"none",0))</f>
        <v>30.833176975799496</v>
      </c>
      <c r="G337" s="32">
        <f>IF(B337-'폭압 파라메터 산정'!$E$19&gt;-0.25,'폭압 파라메터 산정'!$E$14*(1-F337/'폭압 파라메터 산정'!$E$20)*EXP(-Graph!$D$3*F337/'폭압 파라메터 산정'!$E$20),0)</f>
        <v>-0.23626066317958899</v>
      </c>
      <c r="H337" s="32">
        <f>IF(B337-'폭압 파라메터 산정'!$E$19&gt;-0.25,'폭압 파라메터 산정'!$E$16*(1-F337/'폭압 파라메터 산정'!$E$20)*EXP(-Graph!$D$3*F337/'폭압 파라메터 산정'!$E$20),0)</f>
        <v>-0.50939601695967107</v>
      </c>
    </row>
    <row r="338" spans="2:8" x14ac:dyDescent="0.3">
      <c r="B338">
        <f t="shared" si="5"/>
        <v>82.75</v>
      </c>
      <c r="C338" s="33">
        <f>IF(B338-'폭압 파라메터 산정'!$C$19&gt;0,B338-'폭압 파라메터 산정'!$C$19, IF(B338-'폭압 파라메터 산정'!$C$19&lt;-0.25,"none",0))</f>
        <v>28.044157721147656</v>
      </c>
      <c r="D338" s="32">
        <f>IF(B338-'폭압 파라메터 산정'!$C$19&gt;-0.25,'폭압 파라메터 산정'!$C$14*(1-Graph!C338/'폭압 파라메터 산정'!$C$20)*EXP(-Graph!$D$3*Graph!C338/'폭압 파라메터 산정'!$C$20),0)</f>
        <v>-0.15879591971434351</v>
      </c>
      <c r="E338" s="32">
        <f>IF(B338-'폭압 파라메터 산정'!$C$19&gt;-0.25,'폭압 파라메터 산정'!$C$16*(1-Graph!C338/'폭압 파라메터 산정'!$C$20)*EXP(-Graph!$D$3*Graph!C338/'폭압 파라메터 산정'!$C$20),0)</f>
        <v>-0.33605299435310509</v>
      </c>
      <c r="F338" s="34">
        <f>IF(B338-'폭압 파라메터 산정'!$E$19&gt;0,B338-'폭압 파라메터 산정'!$E$19, IF(B338-'폭압 파라메터 산정'!$E$19&lt;-0.25,"none",0))</f>
        <v>31.083176975799496</v>
      </c>
      <c r="G338" s="32">
        <f>IF(B338-'폭압 파라메터 산정'!$E$19&gt;-0.25,'폭압 파라메터 산정'!$E$14*(1-F338/'폭압 파라메터 산정'!$E$20)*EXP(-Graph!$D$3*F338/'폭압 파라메터 산정'!$E$20),0)</f>
        <v>-0.23079414606622231</v>
      </c>
      <c r="H338" s="32">
        <f>IF(B338-'폭압 파라메터 산정'!$E$19&gt;-0.25,'폭압 파라메터 산정'!$E$16*(1-F338/'폭압 파라메터 산정'!$E$20)*EXP(-Graph!$D$3*F338/'폭압 파라메터 산정'!$E$20),0)</f>
        <v>-0.4976097889574489</v>
      </c>
    </row>
    <row r="339" spans="2:8" x14ac:dyDescent="0.3">
      <c r="B339">
        <f t="shared" si="5"/>
        <v>83</v>
      </c>
      <c r="C339" s="33">
        <f>IF(B339-'폭압 파라메터 산정'!$C$19&gt;0,B339-'폭압 파라메터 산정'!$C$19, IF(B339-'폭압 파라메터 산정'!$C$19&lt;-0.25,"none",0))</f>
        <v>28.294157721147656</v>
      </c>
      <c r="D339" s="32">
        <f>IF(B339-'폭압 파라메터 산정'!$C$19&gt;-0.25,'폭압 파라메터 산정'!$C$14*(1-Graph!C339/'폭압 파라메터 산정'!$C$20)*EXP(-Graph!$D$3*Graph!C339/'폭압 파라메터 산정'!$C$20),0)</f>
        <v>-0.15447870305826403</v>
      </c>
      <c r="E339" s="32">
        <f>IF(B339-'폭압 파라메터 산정'!$C$19&gt;-0.25,'폭압 파라메터 산정'!$C$16*(1-Graph!C339/'폭압 파라메터 산정'!$C$20)*EXP(-Graph!$D$3*Graph!C339/'폭압 파라메터 산정'!$C$20),0)</f>
        <v>-0.32691665390332236</v>
      </c>
      <c r="F339" s="34">
        <f>IF(B339-'폭압 파라메터 산정'!$E$19&gt;0,B339-'폭압 파라메터 산정'!$E$19, IF(B339-'폭압 파라메터 산정'!$E$19&lt;-0.25,"none",0))</f>
        <v>31.333176975799496</v>
      </c>
      <c r="G339" s="32">
        <f>IF(B339-'폭압 파라메터 산정'!$E$19&gt;-0.25,'폭압 파라메터 산정'!$E$14*(1-F339/'폭압 파라메터 산정'!$E$20)*EXP(-Graph!$D$3*F339/'폭압 파라메터 산정'!$E$20),0)</f>
        <v>-0.22540951736878068</v>
      </c>
      <c r="H339" s="32">
        <f>IF(B339-'폭압 파라메터 산정'!$E$19&gt;-0.25,'폭압 파라메터 산정'!$E$16*(1-F339/'폭압 파라메터 산정'!$E$20)*EXP(-Graph!$D$3*F339/'폭압 파라메터 산정'!$E$20),0)</f>
        <v>-0.48600011862820514</v>
      </c>
    </row>
    <row r="340" spans="2:8" x14ac:dyDescent="0.3">
      <c r="B340">
        <f t="shared" si="5"/>
        <v>83.25</v>
      </c>
      <c r="C340" s="33">
        <f>IF(B340-'폭압 파라메터 산정'!$C$19&gt;0,B340-'폭압 파라메터 산정'!$C$19, IF(B340-'폭압 파라메터 산정'!$C$19&lt;-0.25,"none",0))</f>
        <v>28.544157721147656</v>
      </c>
      <c r="D340" s="32">
        <f>IF(B340-'폭압 파라메터 산정'!$C$19&gt;-0.25,'폭압 파라메터 산정'!$C$14*(1-Graph!C340/'폭압 파라메터 산정'!$C$20)*EXP(-Graph!$D$3*Graph!C340/'폭압 파라메터 산정'!$C$20),0)</f>
        <v>-0.15024475842082094</v>
      </c>
      <c r="E340" s="32">
        <f>IF(B340-'폭압 파라메터 산정'!$C$19&gt;-0.25,'폭압 파라메터 산정'!$C$16*(1-Graph!C340/'폭압 파라메터 산정'!$C$20)*EXP(-Graph!$D$3*Graph!C340/'폭압 파라메터 산정'!$C$20),0)</f>
        <v>-0.31795653845515759</v>
      </c>
      <c r="F340" s="34">
        <f>IF(B340-'폭압 파라메터 산정'!$E$19&gt;0,B340-'폭압 파라메터 산정'!$E$19, IF(B340-'폭압 파라메터 산정'!$E$19&lt;-0.25,"none",0))</f>
        <v>31.583176975799496</v>
      </c>
      <c r="G340" s="32">
        <f>IF(B340-'폭압 파라메터 산정'!$E$19&gt;-0.25,'폭압 파라메터 산정'!$E$14*(1-F340/'폭압 파라메터 산정'!$E$20)*EXP(-Graph!$D$3*F340/'폭압 파라메터 산정'!$E$20),0)</f>
        <v>-0.22010817129708807</v>
      </c>
      <c r="H340" s="32">
        <f>IF(B340-'폭압 파라메터 산정'!$E$19&gt;-0.25,'폭압 파라메터 산정'!$E$16*(1-F340/'폭압 파라메터 산정'!$E$20)*EXP(-Graph!$D$3*F340/'폭압 파라메터 산정'!$E$20),0)</f>
        <v>-0.47457001199470139</v>
      </c>
    </row>
    <row r="341" spans="2:8" x14ac:dyDescent="0.3">
      <c r="B341">
        <f t="shared" si="5"/>
        <v>83.5</v>
      </c>
      <c r="C341" s="33">
        <f>IF(B341-'폭압 파라메터 산정'!$C$19&gt;0,B341-'폭압 파라메터 산정'!$C$19, IF(B341-'폭압 파라메터 산정'!$C$19&lt;-0.25,"none",0))</f>
        <v>28.794157721147656</v>
      </c>
      <c r="D341" s="32">
        <f>IF(B341-'폭압 파라메터 산정'!$C$19&gt;-0.25,'폭압 파라메터 산정'!$C$14*(1-Graph!C341/'폭압 파라메터 산정'!$C$20)*EXP(-Graph!$D$3*Graph!C341/'폭압 파라메터 산정'!$C$20),0)</f>
        <v>-0.14609467554220026</v>
      </c>
      <c r="E341" s="32">
        <f>IF(B341-'폭압 파라메터 산정'!$C$19&gt;-0.25,'폭압 파라메터 산정'!$C$16*(1-Graph!C341/'폭압 파라메터 산정'!$C$20)*EXP(-Graph!$D$3*Graph!C341/'폭압 파라메터 산정'!$C$20),0)</f>
        <v>-0.3091738960504733</v>
      </c>
      <c r="F341" s="34">
        <f>IF(B341-'폭압 파라메터 산정'!$E$19&gt;0,B341-'폭압 파라메터 산정'!$E$19, IF(B341-'폭압 파라메터 산정'!$E$19&lt;-0.25,"none",0))</f>
        <v>31.833176975799496</v>
      </c>
      <c r="G341" s="32">
        <f>IF(B341-'폭압 파라메터 산정'!$E$19&gt;-0.25,'폭압 파라메터 산정'!$E$14*(1-F341/'폭압 파라메터 산정'!$E$20)*EXP(-Graph!$D$3*F341/'폭압 파라메터 산정'!$E$20),0)</f>
        <v>-0.2148912878779351</v>
      </c>
      <c r="H341" s="32">
        <f>IF(B341-'폭압 파라메터 산정'!$E$19&gt;-0.25,'폭압 파라메터 산정'!$E$16*(1-F341/'폭압 파라메터 산정'!$E$20)*EXP(-Graph!$D$3*F341/'폭압 파라메터 산정'!$E$20),0)</f>
        <v>-0.46332201328473643</v>
      </c>
    </row>
    <row r="342" spans="2:8" x14ac:dyDescent="0.3">
      <c r="B342">
        <f t="shared" si="5"/>
        <v>83.75</v>
      </c>
      <c r="C342" s="33">
        <f>IF(B342-'폭압 파라메터 산정'!$C$19&gt;0,B342-'폭압 파라메터 산정'!$C$19, IF(B342-'폭압 파라메터 산정'!$C$19&lt;-0.25,"none",0))</f>
        <v>29.044157721147656</v>
      </c>
      <c r="D342" s="32">
        <f>IF(B342-'폭압 파라메터 산정'!$C$19&gt;-0.25,'폭압 파라메터 산정'!$C$14*(1-Graph!C342/'폭압 파라메터 산정'!$C$20)*EXP(-Graph!$D$3*Graph!C342/'폭압 파라메터 산정'!$C$20),0)</f>
        <v>-0.14202884902639099</v>
      </c>
      <c r="E342" s="32">
        <f>IF(B342-'폭압 파라메터 산정'!$C$19&gt;-0.25,'폭압 파라메터 산정'!$C$16*(1-Graph!C342/'폭압 파라메터 산정'!$C$20)*EXP(-Graph!$D$3*Graph!C342/'폭압 파라메터 산정'!$C$20),0)</f>
        <v>-0.30056956177276739</v>
      </c>
      <c r="F342" s="34">
        <f>IF(B342-'폭압 파라메터 산정'!$E$19&gt;0,B342-'폭압 파라메터 산정'!$E$19, IF(B342-'폭압 파라메터 산정'!$E$19&lt;-0.25,"none",0))</f>
        <v>32.083176975799496</v>
      </c>
      <c r="G342" s="32">
        <f>IF(B342-'폭압 파라메터 산정'!$E$19&gt;-0.25,'폭압 파라메터 산정'!$E$14*(1-F342/'폭압 파라메터 산정'!$E$20)*EXP(-Graph!$D$3*F342/'폭압 파라메터 산정'!$E$20),0)</f>
        <v>-0.20975984685568572</v>
      </c>
      <c r="H342" s="32">
        <f>IF(B342-'폭압 파라메터 산정'!$E$19&gt;-0.25,'폭압 파라메터 산정'!$E$16*(1-F342/'폭압 파라메터 산정'!$E$20)*EXP(-Graph!$D$3*F342/'폭압 파라메터 산정'!$E$20),0)</f>
        <v>-0.45225823490191541</v>
      </c>
    </row>
    <row r="343" spans="2:8" x14ac:dyDescent="0.3">
      <c r="B343">
        <f t="shared" si="5"/>
        <v>84</v>
      </c>
      <c r="C343" s="33">
        <f>IF(B343-'폭압 파라메터 산정'!$C$19&gt;0,B343-'폭압 파라메터 산정'!$C$19, IF(B343-'폭압 파라메터 산정'!$C$19&lt;-0.25,"none",0))</f>
        <v>29.294157721147656</v>
      </c>
      <c r="D343" s="32">
        <f>IF(B343-'폭압 파라메터 산정'!$C$19&gt;-0.25,'폭압 파라메터 산정'!$C$14*(1-Graph!C343/'폭압 파라메터 산정'!$C$20)*EXP(-Graph!$D$3*Graph!C343/'폭압 파라메터 산정'!$C$20),0)</f>
        <v>-0.13804749363829102</v>
      </c>
      <c r="E343" s="32">
        <f>IF(B343-'폭압 파라메터 산정'!$C$19&gt;-0.25,'폭압 파라메터 산정'!$C$16*(1-Graph!C343/'폭압 파라메터 산정'!$C$20)*EXP(-Graph!$D$3*Graph!C343/'폭압 파라메터 산정'!$C$20),0)</f>
        <v>-0.29214399011978243</v>
      </c>
      <c r="F343" s="34">
        <f>IF(B343-'폭압 파라메터 산정'!$E$19&gt;0,B343-'폭압 파라메터 산정'!$E$19, IF(B343-'폭압 파라메터 산정'!$E$19&lt;-0.25,"none",0))</f>
        <v>32.333176975799496</v>
      </c>
      <c r="G343" s="32">
        <f>IF(B343-'폭압 파라메터 산정'!$E$19&gt;-0.25,'폭압 파라메터 산정'!$E$14*(1-F343/'폭압 파라메터 산정'!$E$20)*EXP(-Graph!$D$3*F343/'폭압 파라메터 산정'!$E$20),0)</f>
        <v>-0.2047146408589364</v>
      </c>
      <c r="H343" s="32">
        <f>IF(B343-'폭압 파라메터 산정'!$E$19&gt;-0.25,'폭압 파라메터 산정'!$E$16*(1-F343/'폭압 파라메터 산정'!$E$20)*EXP(-Graph!$D$3*F343/'폭압 파라메터 산정'!$E$20),0)</f>
        <v>-0.44138038581397143</v>
      </c>
    </row>
    <row r="344" spans="2:8" x14ac:dyDescent="0.3">
      <c r="B344">
        <f t="shared" si="5"/>
        <v>84.25</v>
      </c>
      <c r="C344" s="33">
        <f>IF(B344-'폭압 파라메터 산정'!$C$19&gt;0,B344-'폭압 파라메터 산정'!$C$19, IF(B344-'폭압 파라메터 산정'!$C$19&lt;-0.25,"none",0))</f>
        <v>29.544157721147656</v>
      </c>
      <c r="D344" s="32">
        <f>IF(B344-'폭압 파라메터 산정'!$C$19&gt;-0.25,'폭압 파라메터 산정'!$C$14*(1-Graph!C344/'폭압 파라메터 산정'!$C$20)*EXP(-Graph!$D$3*Graph!C344/'폭압 파라메터 산정'!$C$20),0)</f>
        <v>-0.13415065866233317</v>
      </c>
      <c r="E344" s="32">
        <f>IF(B344-'폭압 파라메터 산정'!$C$19&gt;-0.25,'폭압 파라메터 산정'!$C$16*(1-Graph!C344/'폭압 파라메터 산정'!$C$20)*EXP(-Graph!$D$3*Graph!C344/'폭압 파라메터 산정'!$C$20),0)</f>
        <v>-0.2838972853900496</v>
      </c>
      <c r="F344" s="34">
        <f>IF(B344-'폭압 파라메터 산정'!$E$19&gt;0,B344-'폭압 파라메터 산정'!$E$19, IF(B344-'폭압 파라메터 산정'!$E$19&lt;-0.25,"none",0))</f>
        <v>32.583176975799496</v>
      </c>
      <c r="G344" s="32">
        <f>IF(B344-'폭압 파라메터 산정'!$E$19&gt;-0.25,'폭압 파라메터 산정'!$E$14*(1-F344/'폭압 파라메터 산정'!$E$20)*EXP(-Graph!$D$3*F344/'폭압 파라메터 산정'!$E$20),0)</f>
        <v>-0.1997562878684582</v>
      </c>
      <c r="H344" s="32">
        <f>IF(B344-'폭압 파라메터 산정'!$E$19&gt;-0.25,'폭압 파라메터 산정'!$E$16*(1-F344/'폭압 파라메터 산정'!$E$20)*EXP(-Graph!$D$3*F344/'폭압 파라메터 산정'!$E$20),0)</f>
        <v>-0.43068979843459981</v>
      </c>
    </row>
    <row r="345" spans="2:8" x14ac:dyDescent="0.3">
      <c r="B345">
        <f t="shared" si="5"/>
        <v>84.5</v>
      </c>
      <c r="C345" s="33">
        <f>IF(B345-'폭압 파라메터 산정'!$C$19&gt;0,B345-'폭압 파라메터 산정'!$C$19, IF(B345-'폭압 파라메터 산정'!$C$19&lt;-0.25,"none",0))</f>
        <v>29.794157721147656</v>
      </c>
      <c r="D345" s="32">
        <f>IF(B345-'폭압 파라메터 산정'!$C$19&gt;-0.25,'폭압 파라메터 산정'!$C$14*(1-Graph!C345/'폭압 파라메터 산정'!$C$20)*EXP(-Graph!$D$3*Graph!C345/'폭압 파라메터 산정'!$C$20),0)</f>
        <v>-0.13033824137438432</v>
      </c>
      <c r="E345" s="32">
        <f>IF(B345-'폭압 파라메터 산정'!$C$19&gt;-0.25,'폭압 파라메터 산정'!$C$16*(1-Graph!C345/'폭압 파라메터 산정'!$C$20)*EXP(-Graph!$D$3*Graph!C345/'폭압 파라메터 산정'!$C$20),0)</f>
        <v>-0.27582923019289179</v>
      </c>
      <c r="F345" s="34">
        <f>IF(B345-'폭압 파라메터 산정'!$E$19&gt;0,B345-'폭압 파라메터 산정'!$E$19, IF(B345-'폭압 파라메터 산정'!$E$19&lt;-0.25,"none",0))</f>
        <v>32.833176975799496</v>
      </c>
      <c r="G345" s="32">
        <f>IF(B345-'폭압 파라메터 산정'!$E$19&gt;-0.25,'폭압 파라메터 산정'!$E$14*(1-F345/'폭압 파라메터 산정'!$E$20)*EXP(-Graph!$D$3*F345/'폭압 파라메터 산정'!$E$20),0)</f>
        <v>-0.19488524302004712</v>
      </c>
      <c r="H345" s="32">
        <f>IF(B345-'폭압 파라메터 산정'!$E$19&gt;-0.25,'폭압 파라메터 산정'!$E$16*(1-F345/'폭압 파라메터 산정'!$E$20)*EXP(-Graph!$D$3*F345/'폭압 파라메터 산정'!$E$20),0)</f>
        <v>-0.4201874540713047</v>
      </c>
    </row>
    <row r="346" spans="2:8" x14ac:dyDescent="0.3">
      <c r="B346">
        <f t="shared" si="5"/>
        <v>84.75</v>
      </c>
      <c r="C346" s="33">
        <f>IF(B346-'폭압 파라메터 산정'!$C$19&gt;0,B346-'폭압 파라메터 산정'!$C$19, IF(B346-'폭압 파라메터 산정'!$C$19&lt;-0.25,"none",0))</f>
        <v>30.044157721147656</v>
      </c>
      <c r="D346" s="32">
        <f>IF(B346-'폭압 파라메터 산정'!$C$19&gt;-0.25,'폭압 파라메터 산정'!$C$14*(1-Graph!C346/'폭압 파라메터 산정'!$C$20)*EXP(-Graph!$D$3*Graph!C346/'폭압 파라메터 산정'!$C$20),0)</f>
        <v>-0.12660999967598585</v>
      </c>
      <c r="E346" s="32">
        <f>IF(B346-'폭압 파라메터 산정'!$C$19&gt;-0.25,'폭압 파라메터 산정'!$C$16*(1-Graph!C346/'폭압 파라메터 산정'!$C$20)*EXP(-Graph!$D$3*Graph!C346/'폭압 파라메터 산정'!$C$20),0)</f>
        <v>-0.26793931218572437</v>
      </c>
      <c r="F346" s="34">
        <f>IF(B346-'폭압 파라메터 산정'!$E$19&gt;0,B346-'폭압 파라메터 산정'!$E$19, IF(B346-'폭압 파라메터 산정'!$E$19&lt;-0.25,"none",0))</f>
        <v>33.083176975799496</v>
      </c>
      <c r="G346" s="32">
        <f>IF(B346-'폭압 파라메터 산정'!$E$19&gt;-0.25,'폭압 파라메터 산정'!$E$14*(1-F346/'폭압 파라메터 산정'!$E$20)*EXP(-Graph!$D$3*F346/'폭압 파라메터 산정'!$E$20),0)</f>
        <v>-0.19010180977438171</v>
      </c>
      <c r="H346" s="32">
        <f>IF(B346-'폭압 파라메터 산정'!$E$19&gt;-0.25,'폭압 파라메터 산정'!$E$16*(1-F346/'폭압 파라메터 산정'!$E$20)*EXP(-Graph!$D$3*F346/'폭압 파라메터 산정'!$E$20),0)</f>
        <v>-0.4098740070084636</v>
      </c>
    </row>
    <row r="347" spans="2:8" x14ac:dyDescent="0.3">
      <c r="B347">
        <f t="shared" si="5"/>
        <v>85</v>
      </c>
      <c r="C347" s="33">
        <f>IF(B347-'폭압 파라메터 산정'!$C$19&gt;0,B347-'폭압 파라메터 산정'!$C$19, IF(B347-'폭압 파라메터 산정'!$C$19&lt;-0.25,"none",0))</f>
        <v>30.294157721147656</v>
      </c>
      <c r="D347" s="32">
        <f>IF(B347-'폭압 파라메터 산정'!$C$19&gt;-0.25,'폭압 파라메터 산정'!$C$14*(1-Graph!C347/'폭압 파라메터 산정'!$C$20)*EXP(-Graph!$D$3*Graph!C347/'폭압 파라메터 산정'!$C$20),0)</f>
        <v>-0.12296556393744525</v>
      </c>
      <c r="E347" s="32">
        <f>IF(B347-'폭압 파라메터 산정'!$C$19&gt;-0.25,'폭압 파라메터 산정'!$C$16*(1-Graph!C347/'폭압 파라메터 산정'!$C$20)*EXP(-Graph!$D$3*Graph!C347/'폭압 파라메터 산정'!$C$20),0)</f>
        <v>-0.26022674913708194</v>
      </c>
      <c r="F347" s="34">
        <f>IF(B347-'폭압 파라메터 산정'!$E$19&gt;0,B347-'폭압 파라메터 산정'!$E$19, IF(B347-'폭압 파라메터 산정'!$E$19&lt;-0.25,"none",0))</f>
        <v>33.333176975799496</v>
      </c>
      <c r="G347" s="32">
        <f>IF(B347-'폭압 파라메터 산정'!$E$19&gt;-0.25,'폭압 파라메터 산정'!$E$14*(1-F347/'폭압 파라메터 산정'!$E$20)*EXP(-Graph!$D$3*F347/'폭압 파라메터 산정'!$E$20),0)</f>
        <v>-0.18540615048452055</v>
      </c>
      <c r="H347" s="32">
        <f>IF(B347-'폭압 파라메터 산정'!$E$19&gt;-0.25,'폭압 파라메터 산정'!$E$16*(1-F347/'폭압 파라메터 산정'!$E$20)*EXP(-Graph!$D$3*F347/'폭압 파라메터 산정'!$E$20),0)</f>
        <v>-0.3997498072916586</v>
      </c>
    </row>
    <row r="348" spans="2:8" x14ac:dyDescent="0.3">
      <c r="B348">
        <f t="shared" si="5"/>
        <v>85.25</v>
      </c>
      <c r="C348" s="33">
        <f>IF(B348-'폭압 파라메터 산정'!$C$19&gt;0,B348-'폭압 파라메터 산정'!$C$19, IF(B348-'폭압 파라메터 산정'!$C$19&lt;-0.25,"none",0))</f>
        <v>30.544157721147656</v>
      </c>
      <c r="D348" s="32">
        <f>IF(B348-'폭압 파라메터 산정'!$C$19&gt;-0.25,'폭압 파라메터 산정'!$C$14*(1-Graph!C348/'폭압 파라메터 산정'!$C$20)*EXP(-Graph!$D$3*Graph!C348/'폭압 파라메터 산정'!$C$20),0)</f>
        <v>-0.11940444809386751</v>
      </c>
      <c r="E348" s="32">
        <f>IF(B348-'폭압 파라메터 산정'!$C$19&gt;-0.25,'폭압 파라메터 산정'!$C$16*(1-Graph!C348/'폭압 파라메터 산정'!$C$20)*EXP(-Graph!$D$3*Graph!C348/'폭압 파라메터 산정'!$C$20),0)</f>
        <v>-0.2526905124086738</v>
      </c>
      <c r="F348" s="34">
        <f>IF(B348-'폭압 파라메터 산정'!$E$19&gt;0,B348-'폭압 파라메터 산정'!$E$19, IF(B348-'폭압 파라메터 산정'!$E$19&lt;-0.25,"none",0))</f>
        <v>33.583176975799496</v>
      </c>
      <c r="G348" s="32">
        <f>IF(B348-'폭압 파라메터 산정'!$E$19&gt;-0.25,'폭압 파라메터 산정'!$E$14*(1-F348/'폭압 파라메터 산정'!$E$20)*EXP(-Graph!$D$3*F348/'폭압 파라메터 산정'!$E$20),0)</f>
        <v>-0.18079829639027836</v>
      </c>
      <c r="H348" s="32">
        <f>IF(B348-'폭압 파라메터 산정'!$E$19&gt;-0.25,'폭압 파라메터 산정'!$E$16*(1-F348/'폭압 파라메터 산정'!$E$20)*EXP(-Graph!$D$3*F348/'폭압 파라메터 산정'!$E$20),0)</f>
        <v>-0.38981492227631387</v>
      </c>
    </row>
    <row r="349" spans="2:8" x14ac:dyDescent="0.3">
      <c r="B349">
        <f t="shared" si="5"/>
        <v>85.5</v>
      </c>
      <c r="C349" s="33">
        <f>IF(B349-'폭압 파라메터 산정'!$C$19&gt;0,B349-'폭압 파라메터 산정'!$C$19, IF(B349-'폭압 파라메터 산정'!$C$19&lt;-0.25,"none",0))</f>
        <v>30.794157721147656</v>
      </c>
      <c r="D349" s="32">
        <f>IF(B349-'폭압 파라메터 산정'!$C$19&gt;-0.25,'폭압 파라메터 산정'!$C$14*(1-Graph!C349/'폭압 파라메터 산정'!$C$20)*EXP(-Graph!$D$3*Graph!C349/'폭압 파라메터 산정'!$C$20),0)</f>
        <v>-0.11592606003590791</v>
      </c>
      <c r="E349" s="32">
        <f>IF(B349-'폭압 파라메터 산정'!$C$19&gt;-0.25,'폭압 파라메터 산정'!$C$16*(1-Graph!C349/'폭압 파라메터 산정'!$C$20)*EXP(-Graph!$D$3*Graph!C349/'폭압 파라메터 산정'!$C$20),0)</f>
        <v>-0.24532934894488856</v>
      </c>
      <c r="F349" s="34">
        <f>IF(B349-'폭압 파라메터 산정'!$E$19&gt;0,B349-'폭압 파라메터 산정'!$E$19, IF(B349-'폭압 파라메터 산정'!$E$19&lt;-0.25,"none",0))</f>
        <v>33.833176975799496</v>
      </c>
      <c r="G349" s="32">
        <f>IF(B349-'폭압 파라메터 산정'!$E$19&gt;-0.25,'폭압 파라메터 산정'!$E$14*(1-F349/'폭압 파라메터 산정'!$E$20)*EXP(-Graph!$D$3*F349/'폭압 파라메터 산정'!$E$20),0)</f>
        <v>-0.17627815706737718</v>
      </c>
      <c r="H349" s="32">
        <f>IF(B349-'폭압 파라메터 산정'!$E$19&gt;-0.25,'폭압 파라메터 산정'!$E$16*(1-F349/'폭압 파라메터 산정'!$E$20)*EXP(-Graph!$D$3*F349/'폭압 파라메터 산정'!$E$20),0)</f>
        <v>-0.38006915700078675</v>
      </c>
    </row>
    <row r="350" spans="2:8" x14ac:dyDescent="0.3">
      <c r="B350">
        <f t="shared" si="5"/>
        <v>85.75</v>
      </c>
      <c r="C350" s="33">
        <f>IF(B350-'폭압 파라메터 산정'!$C$19&gt;0,B350-'폭압 파라메터 산정'!$C$19, IF(B350-'폭압 파라메터 산정'!$C$19&lt;-0.25,"none",0))</f>
        <v>31.044157721147656</v>
      </c>
      <c r="D350" s="32">
        <f>IF(B350-'폭압 파라메터 산정'!$C$19&gt;-0.25,'폭압 파라메터 산정'!$C$14*(1-Graph!C350/'폭압 파라메터 산정'!$C$20)*EXP(-Graph!$D$3*Graph!C350/'폭압 파라메터 산정'!$C$20),0)</f>
        <v>-0.1125297113348402</v>
      </c>
      <c r="E350" s="32">
        <f>IF(B350-'폭압 파라메터 산정'!$C$19&gt;-0.25,'폭압 파라메터 산정'!$C$16*(1-Graph!C350/'폭압 파라메터 산정'!$C$20)*EXP(-Graph!$D$3*Graph!C350/'폭압 파라메터 산정'!$C$20),0)</f>
        <v>-0.23814180185353853</v>
      </c>
      <c r="F350" s="34">
        <f>IF(B350-'폭압 파라메터 산정'!$E$19&gt;0,B350-'폭압 파라메터 산정'!$E$19, IF(B350-'폭압 파라메터 산정'!$E$19&lt;-0.25,"none",0))</f>
        <v>34.083176975799496</v>
      </c>
      <c r="G350" s="32">
        <f>IF(B350-'폭압 파라메터 산정'!$E$19&gt;-0.25,'폭압 파라메터 산정'!$E$14*(1-F350/'폭압 파라메터 산정'!$E$20)*EXP(-Graph!$D$3*F350/'폭압 파라메터 산정'!$E$20),0)</f>
        <v>-0.17184552935799544</v>
      </c>
      <c r="H350" s="32">
        <f>IF(B350-'폭압 파라메터 산정'!$E$19&gt;-0.25,'폭압 파라메터 산정'!$E$16*(1-F350/'폭압 파라메터 산정'!$E$20)*EXP(-Graph!$D$3*F350/'폭압 파라메터 산정'!$E$20),0)</f>
        <v>-0.37051207344131254</v>
      </c>
    </row>
    <row r="351" spans="2:8" x14ac:dyDescent="0.3">
      <c r="B351">
        <f t="shared" si="5"/>
        <v>86</v>
      </c>
      <c r="C351" s="33">
        <f>IF(B351-'폭압 파라메터 산정'!$C$19&gt;0,B351-'폭압 파라메터 산정'!$C$19, IF(B351-'폭압 파라메터 산정'!$C$19&lt;-0.25,"none",0))</f>
        <v>31.294157721147656</v>
      </c>
      <c r="D351" s="32">
        <f>IF(B351-'폭압 파라메터 산정'!$C$19&gt;-0.25,'폭압 파라메터 산정'!$C$14*(1-Graph!C351/'폭압 파라메터 산정'!$C$20)*EXP(-Graph!$D$3*Graph!C351/'폭압 파라메터 산정'!$C$20),0)</f>
        <v>-0.10921462633945554</v>
      </c>
      <c r="E351" s="32">
        <f>IF(B351-'폭압 파라메터 산정'!$C$19&gt;-0.25,'폭압 파라메터 산정'!$C$16*(1-Graph!C351/'폭압 파라메터 산정'!$C$20)*EXP(-Graph!$D$3*Graph!C351/'폭압 파라메터 산정'!$C$20),0)</f>
        <v>-0.23112622965723706</v>
      </c>
      <c r="F351" s="34">
        <f>IF(B351-'폭압 파라메터 산정'!$E$19&gt;0,B351-'폭압 파라메터 산정'!$E$19, IF(B351-'폭압 파라메터 산정'!$E$19&lt;-0.25,"none",0))</f>
        <v>34.333176975799496</v>
      </c>
      <c r="G351" s="32">
        <f>IF(B351-'폭압 파라메터 산정'!$E$19&gt;-0.25,'폭압 파라메터 산정'!$E$14*(1-F351/'폭압 파라메터 산정'!$E$20)*EXP(-Graph!$D$3*F351/'폭압 파라메터 산정'!$E$20),0)</f>
        <v>-0.16750010580811139</v>
      </c>
      <c r="H351" s="32">
        <f>IF(B351-'폭압 파라메터 산정'!$E$19&gt;-0.25,'폭압 파라메터 산정'!$E$16*(1-F351/'폭압 파라메터 산정'!$E$20)*EXP(-Graph!$D$3*F351/'폭압 파라메터 산정'!$E$20),0)</f>
        <v>-0.36114300870356103</v>
      </c>
    </row>
    <row r="352" spans="2:8" x14ac:dyDescent="0.3">
      <c r="B352">
        <f t="shared" si="5"/>
        <v>86.25</v>
      </c>
      <c r="C352" s="33">
        <f>IF(B352-'폭압 파라메터 산정'!$C$19&gt;0,B352-'폭압 파라메터 산정'!$C$19, IF(B352-'폭압 파라메터 산정'!$C$19&lt;-0.25,"none",0))</f>
        <v>31.544157721147656</v>
      </c>
      <c r="D352" s="32">
        <f>IF(B352-'폭압 파라메터 산정'!$C$19&gt;-0.25,'폭압 파라메터 산정'!$C$14*(1-Graph!C352/'폭압 파라메터 산정'!$C$20)*EXP(-Graph!$D$3*Graph!C352/'폭압 파라메터 산정'!$C$20),0)</f>
        <v>-0.10597995068033328</v>
      </c>
      <c r="E352" s="32">
        <f>IF(B352-'폭압 파라메터 산정'!$C$19&gt;-0.25,'폭압 파라메터 산정'!$C$16*(1-Graph!C352/'폭압 파라메터 산정'!$C$20)*EXP(-Graph!$D$3*Graph!C352/'폭압 파라메터 산정'!$C$20),0)</f>
        <v>-0.22428082429062202</v>
      </c>
      <c r="F352" s="34">
        <f>IF(B352-'폭압 파라메터 산정'!$E$19&gt;0,B352-'폭압 파라메터 산정'!$E$19, IF(B352-'폭압 파라메터 산정'!$E$19&lt;-0.25,"none",0))</f>
        <v>34.583176975799496</v>
      </c>
      <c r="G352" s="32">
        <f>IF(B352-'폭압 파라메터 산정'!$E$19&gt;-0.25,'폭압 파라메터 산정'!$E$14*(1-F352/'폭압 파라메터 산정'!$E$20)*EXP(-Graph!$D$3*F352/'폭압 파라메터 산정'!$E$20),0)</f>
        <v>-0.16324148263587396</v>
      </c>
      <c r="H352" s="32">
        <f>IF(B352-'폭압 파라메터 산정'!$E$19&gt;-0.25,'폭압 파라메터 산정'!$E$16*(1-F352/'폭압 파라메터 산정'!$E$20)*EXP(-Graph!$D$3*F352/'폭압 파라메터 산정'!$E$20),0)</f>
        <v>-0.35196109220305183</v>
      </c>
    </row>
    <row r="353" spans="2:8" x14ac:dyDescent="0.3">
      <c r="B353">
        <f t="shared" si="5"/>
        <v>86.5</v>
      </c>
      <c r="C353" s="33">
        <f>IF(B353-'폭압 파라메터 산정'!$C$19&gt;0,B353-'폭압 파라메터 산정'!$C$19, IF(B353-'폭압 파라메터 산정'!$C$19&lt;-0.25,"none",0))</f>
        <v>31.794157721147656</v>
      </c>
      <c r="D353" s="32">
        <f>IF(B353-'폭압 파라메터 산정'!$C$19&gt;-0.25,'폭압 파라메터 산정'!$C$14*(1-Graph!C353/'폭압 파라메터 산정'!$C$20)*EXP(-Graph!$D$3*Graph!C353/'폭압 파라메터 산정'!$C$20),0)</f>
        <v>-0.10282475921515075</v>
      </c>
      <c r="E353" s="32">
        <f>IF(B353-'폭압 파라메터 산정'!$C$19&gt;-0.25,'폭압 파라메터 산정'!$C$16*(1-Graph!C353/'폭압 파라메터 산정'!$C$20)*EXP(-Graph!$D$3*Graph!C353/'폭압 파라메터 산정'!$C$20),0)</f>
        <v>-0.217603627914674</v>
      </c>
      <c r="F353" s="34">
        <f>IF(B353-'폭압 파라메터 산정'!$E$19&gt;0,B353-'폭압 파라메터 산정'!$E$19, IF(B353-'폭압 파라메터 산정'!$E$19&lt;-0.25,"none",0))</f>
        <v>34.833176975799496</v>
      </c>
      <c r="G353" s="32">
        <f>IF(B353-'폭압 파라메터 산정'!$E$19&gt;-0.25,'폭압 파라메터 산정'!$E$14*(1-F353/'폭압 파라메터 산정'!$E$20)*EXP(-Graph!$D$3*F353/'폭압 파라메터 산정'!$E$20),0)</f>
        <v>-0.15906916725411388</v>
      </c>
      <c r="H353" s="32">
        <f>IF(B353-'폭압 파라메터 산정'!$E$19&gt;-0.25,'폭압 파라메터 산정'!$E$16*(1-F353/'폭압 파라메터 산정'!$E$20)*EXP(-Graph!$D$3*F353/'폭압 파라메터 산정'!$E$20),0)</f>
        <v>-0.3429652618842628</v>
      </c>
    </row>
    <row r="354" spans="2:8" x14ac:dyDescent="0.3">
      <c r="B354">
        <f t="shared" si="5"/>
        <v>86.75</v>
      </c>
      <c r="C354" s="33">
        <f>IF(B354-'폭압 파라메터 산정'!$C$19&gt;0,B354-'폭압 파라메터 산정'!$C$19, IF(B354-'폭압 파라메터 산정'!$C$19&lt;-0.25,"none",0))</f>
        <v>32.044157721147656</v>
      </c>
      <c r="D354" s="32">
        <f>IF(B354-'폭압 파라메터 산정'!$C$19&gt;-0.25,'폭압 파라메터 산정'!$C$14*(1-Graph!C354/'폭압 파라메터 산정'!$C$20)*EXP(-Graph!$D$3*Graph!C354/'폭압 파라메터 산정'!$C$20),0)</f>
        <v>-9.9748063446918653E-2</v>
      </c>
      <c r="E354" s="32">
        <f>IF(B354-'폭압 파라메터 산정'!$C$19&gt;-0.25,'폭압 파라메터 산정'!$C$16*(1-Graph!C354/'폭압 파라메터 산정'!$C$20)*EXP(-Graph!$D$3*Graph!C354/'폭압 파라메터 산정'!$C$20),0)</f>
        <v>-0.21109254861560978</v>
      </c>
      <c r="F354" s="34">
        <f>IF(B354-'폭압 파라메터 산정'!$E$19&gt;0,B354-'폭압 파라메터 산정'!$E$19, IF(B354-'폭압 파라메터 산정'!$E$19&lt;-0.25,"none",0))</f>
        <v>35.083176975799496</v>
      </c>
      <c r="G354" s="32">
        <f>IF(B354-'폭압 파라메터 산정'!$E$19&gt;-0.25,'폭압 파라메터 산정'!$E$14*(1-F354/'폭압 파라메터 산정'!$E$20)*EXP(-Graph!$D$3*F354/'폭압 파라메터 산정'!$E$20),0)</f>
        <v>-0.15498258536904355</v>
      </c>
      <c r="H354" s="32">
        <f>IF(B354-'폭압 파라메터 산정'!$E$19&gt;-0.25,'폭압 파라메터 산정'!$E$16*(1-F354/'폭압 파라메터 산정'!$E$20)*EXP(-Graph!$D$3*F354/'폭압 파라메터 산정'!$E$20),0)</f>
        <v>-0.33415427952596816</v>
      </c>
    </row>
    <row r="355" spans="2:8" x14ac:dyDescent="0.3">
      <c r="B355">
        <f t="shared" si="5"/>
        <v>87</v>
      </c>
      <c r="C355" s="33">
        <f>IF(B355-'폭압 파라메터 산정'!$C$19&gt;0,B355-'폭압 파라메터 산정'!$C$19, IF(B355-'폭압 파라메터 산정'!$C$19&lt;-0.25,"none",0))</f>
        <v>32.294157721147656</v>
      </c>
      <c r="D355" s="32">
        <f>IF(B355-'폭압 파라메터 산정'!$C$19&gt;-0.25,'폭압 파라메터 산정'!$C$14*(1-Graph!C355/'폭압 파라메터 산정'!$C$20)*EXP(-Graph!$D$3*Graph!C355/'폭압 파라메터 산정'!$C$20),0)</f>
        <v>-9.6748818445339585E-2</v>
      </c>
      <c r="E355" s="32">
        <f>IF(B355-'폭압 파라메터 산정'!$C$19&gt;-0.25,'폭압 파라메터 산정'!$C$16*(1-Graph!C355/'폭압 파라메터 산정'!$C$20)*EXP(-Graph!$D$3*Graph!C355/'폭압 파라메터 산정'!$C$20),0)</f>
        <v>-0.2047453750522566</v>
      </c>
      <c r="F355" s="34">
        <f>IF(B355-'폭압 파라메터 산정'!$E$19&gt;0,B355-'폭압 파라메터 산정'!$E$19, IF(B355-'폭압 파라메터 산정'!$E$19&lt;-0.25,"none",0))</f>
        <v>35.333176975799496</v>
      </c>
      <c r="G355" s="32">
        <f>IF(B355-'폭압 파라메터 산정'!$E$19&gt;-0.25,'폭압 파라메터 산정'!$E$14*(1-F355/'폭압 파라메터 산정'!$E$20)*EXP(-Graph!$D$3*F355/'폭압 파라메터 산정'!$E$20),0)</f>
        <v>-0.15098108767617158</v>
      </c>
      <c r="H355" s="32">
        <f>IF(B355-'폭압 파라메터 산정'!$E$19&gt;-0.25,'폭압 파라메터 산정'!$E$16*(1-F355/'폭압 파라메터 산정'!$E$20)*EXP(-Graph!$D$3*F355/'폭압 파라메터 산정'!$E$20),0)</f>
        <v>-0.32552674517814106</v>
      </c>
    </row>
    <row r="356" spans="2:8" x14ac:dyDescent="0.3">
      <c r="B356">
        <f t="shared" si="5"/>
        <v>87.25</v>
      </c>
      <c r="C356" s="33">
        <f>IF(B356-'폭압 파라메터 산정'!$C$19&gt;0,B356-'폭압 파라메터 산정'!$C$19, IF(B356-'폭압 파라메터 산정'!$C$19&lt;-0.25,"none",0))</f>
        <v>32.544157721147656</v>
      </c>
      <c r="D356" s="32">
        <f>IF(B356-'폭압 파라메터 산정'!$C$19&gt;-0.25,'폭압 파라메터 산정'!$C$14*(1-Graph!C356/'폭압 파라메터 산정'!$C$20)*EXP(-Graph!$D$3*Graph!C356/'폭압 파라메터 산정'!$C$20),0)</f>
        <v>-9.3825929299882538E-2</v>
      </c>
      <c r="E356" s="32">
        <f>IF(B356-'폭압 파라메터 산정'!$C$19&gt;-0.25,'폭압 파라메터 산정'!$C$16*(1-Graph!C356/'폭압 파라메터 산정'!$C$20)*EXP(-Graph!$D$3*Graph!C356/'폭압 파라메터 산정'!$C$20),0)</f>
        <v>-0.19855979011241698</v>
      </c>
      <c r="F356" s="34">
        <f>IF(B356-'폭압 파라메터 산정'!$E$19&gt;0,B356-'폭압 파라메터 산정'!$E$19, IF(B356-'폭압 파라메터 산정'!$E$19&lt;-0.25,"none",0))</f>
        <v>35.583176975799496</v>
      </c>
      <c r="G356" s="32">
        <f>IF(B356-'폭압 파라메터 산정'!$E$19&gt;-0.25,'폭압 파라메터 산정'!$E$14*(1-F356/'폭압 파라메터 산정'!$E$20)*EXP(-Graph!$D$3*F356/'폭압 파라메터 산정'!$E$20),0)</f>
        <v>-0.14706395617348739</v>
      </c>
      <c r="H356" s="32">
        <f>IF(B356-'폭압 파라메터 산정'!$E$19&gt;-0.25,'폭압 파라메터 산정'!$E$16*(1-F356/'폭압 파라메터 산정'!$E$20)*EXP(-Graph!$D$3*F356/'폭압 파라메터 산정'!$E$20),0)</f>
        <v>-0.31708111077366197</v>
      </c>
    </row>
    <row r="357" spans="2:8" x14ac:dyDescent="0.3">
      <c r="B357">
        <f t="shared" si="5"/>
        <v>87.5</v>
      </c>
      <c r="C357" s="33">
        <f>IF(B357-'폭압 파라메터 산정'!$C$19&gt;0,B357-'폭압 파라메터 산정'!$C$19, IF(B357-'폭압 파라메터 산정'!$C$19&lt;-0.25,"none",0))</f>
        <v>32.794157721147656</v>
      </c>
      <c r="D357" s="32">
        <f>IF(B357-'폭압 파라메터 산정'!$C$19&gt;-0.25,'폭압 파라메터 산정'!$C$14*(1-Graph!C357/'폭압 파라메터 산정'!$C$20)*EXP(-Graph!$D$3*Graph!C357/'폭압 파라메터 산정'!$C$20),0)</f>
        <v>-9.0978257131643314E-2</v>
      </c>
      <c r="E357" s="32">
        <f>IF(B357-'폭압 파라메터 산정'!$C$19&gt;-0.25,'폭압 파라메터 산정'!$C$16*(1-Graph!C357/'폭압 파라메터 산정'!$C$20)*EXP(-Graph!$D$3*Graph!C357/'폭압 파라메터 산정'!$C$20),0)</f>
        <v>-0.19253338363551084</v>
      </c>
      <c r="F357" s="34">
        <f>IF(B357-'폭압 파라메터 산정'!$E$19&gt;0,B357-'폭압 파라메터 산정'!$E$19, IF(B357-'폭압 파라메터 산정'!$E$19&lt;-0.25,"none",0))</f>
        <v>35.833176975799496</v>
      </c>
      <c r="G357" s="32">
        <f>IF(B357-'폭압 파라메터 산정'!$E$19&gt;-0.25,'폭압 파라메터 산정'!$E$14*(1-F357/'폭압 파라메터 산정'!$E$20)*EXP(-Graph!$D$3*F357/'폭압 파라메터 산정'!$E$20),0)</f>
        <v>-0.1432304101110361</v>
      </c>
      <c r="H357" s="32">
        <f>IF(B357-'폭압 파라메터 산정'!$E$19&gt;-0.25,'폭압 파라메터 산정'!$E$16*(1-F357/'폭압 파라메터 산정'!$E$20)*EXP(-Graph!$D$3*F357/'폭압 파라메터 산정'!$E$20),0)</f>
        <v>-0.30881569295605543</v>
      </c>
    </row>
    <row r="358" spans="2:8" x14ac:dyDescent="0.3">
      <c r="B358">
        <f t="shared" si="5"/>
        <v>87.75</v>
      </c>
      <c r="C358" s="33">
        <f>IF(B358-'폭압 파라메터 산정'!$C$19&gt;0,B358-'폭압 파라메터 산정'!$C$19, IF(B358-'폭압 파라메터 산정'!$C$19&lt;-0.25,"none",0))</f>
        <v>33.044157721147656</v>
      </c>
      <c r="D358" s="32">
        <f>IF(B358-'폭압 파라메터 산정'!$C$19&gt;-0.25,'폭압 파라메터 산정'!$C$14*(1-Graph!C358/'폭압 파라메터 산정'!$C$20)*EXP(-Graph!$D$3*Graph!C358/'폭압 파라메터 산정'!$C$20),0)</f>
        <v>-8.8204624689616012E-2</v>
      </c>
      <c r="E358" s="32">
        <f>IF(B358-'폭압 파라메터 산정'!$C$19&gt;-0.25,'폭압 파라메터 산정'!$C$16*(1-Graph!C358/'폭압 파라메터 산정'!$C$20)*EXP(-Graph!$D$3*Graph!C358/'폭압 파라메터 산정'!$C$20),0)</f>
        <v>-0.18666366425572506</v>
      </c>
      <c r="F358" s="34">
        <f>IF(B358-'폭압 파라메터 산정'!$E$19&gt;0,B358-'폭압 파라메터 산정'!$E$19, IF(B358-'폭압 파라메터 산정'!$E$19&lt;-0.25,"none",0))</f>
        <v>36.083176975799496</v>
      </c>
      <c r="G358" s="32">
        <f>IF(B358-'폭압 파라메터 산정'!$E$19&gt;-0.25,'폭압 파라메터 산정'!$E$14*(1-F358/'폭압 파라메터 산정'!$E$20)*EXP(-Graph!$D$3*F358/'폭압 파라메터 산정'!$E$20),0)</f>
        <v>-0.13947961159511654</v>
      </c>
      <c r="H358" s="32">
        <f>IF(B358-'폭압 파라메터 산정'!$E$19&gt;-0.25,'폭압 파라메터 산정'!$E$16*(1-F358/'폭압 파라메터 산정'!$E$20)*EXP(-Graph!$D$3*F358/'폭압 파라메터 산정'!$E$20),0)</f>
        <v>-0.30072868516256879</v>
      </c>
    </row>
    <row r="359" spans="2:8" x14ac:dyDescent="0.3">
      <c r="B359">
        <f t="shared" si="5"/>
        <v>88</v>
      </c>
      <c r="C359" s="33">
        <f>IF(B359-'폭압 파라메터 산정'!$C$19&gt;0,B359-'폭압 파라메터 산정'!$C$19, IF(B359-'폭압 파라메터 산정'!$C$19&lt;-0.25,"none",0))</f>
        <v>33.294157721147656</v>
      </c>
      <c r="D359" s="32">
        <f>IF(B359-'폭압 파라메터 산정'!$C$19&gt;-0.25,'폭압 파라메터 산정'!$C$14*(1-Graph!C359/'폭압 파라메터 산정'!$C$20)*EXP(-Graph!$D$3*Graph!C359/'폭압 파라메터 산정'!$C$20),0)</f>
        <v>-8.5503821555627454E-2</v>
      </c>
      <c r="E359" s="32">
        <f>IF(B359-'폭압 파라메터 산정'!$C$19&gt;-0.25,'폭압 파라메터 산정'!$C$16*(1-Graph!C359/'폭압 파라메터 산정'!$C$20)*EXP(-Graph!$D$3*Graph!C359/'폭압 파라메터 산정'!$C$20),0)</f>
        <v>-0.1809480704169929</v>
      </c>
      <c r="F359" s="34">
        <f>IF(B359-'폭압 파라메터 산정'!$E$19&gt;0,B359-'폭압 파라메터 산정'!$E$19, IF(B359-'폭압 파라메터 산정'!$E$19&lt;-0.25,"none",0))</f>
        <v>36.333176975799496</v>
      </c>
      <c r="G359" s="32">
        <f>IF(B359-'폭압 파라메터 산정'!$E$19&gt;-0.25,'폭압 파라메터 산정'!$E$14*(1-F359/'폭압 파라메터 산정'!$E$20)*EXP(-Graph!$D$3*F359/'폭압 파라메터 산정'!$E$20),0)</f>
        <v>-0.13581067086448334</v>
      </c>
      <c r="H359" s="32">
        <f>IF(B359-'폭압 파라메터 산정'!$E$19&gt;-0.25,'폭압 파라메터 산정'!$E$16*(1-F359/'폭압 파라메터 산정'!$E$20)*EXP(-Graph!$D$3*F359/'폭압 파라메터 산정'!$E$20),0)</f>
        <v>-0.29281816900006641</v>
      </c>
    </row>
    <row r="360" spans="2:8" x14ac:dyDescent="0.3">
      <c r="B360">
        <f t="shared" si="5"/>
        <v>88.25</v>
      </c>
      <c r="C360" s="33">
        <f>IF(B360-'폭압 파라메터 산정'!$C$19&gt;0,B360-'폭압 파라메터 산정'!$C$19, IF(B360-'폭압 파라메터 산정'!$C$19&lt;-0.25,"none",0))</f>
        <v>33.544157721147656</v>
      </c>
      <c r="D360" s="32">
        <f>IF(B360-'폭압 파라메터 산정'!$C$19&gt;-0.25,'폭압 파라메터 산정'!$C$14*(1-Graph!C360/'폭압 파라메터 산정'!$C$20)*EXP(-Graph!$D$3*Graph!C360/'폭압 파라메터 산정'!$C$20),0)</f>
        <v>-8.2874608980886083E-2</v>
      </c>
      <c r="E360" s="32">
        <f>IF(B360-'폭압 파라메터 산정'!$C$19&gt;-0.25,'폭압 파라메터 산정'!$C$16*(1-Graph!C360/'폭압 파라메터 산정'!$C$20)*EXP(-Graph!$D$3*Graph!C360/'폭압 파라메터 산정'!$C$20),0)</f>
        <v>-0.17538398060837504</v>
      </c>
      <c r="F360" s="34">
        <f>IF(B360-'폭압 파라메터 산정'!$E$19&gt;0,B360-'폭압 파라메터 산정'!$E$19, IF(B360-'폭압 파라메터 산정'!$E$19&lt;-0.25,"none",0))</f>
        <v>36.583176975799496</v>
      </c>
      <c r="G360" s="32">
        <f>IF(B360-'폭압 파라메터 산정'!$E$19&gt;-0.25,'폭압 파라메터 산정'!$E$14*(1-F360/'폭압 파라메터 산정'!$E$20)*EXP(-Graph!$D$3*F360/'폭압 파라메터 산정'!$E$20),0)</f>
        <v>-0.13222265125512403</v>
      </c>
      <c r="H360" s="32">
        <f>IF(B360-'폭압 파라메터 산정'!$E$19&gt;-0.25,'폭압 파라메터 산정'!$E$16*(1-F360/'폭압 파라메터 산정'!$E$20)*EXP(-Graph!$D$3*F360/'폭압 파라메터 산정'!$E$20),0)</f>
        <v>-0.28508212494946827</v>
      </c>
    </row>
    <row r="361" spans="2:8" x14ac:dyDescent="0.3">
      <c r="B361">
        <f t="shared" si="5"/>
        <v>88.5</v>
      </c>
      <c r="C361" s="33">
        <f>IF(B361-'폭압 파라메터 산정'!$C$19&gt;0,B361-'폭압 파라메터 산정'!$C$19, IF(B361-'폭압 파라메터 산정'!$C$19&lt;-0.25,"none",0))</f>
        <v>33.794157721147656</v>
      </c>
      <c r="D361" s="32">
        <f>IF(B361-'폭압 파라메터 산정'!$C$19&gt;-0.25,'폭압 파라메터 산정'!$C$14*(1-Graph!C361/'폭압 파라메터 산정'!$C$20)*EXP(-Graph!$D$3*Graph!C361/'폭압 파라메터 산정'!$C$20),0)</f>
        <v>-8.0315724375860195E-2</v>
      </c>
      <c r="E361" s="32">
        <f>IF(B361-'폭압 파라메터 산정'!$C$19&gt;-0.25,'폭압 파라메터 산정'!$C$16*(1-Graph!C361/'폭압 파라메터 산정'!$C$20)*EXP(-Graph!$D$3*Graph!C361/'폭압 파라메터 산정'!$C$20),0)</f>
        <v>-0.16996872286579631</v>
      </c>
      <c r="F361" s="34">
        <f>IF(B361-'폭압 파라메터 산정'!$E$19&gt;0,B361-'폭압 파라메터 산정'!$E$19, IF(B361-'폭압 파라메터 산정'!$E$19&lt;-0.25,"none",0))</f>
        <v>36.833176975799496</v>
      </c>
      <c r="G361" s="32">
        <f>IF(B361-'폭압 파라메터 산정'!$E$19&gt;-0.25,'폭압 파라메터 산정'!$E$14*(1-F361/'폭압 파라메터 산정'!$E$20)*EXP(-Graph!$D$3*F361/'폭압 파라메터 산정'!$E$20),0)</f>
        <v>-0.12871457386940349</v>
      </c>
      <c r="H361" s="32">
        <f>IF(B361-'폭압 파라메터 산정'!$E$19&gt;-0.25,'폭압 파라메터 산정'!$E$16*(1-F361/'폭압 파라메터 산정'!$E$20)*EXP(-Graph!$D$3*F361/'폭압 파라메터 산정'!$E$20),0)</f>
        <v>-0.27751844243278129</v>
      </c>
    </row>
    <row r="362" spans="2:8" x14ac:dyDescent="0.3">
      <c r="B362">
        <f t="shared" si="5"/>
        <v>88.75</v>
      </c>
      <c r="C362" s="33">
        <f>IF(B362-'폭압 파라메터 산정'!$C$19&gt;0,B362-'폭압 파라메터 산정'!$C$19, IF(B362-'폭압 파라메터 산정'!$C$19&lt;-0.25,"none",0))</f>
        <v>34.044157721147656</v>
      </c>
      <c r="D362" s="32">
        <f>IF(B362-'폭압 파라메터 산정'!$C$19&gt;-0.25,'폭압 파라메터 산정'!$C$14*(1-Graph!C362/'폭압 파라메터 산정'!$C$20)*EXP(-Graph!$D$3*Graph!C362/'폭압 파라메터 산정'!$C$20),0)</f>
        <v>-7.7825885474028772E-2</v>
      </c>
      <c r="E362" s="32">
        <f>IF(B362-'폭압 파라메터 산정'!$C$19&gt;-0.25,'폭압 파라메터 산정'!$C$16*(1-Graph!C362/'폭압 파라메터 산정'!$C$20)*EXP(-Graph!$D$3*Graph!C362/'폭압 파라메터 산정'!$C$20),0)</f>
        <v>-0.16469958358361284</v>
      </c>
      <c r="F362" s="34">
        <f>IF(B362-'폭압 파라메터 산정'!$E$19&gt;0,B362-'폭압 파라메터 산정'!$E$19, IF(B362-'폭압 파라메터 산정'!$E$19&lt;-0.25,"none",0))</f>
        <v>37.083176975799496</v>
      </c>
      <c r="G362" s="32">
        <f>IF(B362-'폭압 파라메터 산정'!$E$19&gt;-0.25,'폭압 파라메터 산정'!$E$14*(1-F362/'폭압 파라메터 산정'!$E$20)*EXP(-Graph!$D$3*F362/'폭압 파라메터 산정'!$E$20),0)</f>
        <v>-0.12528542196462863</v>
      </c>
      <c r="H362" s="32">
        <f>IF(B362-'폭압 파라메터 산정'!$E$19&gt;-0.25,'폭압 파라메터 산정'!$E$16*(1-F362/'폭압 파라메터 산정'!$E$20)*EXP(-Graph!$D$3*F362/'폭압 파라메터 산정'!$E$20),0)</f>
        <v>-0.27012492927517967</v>
      </c>
    </row>
    <row r="363" spans="2:8" x14ac:dyDescent="0.3">
      <c r="B363">
        <f t="shared" si="5"/>
        <v>89</v>
      </c>
      <c r="C363" s="33">
        <f>IF(B363-'폭압 파라메터 산정'!$C$19&gt;0,B363-'폭압 파라메터 산정'!$C$19, IF(B363-'폭압 파라메터 산정'!$C$19&lt;-0.25,"none",0))</f>
        <v>34.294157721147656</v>
      </c>
      <c r="D363" s="32">
        <f>IF(B363-'폭압 파라메터 산정'!$C$19&gt;-0.25,'폭압 파라메터 산정'!$C$14*(1-Graph!C363/'폭압 파라메터 산정'!$C$20)*EXP(-Graph!$D$3*Graph!C363/'폭압 파라메터 산정'!$C$20),0)</f>
        <v>-7.5403794188935377E-2</v>
      </c>
      <c r="E363" s="32">
        <f>IF(B363-'폭압 파라메터 산정'!$C$19&gt;-0.25,'폭압 파라메터 산정'!$C$16*(1-Graph!C363/'폭압 파라메터 산정'!$C$20)*EXP(-Graph!$D$3*Graph!C363/'폭압 파라메터 산정'!$C$20),0)</f>
        <v>-0.15957381567713008</v>
      </c>
      <c r="F363" s="34">
        <f>IF(B363-'폭압 파라메터 산정'!$E$19&gt;0,B363-'폭압 파라메터 산정'!$E$19, IF(B363-'폭압 파라메터 산정'!$E$19&lt;-0.25,"none",0))</f>
        <v>37.333176975799496</v>
      </c>
      <c r="G363" s="32">
        <f>IF(B363-'폭압 파라메터 산정'!$E$19&gt;-0.25,'폭압 파라메터 산정'!$E$14*(1-F363/'폭압 파라메터 산정'!$E$20)*EXP(-Graph!$D$3*F363/'폭압 파라메터 산정'!$E$20),0)</f>
        <v>-0.12193414507537735</v>
      </c>
      <c r="H363" s="32">
        <f>IF(B363-'폭압 파라메터 산정'!$E$19&gt;-0.25,'폭압 파라메터 산정'!$E$16*(1-F363/'폭압 파라메터 산정'!$E$20)*EXP(-Graph!$D$3*F363/'폭압 파라메터 산정'!$E$20),0)</f>
        <v>-0.26289932059306076</v>
      </c>
    </row>
    <row r="364" spans="2:8" x14ac:dyDescent="0.3">
      <c r="B364">
        <f t="shared" si="5"/>
        <v>89.25</v>
      </c>
      <c r="C364" s="33">
        <f>IF(B364-'폭압 파라메터 산정'!$C$19&gt;0,B364-'폭압 파라메터 산정'!$C$19, IF(B364-'폭압 파라메터 산정'!$C$19&lt;-0.25,"none",0))</f>
        <v>34.544157721147656</v>
      </c>
      <c r="D364" s="32">
        <f>IF(B364-'폭압 파라메터 산정'!$C$19&gt;-0.25,'폭압 파라메터 산정'!$C$14*(1-Graph!C364/'폭압 파라메터 산정'!$C$20)*EXP(-Graph!$D$3*Graph!C364/'폭압 파라메터 산정'!$C$20),0)</f>
        <v>-7.3048140182921426E-2</v>
      </c>
      <c r="E364" s="32">
        <f>IF(B364-'폭압 파라메터 산정'!$C$19&gt;-0.25,'폭압 파라메터 산정'!$C$16*(1-Graph!C364/'폭압 파라메터 산정'!$C$20)*EXP(-Graph!$D$3*Graph!C364/'폭압 파라메터 산정'!$C$20),0)</f>
        <v>-0.15458864613495973</v>
      </c>
      <c r="F364" s="34">
        <f>IF(B364-'폭압 파라메터 산정'!$E$19&gt;0,B364-'폭압 파라메터 산정'!$E$19, IF(B364-'폭압 파라메터 산정'!$E$19&lt;-0.25,"none",0))</f>
        <v>37.583176975799496</v>
      </c>
      <c r="G364" s="32">
        <f>IF(B364-'폭압 파라메터 산정'!$E$19&gt;-0.25,'폭압 파라메터 산정'!$E$14*(1-F364/'폭압 파라메터 산정'!$E$20)*EXP(-Graph!$D$3*F364/'폭압 파라메터 산정'!$E$20),0)</f>
        <v>-0.11865966288325866</v>
      </c>
      <c r="H364" s="32">
        <f>IF(B364-'폭압 파라메터 산정'!$E$19&gt;-0.25,'폭압 파라메터 산정'!$E$16*(1-F364/'폭압 파라메터 산정'!$E$20)*EXP(-Graph!$D$3*F364/'폭압 파라메터 산정'!$E$20),0)</f>
        <v>-0.25583928713754334</v>
      </c>
    </row>
    <row r="365" spans="2:8" x14ac:dyDescent="0.3">
      <c r="B365">
        <f t="shared" si="5"/>
        <v>89.5</v>
      </c>
      <c r="C365" s="33">
        <f>IF(B365-'폭압 파라메터 산정'!$C$19&gt;0,B365-'폭압 파라메터 산정'!$C$19, IF(B365-'폭압 파라메터 산정'!$C$19&lt;-0.25,"none",0))</f>
        <v>34.794157721147656</v>
      </c>
      <c r="D365" s="32">
        <f>IF(B365-'폭압 파라메터 산정'!$C$19&gt;-0.25,'폭압 파라메터 산정'!$C$14*(1-Graph!C365/'폭압 파라메터 산정'!$C$20)*EXP(-Graph!$D$3*Graph!C365/'폭압 파라메터 산정'!$C$20),0)</f>
        <v>-7.0757604164913321E-2</v>
      </c>
      <c r="E365" s="32">
        <f>IF(B365-'폭압 파라메터 산정'!$C$19&gt;-0.25,'폭압 파라메터 산정'!$C$16*(1-Graph!C365/'폭압 파라메터 산정'!$C$20)*EXP(-Graph!$D$3*Graph!C365/'폭압 파라메터 산정'!$C$20),0)</f>
        <v>-0.14974128299798528</v>
      </c>
      <c r="F365" s="34">
        <f>IF(B365-'폭압 파라메터 산정'!$E$19&gt;0,B365-'폭압 파라메터 산정'!$E$19, IF(B365-'폭압 파라메터 산정'!$E$19&lt;-0.25,"none",0))</f>
        <v>37.833176975799496</v>
      </c>
      <c r="G365" s="32">
        <f>IF(B365-'폭압 파라메터 산정'!$E$19&gt;-0.25,'폭압 파라메터 산정'!$E$14*(1-F365/'폭압 파라메터 산정'!$E$20)*EXP(-Graph!$D$3*F365/'폭압 파라메터 산정'!$E$20),0)</f>
        <v>-0.11546086884712732</v>
      </c>
      <c r="H365" s="32">
        <f>IF(B365-'폭압 파라메터 산정'!$E$19&gt;-0.25,'폭압 파라메터 산정'!$E$16*(1-F365/'폭압 파라메터 산정'!$E$20)*EXP(-Graph!$D$3*F365/'폭압 파라메터 산정'!$E$20),0)</f>
        <v>-0.24894244312148694</v>
      </c>
    </row>
    <row r="366" spans="2:8" x14ac:dyDescent="0.3">
      <c r="B366">
        <f t="shared" si="5"/>
        <v>89.75</v>
      </c>
      <c r="C366" s="33">
        <f>IF(B366-'폭압 파라메터 산정'!$C$19&gt;0,B366-'폭압 파라메터 산정'!$C$19, IF(B366-'폭압 파라메터 산정'!$C$19&lt;-0.25,"none",0))</f>
        <v>35.044157721147656</v>
      </c>
      <c r="D366" s="32">
        <f>IF(B366-'폭압 파라메터 산정'!$C$19&gt;-0.25,'폭압 파라메터 산정'!$C$14*(1-Graph!C366/'폭압 파라메터 산정'!$C$20)*EXP(-Graph!$D$3*Graph!C366/'폭압 파라메터 산정'!$C$20),0)</f>
        <v>-6.8530860933689333E-2</v>
      </c>
      <c r="E366" s="32">
        <f>IF(B366-'폭압 파라메터 산정'!$C$19&gt;-0.25,'폭압 파라메터 산정'!$C$16*(1-Graph!C366/'폭압 파라메터 산정'!$C$20)*EXP(-Graph!$D$3*Graph!C366/'폭압 파라메터 산정'!$C$20),0)</f>
        <v>-0.14502892179969729</v>
      </c>
      <c r="F366" s="34">
        <f>IF(B366-'폭압 파라메터 산정'!$E$19&gt;0,B366-'폭압 파라메터 산정'!$E$19, IF(B366-'폭압 파라메터 산정'!$E$19&lt;-0.25,"none",0))</f>
        <v>38.083176975799496</v>
      </c>
      <c r="G366" s="32">
        <f>IF(B366-'폭압 파라메터 산정'!$E$19&gt;-0.25,'폭압 파라메터 산정'!$E$14*(1-F366/'폭압 파라메터 산정'!$E$20)*EXP(-Graph!$D$3*F366/'폭압 파라메터 산정'!$E$20),0)</f>
        <v>-0.1123366336061562</v>
      </c>
      <c r="H366" s="32">
        <f>IF(B366-'폭압 파라메터 산정'!$E$19&gt;-0.25,'폭압 파라메터 산정'!$E$16*(1-F366/'폭압 파라메터 산정'!$E$20)*EXP(-Graph!$D$3*F366/'폭압 파라메터 산정'!$E$20),0)</f>
        <v>-0.24220635355677603</v>
      </c>
    </row>
    <row r="367" spans="2:8" x14ac:dyDescent="0.3">
      <c r="B367">
        <f t="shared" si="5"/>
        <v>90</v>
      </c>
      <c r="C367" s="33">
        <f>IF(B367-'폭압 파라메터 산정'!$C$19&gt;0,B367-'폭압 파라메터 산정'!$C$19, IF(B367-'폭압 파라메터 산정'!$C$19&lt;-0.25,"none",0))</f>
        <v>35.294157721147656</v>
      </c>
      <c r="D367" s="32">
        <f>IF(B367-'폭압 파라메터 산정'!$C$19&gt;-0.25,'폭압 파라메터 산정'!$C$14*(1-Graph!C367/'폭압 파라메터 산정'!$C$20)*EXP(-Graph!$D$3*Graph!C367/'폭압 파라메터 산정'!$C$20),0)</f>
        <v>-6.6366582182152078E-2</v>
      </c>
      <c r="E367" s="32">
        <f>IF(B367-'폭압 파라메터 산정'!$C$19&gt;-0.25,'폭압 파라메터 산정'!$C$16*(1-Graph!C367/'폭압 파라메터 산정'!$C$20)*EXP(-Graph!$D$3*Graph!C367/'폭압 파라메터 산정'!$C$20),0)</f>
        <v>-0.14044875150075478</v>
      </c>
      <c r="F367" s="34">
        <f>IF(B367-'폭압 파라메터 산정'!$E$19&gt;0,B367-'폭압 파라메터 산정'!$E$19, IF(B367-'폭압 파라메터 산정'!$E$19&lt;-0.25,"none",0))</f>
        <v>38.333176975799496</v>
      </c>
      <c r="G367" s="32">
        <f>IF(B367-'폭압 파라메터 산정'!$E$19&gt;-0.25,'폭압 파라메터 산정'!$E$14*(1-F367/'폭압 파라메터 산정'!$E$20)*EXP(-Graph!$D$3*F367/'폭압 파라메터 산정'!$E$20),0)</f>
        <v>-0.10928580816758356</v>
      </c>
      <c r="H367" s="32">
        <f>IF(B367-'폭압 파라메터 산정'!$E$19&gt;-0.25,'폭압 파라메터 산정'!$E$16*(1-F367/'폭압 파라메터 산정'!$E$20)*EXP(-Graph!$D$3*F367/'폭압 파라메터 산정'!$E$20),0)</f>
        <v>-0.23562854112734566</v>
      </c>
    </row>
    <row r="368" spans="2:8" x14ac:dyDescent="0.3">
      <c r="B368">
        <f t="shared" si="5"/>
        <v>90.25</v>
      </c>
      <c r="C368" s="33">
        <f>IF(B368-'폭압 파라메터 산정'!$C$19&gt;0,B368-'폭압 파라메터 산정'!$C$19, IF(B368-'폭압 파라메터 산정'!$C$19&lt;-0.25,"none",0))</f>
        <v>35.544157721147656</v>
      </c>
      <c r="D368" s="32">
        <f>IF(B368-'폭압 파라메터 산정'!$C$19&gt;-0.25,'폭압 파라메터 산정'!$C$14*(1-Graph!C368/'폭압 파라메터 산정'!$C$20)*EXP(-Graph!$D$3*Graph!C368/'폭압 파라메터 산정'!$C$20),0)</f>
        <v>-6.4263439077277634E-2</v>
      </c>
      <c r="E368" s="32">
        <f>IF(B368-'폭압 파라메터 산정'!$C$19&gt;-0.25,'폭압 파라메터 산정'!$C$16*(1-Graph!C368/'폭압 파라메터 산정'!$C$20)*EXP(-Graph!$D$3*Graph!C368/'폭압 파라메터 산정'!$C$20),0)</f>
        <v>-0.13599795994882105</v>
      </c>
      <c r="F368" s="34">
        <f>IF(B368-'폭압 파라메터 산정'!$E$19&gt;0,B368-'폭압 파라메터 산정'!$E$19, IF(B368-'폭압 파라메터 산정'!$E$19&lt;-0.25,"none",0))</f>
        <v>38.583176975799496</v>
      </c>
      <c r="G368" s="32">
        <f>IF(B368-'폭압 파라메터 산정'!$E$19&gt;-0.25,'폭압 파라메터 산정'!$E$14*(1-F368/'폭압 파라메터 산정'!$E$20)*EXP(-Graph!$D$3*F368/'폭압 파라메터 산정'!$E$20),0)</f>
        <v>-0.10630722689038639</v>
      </c>
      <c r="H368" s="32">
        <f>IF(B368-'폭압 파라메터 산정'!$E$19&gt;-0.25,'폭압 파라메터 산정'!$E$16*(1-F368/'폭압 파라메터 산정'!$E$20)*EXP(-Graph!$D$3*F368/'폭압 파라메터 산정'!$E$20),0)</f>
        <v>-0.22920649262220985</v>
      </c>
    </row>
    <row r="369" spans="2:8" x14ac:dyDescent="0.3">
      <c r="B369">
        <f t="shared" si="5"/>
        <v>90.5</v>
      </c>
      <c r="C369" s="33">
        <f>IF(B369-'폭압 파라메터 산정'!$C$19&gt;0,B369-'폭압 파라메터 산정'!$C$19, IF(B369-'폭압 파라메터 산정'!$C$19&lt;-0.25,"none",0))</f>
        <v>35.794157721147656</v>
      </c>
      <c r="D369" s="32">
        <f>IF(B369-'폭압 파라메터 산정'!$C$19&gt;-0.25,'폭압 파라메터 산정'!$C$14*(1-Graph!C369/'폭압 파라메터 산정'!$C$20)*EXP(-Graph!$D$3*Graph!C369/'폭압 파라메터 산정'!$C$20),0)</f>
        <v>-6.2220104629605241E-2</v>
      </c>
      <c r="E369" s="32">
        <f>IF(B369-'폭압 파라메터 산정'!$C$19&gt;-0.25,'폭압 파라메터 산정'!$C$16*(1-Graph!C369/'폭압 파라메터 산정'!$C$20)*EXP(-Graph!$D$3*Graph!C369/'폭압 파라메터 산정'!$C$20),0)</f>
        <v>-0.13167373889301309</v>
      </c>
      <c r="F369" s="34">
        <f>IF(B369-'폭압 파라메터 산정'!$E$19&gt;0,B369-'폭압 파라메터 산정'!$E$19, IF(B369-'폭압 파라메터 산정'!$E$19&lt;-0.25,"none",0))</f>
        <v>38.833176975799496</v>
      </c>
      <c r="G369" s="32">
        <f>IF(B369-'폭압 파라메터 산정'!$E$19&gt;-0.25,'폭압 파라메터 산정'!$E$14*(1-F369/'폭압 파라메터 산정'!$E$20)*EXP(-Graph!$D$3*F369/'폭압 파라메터 산정'!$E$20),0)</f>
        <v>-0.10339971027559818</v>
      </c>
      <c r="H369" s="32">
        <f>IF(B369-'폭압 파라메터 산정'!$E$19&gt;-0.25,'폭압 파라메터 산정'!$E$16*(1-F369/'폭압 파라메터 산정'!$E$20)*EXP(-Graph!$D$3*F369/'폭압 파라메터 산정'!$E$20),0)</f>
        <v>-0.22293766495159853</v>
      </c>
    </row>
    <row r="370" spans="2:8" x14ac:dyDescent="0.3">
      <c r="B370">
        <f t="shared" si="5"/>
        <v>90.75</v>
      </c>
      <c r="C370" s="33">
        <f>IF(B370-'폭압 파라메터 산정'!$C$19&gt;0,B370-'폭압 파라메터 산정'!$C$19, IF(B370-'폭압 파라메터 산정'!$C$19&lt;-0.25,"none",0))</f>
        <v>36.044157721147656</v>
      </c>
      <c r="D370" s="32">
        <f>IF(B370-'폭압 파라메터 산정'!$C$19&gt;-0.25,'폭압 파라메터 산정'!$C$14*(1-Graph!C370/'폭압 파라메터 산정'!$C$20)*EXP(-Graph!$D$3*Graph!C370/'폭압 파라메터 산정'!$C$20),0)</f>
        <v>-6.0235255865361166E-2</v>
      </c>
      <c r="E370" s="32">
        <f>IF(B370-'폭압 파라메터 산정'!$C$19&gt;-0.25,'폭압 파라메터 산정'!$C$16*(1-Graph!C370/'폭압 파라메터 산정'!$C$20)*EXP(-Graph!$D$3*Graph!C370/'폭압 파라메터 산정'!$C$20),0)</f>
        <v>-0.12747328858067403</v>
      </c>
      <c r="F370" s="34">
        <f>IF(B370-'폭압 파라메터 산정'!$E$19&gt;0,B370-'폭압 파라메터 산정'!$E$19, IF(B370-'폭압 파라메터 산정'!$E$19&lt;-0.25,"none",0))</f>
        <v>39.083176975799496</v>
      </c>
      <c r="G370" s="32">
        <f>IF(B370-'폭압 파라메터 산정'!$E$19&gt;-0.25,'폭압 파라메터 산정'!$E$14*(1-F370/'폭압 파라메터 산정'!$E$20)*EXP(-Graph!$D$3*F370/'폭압 파라메터 산정'!$E$20),0)</f>
        <v>-0.10056206757347229</v>
      </c>
      <c r="H370" s="32">
        <f>IF(B370-'폭압 파라메터 산정'!$E$19&gt;-0.25,'폭압 파라메터 산정'!$E$16*(1-F370/'폭압 파라메터 산정'!$E$20)*EXP(-Graph!$D$3*F370/'폭압 파라메터 산정'!$E$20),0)</f>
        <v>-0.21681949076820159</v>
      </c>
    </row>
    <row r="371" spans="2:8" x14ac:dyDescent="0.3">
      <c r="B371">
        <f t="shared" si="5"/>
        <v>91</v>
      </c>
      <c r="C371" s="33">
        <f>IF(B371-'폭압 파라메터 산정'!$C$19&gt;0,B371-'폭압 파라메터 산정'!$C$19, IF(B371-'폭압 파라메터 산정'!$C$19&lt;-0.25,"none",0))</f>
        <v>36.294157721147656</v>
      </c>
      <c r="D371" s="32">
        <f>IF(B371-'폭압 파라메터 산정'!$C$19&gt;-0.25,'폭압 파라메터 산정'!$C$14*(1-Graph!C371/'폭압 파라메터 산정'!$C$20)*EXP(-Graph!$D$3*Graph!C371/'폭압 파라메터 산정'!$C$20),0)</f>
        <v>-5.830757581358572E-2</v>
      </c>
      <c r="E371" s="32">
        <f>IF(B371-'폭압 파라메터 산정'!$C$19&gt;-0.25,'폭압 파라메터 산정'!$C$16*(1-Graph!C371/'폭압 파라메터 산정'!$C$20)*EXP(-Graph!$D$3*Graph!C371/'폭압 파라메터 산정'!$C$20),0)</f>
        <v>-0.12339382196264498</v>
      </c>
      <c r="F371" s="34">
        <f>IF(B371-'폭압 파라메터 산정'!$E$19&gt;0,B371-'폭압 파라메터 산정'!$E$19, IF(B371-'폭압 파라메터 산정'!$E$19&lt;-0.25,"none",0))</f>
        <v>39.333176975799496</v>
      </c>
      <c r="G371" s="32">
        <f>IF(B371-'폭압 파라메터 산정'!$E$19&gt;-0.25,'폭압 파라메터 산정'!$E$14*(1-F371/'폭압 파라메터 산정'!$E$20)*EXP(-Graph!$D$3*F371/'폭압 파라메터 산정'!$E$20),0)</f>
        <v>-9.7793099217205956E-2</v>
      </c>
      <c r="H371" s="32">
        <f>IF(B371-'폭압 파라메터 산정'!$E$19&gt;-0.25,'폭압 파라메터 산정'!$E$16*(1-F371/'폭압 파라메터 산정'!$E$20)*EXP(-Graph!$D$3*F371/'폭압 파라메터 산정'!$E$20),0)</f>
        <v>-0.21084938371446293</v>
      </c>
    </row>
    <row r="372" spans="2:8" x14ac:dyDescent="0.3">
      <c r="B372">
        <f t="shared" si="5"/>
        <v>91.25</v>
      </c>
      <c r="C372" s="33">
        <f>IF(B372-'폭압 파라메터 산정'!$C$19&gt;0,B372-'폭압 파라메터 산정'!$C$19, IF(B372-'폭압 파라메터 산정'!$C$19&lt;-0.25,"none",0))</f>
        <v>36.544157721147656</v>
      </c>
      <c r="D372" s="32">
        <f>IF(B372-'폭압 파라메터 산정'!$C$19&gt;-0.25,'폭압 파라메터 산정'!$C$14*(1-Graph!C372/'폭압 파라메터 산정'!$C$20)*EXP(-Graph!$D$3*Graph!C372/'폭압 파라메터 산정'!$C$20),0)</f>
        <v>-5.6435755319941321E-2</v>
      </c>
      <c r="E372" s="32">
        <f>IF(B372-'폭압 파라메터 산정'!$C$19&gt;-0.25,'폭압 파라메터 산정'!$C$16*(1-Graph!C372/'폭압 파라메터 산정'!$C$20)*EXP(-Graph!$D$3*Graph!C372/'폭압 파라메터 산정'!$C$20),0)</f>
        <v>-0.11943256853174912</v>
      </c>
      <c r="F372" s="34">
        <f>IF(B372-'폭압 파라메터 산정'!$E$19&gt;0,B372-'폭압 파라메터 산정'!$E$19, IF(B372-'폭압 파라메터 산정'!$E$19&lt;-0.25,"none",0))</f>
        <v>39.583176975799496</v>
      </c>
      <c r="G372" s="32">
        <f>IF(B372-'폭압 파라메터 산정'!$E$19&gt;-0.25,'폭압 파라메터 산정'!$E$14*(1-F372/'폭압 파라메터 산정'!$E$20)*EXP(-Graph!$D$3*F372/'폭압 파라메터 산정'!$E$20),0)</f>
        <v>-9.5091599092469878E-2</v>
      </c>
      <c r="H372" s="32">
        <f>IF(B372-'폭압 파라메터 산정'!$E$19&gt;-0.25,'폭압 파라메터 산정'!$E$16*(1-F372/'폭압 파라메터 산정'!$E$20)*EXP(-Graph!$D$3*F372/'폭압 파라메터 산정'!$E$20),0)</f>
        <v>-0.20502474331585974</v>
      </c>
    </row>
    <row r="373" spans="2:8" x14ac:dyDescent="0.3">
      <c r="B373">
        <f t="shared" si="5"/>
        <v>91.5</v>
      </c>
      <c r="C373" s="33">
        <f>IF(B373-'폭압 파라메터 산정'!$C$19&gt;0,B373-'폭압 파라메터 산정'!$C$19, IF(B373-'폭압 파라메터 산정'!$C$19&lt;-0.25,"none",0))</f>
        <v>36.794157721147656</v>
      </c>
      <c r="D373" s="32">
        <f>IF(B373-'폭압 파라메터 산정'!$C$19&gt;-0.25,'폭압 파라메터 산정'!$C$14*(1-Graph!C373/'폭압 파라메터 산정'!$C$20)*EXP(-Graph!$D$3*Graph!C373/'폭압 파라메터 산정'!$C$20),0)</f>
        <v>-5.4618494698226487E-2</v>
      </c>
      <c r="E373" s="32">
        <f>IF(B373-'폭압 파라메터 산정'!$C$19&gt;-0.25,'폭압 파라메터 산정'!$C$16*(1-Graph!C373/'폭압 파라메터 산정'!$C$20)*EXP(-Graph!$D$3*Graph!C373/'폭압 파라메터 산정'!$C$20),0)</f>
        <v>-0.11558677781781999</v>
      </c>
      <c r="F373" s="34">
        <f>IF(B373-'폭압 파라메터 산정'!$E$19&gt;0,B373-'폭압 파라메터 산정'!$E$19, IF(B373-'폭압 파라메터 산정'!$E$19&lt;-0.25,"none",0))</f>
        <v>39.833176975799496</v>
      </c>
      <c r="G373" s="32">
        <f>IF(B373-'폭압 파라메터 산정'!$E$19&gt;-0.25,'폭압 파라메터 산정'!$E$14*(1-F373/'폭압 파라메터 산정'!$E$20)*EXP(-Graph!$D$3*F373/'폭압 파라메터 산정'!$E$20),0)</f>
        <v>-9.2456356651544808E-2</v>
      </c>
      <c r="H373" s="32">
        <f>IF(B373-'폭압 파라메터 산정'!$E$19&gt;-0.25,'폭압 파라메터 산정'!$E$16*(1-F373/'폭압 파라메터 산정'!$E$20)*EXP(-Graph!$D$3*F373/'폭압 파라메터 산정'!$E$20),0)</f>
        <v>-0.19934295953914224</v>
      </c>
    </row>
    <row r="374" spans="2:8" x14ac:dyDescent="0.3">
      <c r="B374">
        <f t="shared" si="5"/>
        <v>91.75</v>
      </c>
      <c r="C374" s="33">
        <f>IF(B374-'폭압 파라메터 산정'!$C$19&gt;0,B374-'폭압 파라메터 산정'!$C$19, IF(B374-'폭압 파라메터 산정'!$C$19&lt;-0.25,"none",0))</f>
        <v>37.044157721147656</v>
      </c>
      <c r="D374" s="32">
        <f>IF(B374-'폭압 파라메터 산정'!$C$19&gt;-0.25,'폭압 파라메터 산정'!$C$14*(1-Graph!C374/'폭압 파라메터 산정'!$C$20)*EXP(-Graph!$D$3*Graph!C374/'폭압 파라메터 산정'!$C$20),0)</f>
        <v>-5.2854505230001771E-2</v>
      </c>
      <c r="E374" s="32">
        <f>IF(B374-'폭압 파라메터 산정'!$C$19&gt;-0.25,'폭압 파라메터 산정'!$C$16*(1-Graph!C374/'폭압 파라메터 산정'!$C$20)*EXP(-Graph!$D$3*Graph!C374/'폭압 파라메터 산정'!$C$20),0)</f>
        <v>-0.11185372256129558</v>
      </c>
      <c r="F374" s="34">
        <f>IF(B374-'폭압 파라메터 산정'!$E$19&gt;0,B374-'폭압 파라메터 산정'!$E$19, IF(B374-'폭압 파라메터 산정'!$E$19&lt;-0.25,"none",0))</f>
        <v>40.083176975799496</v>
      </c>
      <c r="G374" s="32">
        <f>IF(B374-'폭압 파라메터 산정'!$E$19&gt;-0.25,'폭압 파라메터 산정'!$E$14*(1-F374/'폭압 파라메터 산정'!$E$20)*EXP(-Graph!$D$3*F374/'폭압 파라메터 산정'!$E$20),0)</f>
        <v>-8.988615888043873E-2</v>
      </c>
      <c r="H374" s="32">
        <f>IF(B374-'폭압 파라메터 산정'!$E$19&gt;-0.25,'폭압 파라메터 산정'!$E$16*(1-F374/'폭압 파라메터 산정'!$E$20)*EXP(-Graph!$D$3*F374/'폭압 파라메터 산정'!$E$20),0)</f>
        <v>-0.19380141703358822</v>
      </c>
    </row>
    <row r="375" spans="2:8" x14ac:dyDescent="0.3">
      <c r="B375">
        <f t="shared" si="5"/>
        <v>92</v>
      </c>
      <c r="C375" s="33">
        <f>IF(B375-'폭압 파라메터 산정'!$C$19&gt;0,B375-'폭압 파라메터 산정'!$C$19, IF(B375-'폭압 파라메터 산정'!$C$19&lt;-0.25,"none",0))</f>
        <v>37.294157721147656</v>
      </c>
      <c r="D375" s="32">
        <f>IF(B375-'폭압 파라메터 산정'!$C$19&gt;-0.25,'폭압 파라메터 산정'!$C$14*(1-Graph!C375/'폭압 파라메터 산정'!$C$20)*EXP(-Graph!$D$3*Graph!C375/'폭압 파라메터 산정'!$C$20),0)</f>
        <v>-5.1142510522146648E-2</v>
      </c>
      <c r="E375" s="32">
        <f>IF(B375-'폭압 파라메터 산정'!$C$19&gt;-0.25,'폭압 파라메터 산정'!$C$16*(1-Graph!C375/'폭압 파라메터 산정'!$C$20)*EXP(-Graph!$D$3*Graph!C375/'폭압 파라메터 산정'!$C$20),0)</f>
        <v>-0.10823070158615768</v>
      </c>
      <c r="F375" s="34">
        <f>IF(B375-'폭압 파라메터 산정'!$E$19&gt;0,B375-'폭압 파라메터 산정'!$E$19, IF(B375-'폭압 파라메터 산정'!$E$19&lt;-0.25,"none",0))</f>
        <v>40.333176975799496</v>
      </c>
      <c r="G375" s="32">
        <f>IF(B375-'폭압 파라메터 산정'!$E$19&gt;-0.25,'폭압 파라메터 산정'!$E$14*(1-F375/'폭압 파라메터 산정'!$E$20)*EXP(-Graph!$D$3*F375/'폭압 파라메터 산정'!$E$20),0)</f>
        <v>-8.7379792126953279E-2</v>
      </c>
      <c r="H375" s="32">
        <f>IF(B375-'폭압 파라메터 산정'!$E$19&gt;-0.25,'폭압 파라메터 산정'!$E$16*(1-F375/'폭압 파라메터 산정'!$E$20)*EXP(-Graph!$D$3*F375/'폭압 파라메터 산정'!$E$20),0)</f>
        <v>-0.18839749907245418</v>
      </c>
    </row>
    <row r="376" spans="2:8" x14ac:dyDescent="0.3">
      <c r="B376">
        <f t="shared" si="5"/>
        <v>92.25</v>
      </c>
      <c r="C376" s="33">
        <f>IF(B376-'폭압 파라메터 산정'!$C$19&gt;0,B376-'폭압 파라메터 산정'!$C$19, IF(B376-'폭압 파라메터 산정'!$C$19&lt;-0.25,"none",0))</f>
        <v>37.544157721147656</v>
      </c>
      <c r="D376" s="32">
        <f>IF(B376-'폭압 파라메터 산정'!$C$19&gt;-0.25,'폭압 파라메터 산정'!$C$14*(1-Graph!C376/'폭압 파라메터 산정'!$C$20)*EXP(-Graph!$D$3*Graph!C376/'폭압 파라메터 산정'!$C$20),0)</f>
        <v>-4.9481247731610715E-2</v>
      </c>
      <c r="E376" s="32">
        <f>IF(B376-'폭압 파라메터 산정'!$C$19&gt;-0.25,'폭압 파라메터 산정'!$C$16*(1-Graph!C376/'폭압 파라메터 산정'!$C$20)*EXP(-Graph!$D$3*Graph!C376/'폭압 파라메터 산정'!$C$20),0)</f>
        <v>-0.10471504239182028</v>
      </c>
      <c r="F376" s="34">
        <f>IF(B376-'폭압 파라메터 산정'!$E$19&gt;0,B376-'폭압 파라메터 산정'!$E$19, IF(B376-'폭압 파라메터 산정'!$E$19&lt;-0.25,"none",0))</f>
        <v>40.583176975799496</v>
      </c>
      <c r="G376" s="32">
        <f>IF(B376-'폭압 파라메터 산정'!$E$19&gt;-0.25,'폭압 파라메터 산정'!$E$14*(1-F376/'폭압 파라메터 산정'!$E$20)*EXP(-Graph!$D$3*F376/'폭압 파라메터 산정'!$E$20),0)</f>
        <v>-8.4936043797279079E-2</v>
      </c>
      <c r="H376" s="32">
        <f>IF(B376-'폭압 파라메터 산정'!$E$19&gt;-0.25,'폭압 파라메터 산정'!$E$16*(1-F376/'폭압 파라메터 산정'!$E$20)*EXP(-Graph!$D$3*F376/'폭압 파라메터 산정'!$E$20),0)</f>
        <v>-0.1831285912109637</v>
      </c>
    </row>
    <row r="377" spans="2:8" x14ac:dyDescent="0.3">
      <c r="B377">
        <f t="shared" si="5"/>
        <v>92.5</v>
      </c>
      <c r="C377" s="33">
        <f>IF(B377-'폭압 파라메터 산정'!$C$19&gt;0,B377-'폭압 파라메터 산정'!$C$19, IF(B377-'폭압 파라메터 산정'!$C$19&lt;-0.25,"none",0))</f>
        <v>37.794157721147656</v>
      </c>
      <c r="D377" s="32">
        <f>IF(B377-'폭압 파라메터 산정'!$C$19&gt;-0.25,'폭압 파라메터 산정'!$C$14*(1-Graph!C377/'폭압 파라메터 산정'!$C$20)*EXP(-Graph!$D$3*Graph!C377/'폭압 파라메터 산정'!$C$20),0)</f>
        <v>-4.7869468666095989E-2</v>
      </c>
      <c r="E377" s="32">
        <f>IF(B377-'폭압 파라메터 산정'!$C$19&gt;-0.25,'폭압 파라메터 산정'!$C$16*(1-Graph!C377/'폭압 파라메터 산정'!$C$20)*EXP(-Graph!$D$3*Graph!C377/'폭압 파라메터 산정'!$C$20),0)</f>
        <v>-0.10130410348245643</v>
      </c>
      <c r="F377" s="34">
        <f>IF(B377-'폭압 파라메터 산정'!$E$19&gt;0,B377-'폭압 파라메터 산정'!$E$19, IF(B377-'폭압 파라메터 산정'!$E$19&lt;-0.25,"none",0))</f>
        <v>40.833176975799496</v>
      </c>
      <c r="G377" s="32">
        <f>IF(B377-'폭압 파라메터 산정'!$E$19&gt;-0.25,'폭압 파라메터 산정'!$E$14*(1-F377/'폭압 파라메터 산정'!$E$20)*EXP(-Graph!$D$3*F377/'폭압 파라메터 산정'!$E$20),0)</f>
        <v>-8.2553703928331154E-2</v>
      </c>
      <c r="H377" s="32">
        <f>IF(B377-'폭압 파라메터 산정'!$E$19&gt;-0.25,'폭압 파라메터 산정'!$E$16*(1-F377/'폭압 파라메터 산정'!$E$20)*EXP(-Graph!$D$3*F377/'폭압 파라메터 산정'!$E$20),0)</f>
        <v>-0.17799208467638314</v>
      </c>
    </row>
    <row r="378" spans="2:8" x14ac:dyDescent="0.3">
      <c r="B378">
        <f t="shared" si="5"/>
        <v>92.75</v>
      </c>
      <c r="C378" s="33">
        <f>IF(B378-'폭압 파라메터 산정'!$C$19&gt;0,B378-'폭압 파라메터 산정'!$C$19, IF(B378-'폭압 파라메터 산정'!$C$19&lt;-0.25,"none",0))</f>
        <v>38.044157721147656</v>
      </c>
      <c r="D378" s="32">
        <f>IF(B378-'폭압 파라메터 산정'!$C$19&gt;-0.25,'폭압 파라메터 산정'!$C$14*(1-Graph!C378/'폭압 파라메터 산정'!$C$20)*EXP(-Graph!$D$3*Graph!C378/'폭압 파라메터 산정'!$C$20),0)</f>
        <v>-4.6305940768908878E-2</v>
      </c>
      <c r="E378" s="32">
        <f>IF(B378-'폭압 파라메터 산정'!$C$19&gt;-0.25,'폭압 파라메터 산정'!$C$16*(1-Graph!C378/'폭압 파라메터 산정'!$C$20)*EXP(-Graph!$D$3*Graph!C378/'폭압 파라메터 산정'!$C$20),0)</f>
        <v>-9.7995276451198113E-2</v>
      </c>
      <c r="F378" s="34">
        <f>IF(B378-'폭압 파라메터 산정'!$E$19&gt;0,B378-'폭압 파라메터 산정'!$E$19, IF(B378-'폭압 파라메터 산정'!$E$19&lt;-0.25,"none",0))</f>
        <v>41.083176975799496</v>
      </c>
      <c r="G378" s="32">
        <f>IF(B378-'폭압 파라메터 산정'!$E$19&gt;-0.25,'폭압 파라메터 산정'!$E$14*(1-F378/'폭압 파라메터 산정'!$E$20)*EXP(-Graph!$D$3*F378/'폭압 파라메터 산정'!$E$20),0)</f>
        <v>-8.0231566642681273E-2</v>
      </c>
      <c r="H378" s="32">
        <f>IF(B378-'폭압 파라메터 산정'!$E$19&gt;-0.25,'폭압 파라메터 산정'!$E$16*(1-F378/'폭압 파라메터 산정'!$E$20)*EXP(-Graph!$D$3*F378/'폭압 파라메터 산정'!$E$20),0)</f>
        <v>-0.17298537950496645</v>
      </c>
    </row>
    <row r="379" spans="2:8" x14ac:dyDescent="0.3">
      <c r="B379">
        <f t="shared" si="5"/>
        <v>93</v>
      </c>
      <c r="C379" s="33">
        <f>IF(B379-'폭압 파라메터 산정'!$C$19&gt;0,B379-'폭압 파라메터 산정'!$C$19, IF(B379-'폭압 파라메터 산정'!$C$19&lt;-0.25,"none",0))</f>
        <v>38.294157721147656</v>
      </c>
      <c r="D379" s="32">
        <f>IF(B379-'폭압 파라메터 산정'!$C$19&gt;-0.25,'폭압 파라메터 산정'!$C$14*(1-Graph!C379/'폭압 파라메터 산정'!$C$20)*EXP(-Graph!$D$3*Graph!C379/'폭압 파라메터 산정'!$C$20),0)</f>
        <v>-4.4789447995747286E-2</v>
      </c>
      <c r="E379" s="32">
        <f>IF(B379-'폭압 파라메터 산정'!$C$19&gt;-0.25,'폭압 파라메터 산정'!$C$16*(1-Graph!C379/'폭압 파라메터 산정'!$C$20)*EXP(-Graph!$D$3*Graph!C379/'폭압 파라메터 산정'!$C$20),0)</f>
        <v>-9.4785987835643321E-2</v>
      </c>
      <c r="F379" s="34">
        <f>IF(B379-'폭압 파라메터 산정'!$E$19&gt;0,B379-'폭압 파라메터 산정'!$E$19, IF(B379-'폭압 파라메터 산정'!$E$19&lt;-0.25,"none",0))</f>
        <v>41.333176975799496</v>
      </c>
      <c r="G379" s="32">
        <f>IF(B379-'폭압 파라메터 산정'!$E$19&gt;-0.25,'폭압 파라메터 산정'!$E$14*(1-F379/'폭압 파라메터 산정'!$E$20)*EXP(-Graph!$D$3*F379/'폭압 파라메터 산정'!$E$20),0)</f>
        <v>-7.7968431492608278E-2</v>
      </c>
      <c r="H379" s="32">
        <f>IF(B379-'폭압 파라메터 산정'!$E$19&gt;-0.25,'폭압 파라메터 산정'!$E$16*(1-F379/'폭압 파라메터 산정'!$E$20)*EXP(-Graph!$D$3*F379/'폭압 파라메터 산정'!$E$20),0)</f>
        <v>-0.16810588743983024</v>
      </c>
    </row>
    <row r="380" spans="2:8" x14ac:dyDescent="0.3">
      <c r="B380">
        <f t="shared" si="5"/>
        <v>93.25</v>
      </c>
      <c r="C380" s="33">
        <f>IF(B380-'폭압 파라메터 산정'!$C$19&gt;0,B380-'폭압 파라메터 산정'!$C$19, IF(B380-'폭압 파라메터 산정'!$C$19&lt;-0.25,"none",0))</f>
        <v>38.544157721147656</v>
      </c>
      <c r="D380" s="32">
        <f>IF(B380-'폭압 파라메터 산정'!$C$19&gt;-0.25,'폭압 파라메터 산정'!$C$14*(1-Graph!C380/'폭압 파라메터 산정'!$C$20)*EXP(-Graph!$D$3*Graph!C380/'폭압 파라메터 산정'!$C$20),0)</f>
        <v>-4.3318791590742742E-2</v>
      </c>
      <c r="E380" s="32">
        <f>IF(B380-'폭압 파라메터 산정'!$C$19&gt;-0.25,'폭압 파라메터 산정'!$C$16*(1-Graph!C380/'폭압 파라메터 산정'!$C$20)*EXP(-Graph!$D$3*Graph!C380/'폭압 파라메터 산정'!$C$20),0)</f>
        <v>-9.1673700760160556E-2</v>
      </c>
      <c r="F380" s="34">
        <f>IF(B380-'폭압 파라메터 산정'!$E$19&gt;0,B380-'폭압 파라메터 산정'!$E$19, IF(B380-'폭압 파라메터 산정'!$E$19&lt;-0.25,"none",0))</f>
        <v>41.583176975799496</v>
      </c>
      <c r="G380" s="32">
        <f>IF(B380-'폭압 파라메터 산정'!$E$19&gt;-0.25,'폭압 파라메터 산정'!$E$14*(1-F380/'폭압 파라메터 산정'!$E$20)*EXP(-Graph!$D$3*F380/'폭압 파라메터 산정'!$E$20),0)</f>
        <v>-7.5763104699464734E-2</v>
      </c>
      <c r="H380" s="32">
        <f>IF(B380-'폭압 파라메터 산정'!$E$19&gt;-0.25,'폭압 파라메터 산정'!$E$16*(1-F380/'폭압 파라메터 산정'!$E$20)*EXP(-Graph!$D$3*F380/'폭압 파라메터 산정'!$E$20),0)</f>
        <v>-0.16335103460312317</v>
      </c>
    </row>
    <row r="381" spans="2:8" x14ac:dyDescent="0.3">
      <c r="B381">
        <f t="shared" si="5"/>
        <v>93.5</v>
      </c>
      <c r="C381" s="33">
        <f>IF(B381-'폭압 파라메터 산정'!$C$19&gt;0,B381-'폭압 파라메터 산정'!$C$19, IF(B381-'폭압 파라메터 산정'!$C$19&lt;-0.25,"none",0))</f>
        <v>38.794157721147656</v>
      </c>
      <c r="D381" s="32">
        <f>IF(B381-'폭압 파라메터 산정'!$C$19&gt;-0.25,'폭압 파라메터 산정'!$C$14*(1-Graph!C381/'폭압 파라메터 산정'!$C$20)*EXP(-Graph!$D$3*Graph!C381/'폭압 파라메터 산정'!$C$20),0)</f>
        <v>-4.1892790768652183E-2</v>
      </c>
      <c r="E381" s="32">
        <f>IF(B381-'폭압 파라메터 산정'!$C$19&gt;-0.25,'폭압 파라메터 산정'!$C$16*(1-Graph!C381/'폭압 파라메터 산정'!$C$20)*EXP(-Graph!$D$3*Graph!C381/'폭압 파라메터 산정'!$C$20),0)</f>
        <v>-8.86559163795822E-2</v>
      </c>
      <c r="F381" s="34">
        <f>IF(B381-'폭압 파라메터 산정'!$E$19&gt;0,B381-'폭압 파라메터 산정'!$E$19, IF(B381-'폭압 파라메터 산정'!$E$19&lt;-0.25,"none",0))</f>
        <v>41.833176975799496</v>
      </c>
      <c r="G381" s="32">
        <f>IF(B381-'폭압 파라메터 산정'!$E$19&gt;-0.25,'폭압 파라메터 산정'!$E$14*(1-F381/'폭압 파라메터 산정'!$E$20)*EXP(-Graph!$D$3*F381/'폭압 파라메터 산정'!$E$20),0)</f>
        <v>-7.3614400294254451E-2</v>
      </c>
      <c r="H381" s="32">
        <f>IF(B381-'폭압 파라메터 산정'!$E$19&gt;-0.25,'폭압 파라메터 산정'!$E$16*(1-F381/'폭압 파라메터 산정'!$E$20)*EXP(-Graph!$D$3*F381/'폭압 파라메터 산정'!$E$20),0)</f>
        <v>-0.15871826395519767</v>
      </c>
    </row>
    <row r="382" spans="2:8" x14ac:dyDescent="0.3">
      <c r="B382">
        <f t="shared" si="5"/>
        <v>93.75</v>
      </c>
      <c r="C382" s="33">
        <f>IF(B382-'폭압 파라메터 산정'!$C$19&gt;0,B382-'폭압 파라메터 산정'!$C$19, IF(B382-'폭압 파라메터 산정'!$C$19&lt;-0.25,"none",0))</f>
        <v>39.044157721147656</v>
      </c>
      <c r="D382" s="32">
        <f>IF(B382-'폭압 파라메터 산정'!$C$19&gt;-0.25,'폭압 파라메터 산정'!$C$14*(1-Graph!C382/'폭압 파라메터 산정'!$C$20)*EXP(-Graph!$D$3*Graph!C382/'폭압 파라메터 산정'!$C$20),0)</f>
        <v>-4.0510283309695208E-2</v>
      </c>
      <c r="E382" s="32">
        <f>IF(B382-'폭압 파라메터 산정'!$C$19&gt;-0.25,'폭압 파라메터 산정'!$C$16*(1-Graph!C382/'폭압 파라메터 산정'!$C$20)*EXP(-Graph!$D$3*Graph!C382/'폭압 파라메터 산정'!$C$20),0)</f>
        <v>-8.573017513803298E-2</v>
      </c>
      <c r="F382" s="34">
        <f>IF(B382-'폭압 파라메터 산정'!$E$19&gt;0,B382-'폭압 파라메터 산정'!$E$19, IF(B382-'폭압 파라메터 산정'!$E$19&lt;-0.25,"none",0))</f>
        <v>42.083176975799496</v>
      </c>
      <c r="G382" s="32">
        <f>IF(B382-'폭압 파라메터 산정'!$E$19&gt;-0.25,'폭압 파라메터 산정'!$E$14*(1-F382/'폭압 파라메터 산정'!$E$20)*EXP(-Graph!$D$3*F382/'폭압 파라메터 산정'!$E$20),0)</f>
        <v>-7.1521141165019897E-2</v>
      </c>
      <c r="H382" s="32">
        <f>IF(B382-'폭압 파라메터 산정'!$E$19&gt;-0.25,'폭압 파라메터 산정'!$E$16*(1-F382/'폭압 파라메터 산정'!$E$20)*EXP(-Graph!$D$3*F382/'폭압 파라메터 산정'!$E$20),0)</f>
        <v>-0.15420503755285736</v>
      </c>
    </row>
    <row r="383" spans="2:8" x14ac:dyDescent="0.3">
      <c r="B383">
        <f t="shared" si="5"/>
        <v>94</v>
      </c>
      <c r="C383" s="33">
        <f>IF(B383-'폭압 파라메터 산정'!$C$19&gt;0,B383-'폭압 파라메터 산정'!$C$19, IF(B383-'폭압 파라메터 산정'!$C$19&lt;-0.25,"none",0))</f>
        <v>39.294157721147656</v>
      </c>
      <c r="D383" s="32">
        <f>IF(B383-'폭압 파라메터 산정'!$C$19&gt;-0.25,'폭압 파라메터 산정'!$C$14*(1-Graph!C383/'폭압 파라메터 산정'!$C$20)*EXP(-Graph!$D$3*Graph!C383/'폭압 파라메터 산정'!$C$20),0)</f>
        <v>-3.9170126073152178E-2</v>
      </c>
      <c r="E383" s="32">
        <f>IF(B383-'폭압 파라메터 산정'!$C$19&gt;-0.25,'폭압 파라메터 산정'!$C$16*(1-Graph!C383/'폭압 파라메터 산정'!$C$20)*EXP(-Graph!$D$3*Graph!C383/'폭압 파라메터 산정'!$C$20),0)</f>
        <v>-8.2894057855835659E-2</v>
      </c>
      <c r="F383" s="34">
        <f>IF(B383-'폭압 파라메터 산정'!$E$19&gt;0,B383-'폭압 파라메터 산정'!$E$19, IF(B383-'폭압 파라메터 산정'!$E$19&lt;-0.25,"none",0))</f>
        <v>42.333176975799496</v>
      </c>
      <c r="G383" s="32">
        <f>IF(B383-'폭압 파라메터 산정'!$E$19&gt;-0.25,'폭압 파라메터 산정'!$E$14*(1-F383/'폭압 파라메터 산정'!$E$20)*EXP(-Graph!$D$3*F383/'폭압 파라메터 산정'!$E$20),0)</f>
        <v>-6.9482160016362718E-2</v>
      </c>
      <c r="H383" s="32">
        <f>IF(B383-'폭압 파라메터 산정'!$E$19&gt;-0.25,'폭압 파라메터 산정'!$E$16*(1-F383/'폭압 파라메터 산정'!$E$20)*EXP(-Graph!$D$3*F383/'폭압 파라메터 산정'!$E$20),0)</f>
        <v>-0.14980883861815653</v>
      </c>
    </row>
    <row r="384" spans="2:8" x14ac:dyDescent="0.3">
      <c r="B384">
        <f t="shared" si="5"/>
        <v>94.25</v>
      </c>
      <c r="C384" s="33">
        <f>IF(B384-'폭압 파라메터 산정'!$C$19&gt;0,B384-'폭압 파라메터 산정'!$C$19, IF(B384-'폭압 파라메터 산정'!$C$19&lt;-0.25,"none",0))</f>
        <v>39.544157721147656</v>
      </c>
      <c r="D384" s="32">
        <f>IF(B384-'폭압 파라메터 산정'!$C$19&gt;-0.25,'폭압 파라메터 산정'!$C$14*(1-Graph!C384/'폭압 파라메터 산정'!$C$20)*EXP(-Graph!$D$3*Graph!C384/'폭압 파라메터 산정'!$C$20),0)</f>
        <v>-3.7871195435480259E-2</v>
      </c>
      <c r="E384" s="32">
        <f>IF(B384-'폭압 파라메터 산정'!$C$19&gt;-0.25,'폭압 파라메터 산정'!$C$16*(1-Graph!C384/'폭압 파라메터 산정'!$C$20)*EXP(-Graph!$D$3*Graph!C384/'폭압 파라메터 산정'!$C$20),0)</f>
        <v>-8.0145186656677192E-2</v>
      </c>
      <c r="F384" s="34">
        <f>IF(B384-'폭압 파라메터 산정'!$E$19&gt;0,B384-'폭압 파라메터 산정'!$E$19, IF(B384-'폭압 파라메터 산정'!$E$19&lt;-0.25,"none",0))</f>
        <v>42.583176975799496</v>
      </c>
      <c r="G384" s="32">
        <f>IF(B384-'폭압 파라메터 산정'!$E$19&gt;-0.25,'폭압 파라메터 산정'!$E$14*(1-F384/'폭압 파라메터 산정'!$E$20)*EXP(-Graph!$D$3*F384/'폭압 파라메터 산정'!$E$20),0)</f>
        <v>-6.7496300246152288E-2</v>
      </c>
      <c r="H384" s="32">
        <f>IF(B384-'폭압 파라메터 산정'!$E$19&gt;-0.25,'폭압 파라메터 산정'!$E$16*(1-F384/'폭압 파라메터 산정'!$E$20)*EXP(-Graph!$D$3*F384/'폭압 파라메터 산정'!$E$20),0)</f>
        <v>-0.14552717342865057</v>
      </c>
    </row>
    <row r="385" spans="2:8" x14ac:dyDescent="0.3">
      <c r="B385">
        <f t="shared" si="5"/>
        <v>94.5</v>
      </c>
      <c r="C385" s="33">
        <f>IF(B385-'폭압 파라메터 산정'!$C$19&gt;0,B385-'폭압 파라메터 산정'!$C$19, IF(B385-'폭압 파라메터 산정'!$C$19&lt;-0.25,"none",0))</f>
        <v>39.794157721147656</v>
      </c>
      <c r="D385" s="32">
        <f>IF(B385-'폭압 파라메터 산정'!$C$19&gt;-0.25,'폭압 파라메터 산정'!$C$14*(1-Graph!C385/'폭압 파라메터 산정'!$C$20)*EXP(-Graph!$D$3*Graph!C385/'폭압 파라메터 산정'!$C$20),0)</f>
        <v>-3.6612387658364699E-2</v>
      </c>
      <c r="E385" s="32">
        <f>IF(B385-'폭압 파라메터 산정'!$C$19&gt;-0.25,'폭압 파라메터 산정'!$C$16*(1-Graph!C385/'폭압 파라메터 산정'!$C$20)*EXP(-Graph!$D$3*Graph!C385/'폭압 파라메터 산정'!$C$20),0)</f>
        <v>-7.7481225746499918E-2</v>
      </c>
      <c r="F385" s="34">
        <f>IF(B385-'폭압 파라메터 산정'!$E$19&gt;0,B385-'폭압 파라메터 산정'!$E$19, IF(B385-'폭압 파라메터 산정'!$E$19&lt;-0.25,"none",0))</f>
        <v>42.833176975799496</v>
      </c>
      <c r="G385" s="32">
        <f>IF(B385-'폭압 파라메터 산정'!$E$19&gt;-0.25,'폭압 파라메터 산정'!$E$14*(1-F385/'폭압 파라메터 산정'!$E$20)*EXP(-Graph!$D$3*F385/'폭압 파라메터 산정'!$E$20),0)</f>
        <v>-6.5562416744226262E-2</v>
      </c>
      <c r="H385" s="32">
        <f>IF(B385-'폭압 파라메터 산정'!$E$19&gt;-0.25,'폭압 파라메터 산정'!$E$16*(1-F385/'폭압 파라메터 산정'!$E$20)*EXP(-Graph!$D$3*F385/'폭압 파라메터 산정'!$E$20),0)</f>
        <v>-0.14135757303945531</v>
      </c>
    </row>
    <row r="386" spans="2:8" x14ac:dyDescent="0.3">
      <c r="B386">
        <f t="shared" si="5"/>
        <v>94.75</v>
      </c>
      <c r="C386" s="33">
        <f>IF(B386-'폭압 파라메터 산정'!$C$19&gt;0,B386-'폭압 파라메터 산정'!$C$19, IF(B386-'폭압 파라메터 산정'!$C$19&lt;-0.25,"none",0))</f>
        <v>40.044157721147656</v>
      </c>
      <c r="D386" s="32">
        <f>IF(B386-'폭압 파라메터 산정'!$C$19&gt;-0.25,'폭압 파라메터 산정'!$C$14*(1-Graph!C386/'폭압 파라메터 산정'!$C$20)*EXP(-Graph!$D$3*Graph!C386/'폭압 파라메터 산정'!$C$20),0)</f>
        <v>-3.5392619191801714E-2</v>
      </c>
      <c r="E386" s="32">
        <f>IF(B386-'폭압 파라메터 산정'!$C$19&gt;-0.25,'폭압 파라메터 산정'!$C$16*(1-Graph!C386/'폭압 파라메터 산정'!$C$20)*EXP(-Graph!$D$3*Graph!C386/'폭압 파라메터 산정'!$C$20),0)</f>
        <v>-7.4899882054902778E-2</v>
      </c>
      <c r="F386" s="34">
        <f>IF(B386-'폭압 파라메터 산정'!$E$19&gt;0,B386-'폭압 파라메터 산정'!$E$19, IF(B386-'폭압 파라메터 산정'!$E$19&lt;-0.25,"none",0))</f>
        <v>43.083176975799496</v>
      </c>
      <c r="G386" s="32">
        <f>IF(B386-'폭압 파라메터 산정'!$E$19&gt;-0.25,'폭압 파라메터 산정'!$E$14*(1-F386/'폭압 파라메터 산정'!$E$20)*EXP(-Graph!$D$3*F386/'폭압 파라메터 산정'!$E$20),0)</f>
        <v>-6.3679376617643293E-2</v>
      </c>
      <c r="H386" s="32">
        <f>IF(B386-'폭압 파라메터 산정'!$E$19&gt;-0.25,'폭압 파라메터 산정'!$E$16*(1-F386/'폭압 파라메터 산정'!$E$20)*EXP(-Graph!$D$3*F386/'폭압 파라메터 산정'!$E$20),0)</f>
        <v>-0.13729759484694737</v>
      </c>
    </row>
    <row r="387" spans="2:8" x14ac:dyDescent="0.3">
      <c r="B387">
        <f t="shared" si="5"/>
        <v>95</v>
      </c>
      <c r="C387" s="33">
        <f>IF(B387-'폭압 파라메터 산정'!$C$19&gt;0,B387-'폭압 파라메터 산정'!$C$19, IF(B387-'폭압 파라메터 산정'!$C$19&lt;-0.25,"none",0))</f>
        <v>40.294157721147656</v>
      </c>
      <c r="D387" s="32">
        <f>IF(B387-'폭압 파라메터 산정'!$C$19&gt;-0.25,'폭압 파라메터 산정'!$C$14*(1-Graph!C387/'폭압 파라메터 산정'!$C$20)*EXP(-Graph!$D$3*Graph!C387/'폭압 파라메터 산정'!$C$20),0)</f>
        <v>-3.4210826917005159E-2</v>
      </c>
      <c r="E387" s="32">
        <f>IF(B387-'폭압 파라메터 산정'!$C$19&gt;-0.25,'폭압 파라메터 산정'!$C$16*(1-Graph!C387/'폭압 파라메터 산정'!$C$20)*EXP(-Graph!$D$3*Graph!C387/'폭압 파라메터 산정'!$C$20),0)</f>
        <v>-7.2398905749194373E-2</v>
      </c>
      <c r="F387" s="34">
        <f>IF(B387-'폭압 파라메터 산정'!$E$19&gt;0,B387-'폭압 파라메터 산정'!$E$19, IF(B387-'폭압 파라메터 산정'!$E$19&lt;-0.25,"none",0))</f>
        <v>43.333176975799496</v>
      </c>
      <c r="G387" s="32">
        <f>IF(B387-'폭압 파라메터 산정'!$E$19&gt;-0.25,'폭압 파라메터 산정'!$E$14*(1-F387/'폭압 파라메터 산정'!$E$20)*EXP(-Graph!$D$3*F387/'폭압 파라메터 산정'!$E$20),0)</f>
        <v>-6.184605984681945E-2</v>
      </c>
      <c r="H387" s="32">
        <f>IF(B387-'폭압 파라메터 산정'!$E$19&gt;-0.25,'폭압 파라메터 산정'!$E$16*(1-F387/'폭압 파라메터 산정'!$E$20)*EXP(-Graph!$D$3*F387/'폭압 파라메터 산정'!$E$20),0)</f>
        <v>-0.13334482400344408</v>
      </c>
    </row>
    <row r="388" spans="2:8" x14ac:dyDescent="0.3">
      <c r="B388">
        <f t="shared" si="5"/>
        <v>95.25</v>
      </c>
      <c r="C388" s="33">
        <f>IF(B388-'폭압 파라메터 산정'!$C$19&gt;0,B388-'폭압 파라메터 산정'!$C$19, IF(B388-'폭압 파라메터 산정'!$C$19&lt;-0.25,"none",0))</f>
        <v>40.544157721147656</v>
      </c>
      <c r="D388" s="32">
        <f>IF(B388-'폭압 파라메터 산정'!$C$19&gt;-0.25,'폭압 파라메터 산정'!$C$14*(1-Graph!C388/'폭압 파라메터 산정'!$C$20)*EXP(-Graph!$D$3*Graph!C388/'폭압 파라메터 산정'!$C$20),0)</f>
        <v>-3.3065968333642323E-2</v>
      </c>
      <c r="E388" s="32">
        <f>IF(B388-'폭압 파라메터 산정'!$C$19&gt;-0.25,'폭압 파라메터 산정'!$C$16*(1-Graph!C388/'폭압 파라메터 산정'!$C$20)*EXP(-Graph!$D$3*Graph!C388/'폭압 파라메터 산정'!$C$20),0)</f>
        <v>-6.9976090630631954E-2</v>
      </c>
      <c r="F388" s="34">
        <f>IF(B388-'폭압 파라메터 산정'!$E$19&gt;0,B388-'폭압 파라메터 산정'!$E$19, IF(B388-'폭압 파라메터 산정'!$E$19&lt;-0.25,"none",0))</f>
        <v>43.583176975799496</v>
      </c>
      <c r="G388" s="32">
        <f>IF(B388-'폭압 파라메터 산정'!$E$19&gt;-0.25,'폭압 파라메터 산정'!$E$14*(1-F388/'폭압 파라메터 산정'!$E$20)*EXP(-Graph!$D$3*F388/'폭압 파라메터 산정'!$E$20),0)</f>
        <v>-6.0061359876658803E-2</v>
      </c>
      <c r="H388" s="32">
        <f>IF(B388-'폭압 파라메터 산정'!$E$19&gt;-0.25,'폭압 파라메터 산정'!$E$16*(1-F388/'폭압 파라메터 산정'!$E$20)*EXP(-Graph!$D$3*F388/'폭압 파라메터 산정'!$E$20),0)</f>
        <v>-0.1294968746917263</v>
      </c>
    </row>
    <row r="389" spans="2:8" x14ac:dyDescent="0.3">
      <c r="B389">
        <f t="shared" si="5"/>
        <v>95.5</v>
      </c>
      <c r="C389" s="33">
        <f>IF(B389-'폭압 파라메터 산정'!$C$19&gt;0,B389-'폭압 파라메터 산정'!$C$19, IF(B389-'폭압 파라메터 산정'!$C$19&lt;-0.25,"none",0))</f>
        <v>40.794157721147656</v>
      </c>
      <c r="D389" s="32">
        <f>IF(B389-'폭압 파라메터 산정'!$C$19&gt;-0.25,'폭압 파라메터 산정'!$C$14*(1-Graph!C389/'폭압 파라메터 산정'!$C$20)*EXP(-Graph!$D$3*Graph!C389/'폭압 파라메터 산정'!$C$20),0)</f>
        <v>-3.1957021695632089E-2</v>
      </c>
      <c r="E389" s="32">
        <f>IF(B389-'폭압 파라메터 산정'!$C$19&gt;-0.25,'폭압 파라메터 산정'!$C$16*(1-Graph!C389/'폭압 파라메터 산정'!$C$20)*EXP(-Graph!$D$3*Graph!C389/'폭압 파라메터 산정'!$C$20),0)</f>
        <v>-6.7629274421805358E-2</v>
      </c>
      <c r="F389" s="34">
        <f>IF(B389-'폭압 파라메터 산정'!$E$19&gt;0,B389-'폭압 파라메터 산정'!$E$19, IF(B389-'폭압 파라메터 산정'!$E$19&lt;-0.25,"none",0))</f>
        <v>43.833176975799496</v>
      </c>
      <c r="G389" s="32">
        <f>IF(B389-'폭압 파라메터 산정'!$E$19&gt;-0.25,'폭압 파라메터 산정'!$E$14*(1-F389/'폭압 파라메터 산정'!$E$20)*EXP(-Graph!$D$3*F389/'폭압 파라메터 산정'!$E$20),0)</f>
        <v>-5.8324184146581089E-2</v>
      </c>
      <c r="H389" s="32">
        <f>IF(B389-'폭압 파라메터 산정'!$E$19&gt;-0.25,'폭압 파라메터 산정'!$E$16*(1-F389/'폭압 파라메터 산정'!$E$20)*EXP(-Graph!$D$3*F389/'폭압 파라메터 산정'!$E$20),0)</f>
        <v>-0.12575139126781862</v>
      </c>
    </row>
    <row r="390" spans="2:8" x14ac:dyDescent="0.3">
      <c r="B390">
        <f t="shared" si="5"/>
        <v>95.75</v>
      </c>
      <c r="C390" s="33">
        <f>IF(B390-'폭압 파라메터 산정'!$C$19&gt;0,B390-'폭압 파라메터 산정'!$C$19, IF(B390-'폭압 파라메터 산정'!$C$19&lt;-0.25,"none",0))</f>
        <v>41.044157721147656</v>
      </c>
      <c r="D390" s="32">
        <f>IF(B390-'폭압 파라메터 산정'!$C$19&gt;-0.25,'폭압 파라메터 산정'!$C$14*(1-Graph!C390/'폭압 파라메터 산정'!$C$20)*EXP(-Graph!$D$3*Graph!C390/'폭압 파라메터 산정'!$C$20),0)</f>
        <v>-3.0882986099482312E-2</v>
      </c>
      <c r="E390" s="32">
        <f>IF(B390-'폭압 파라메터 산정'!$C$19&gt;-0.25,'폭압 파라메터 산정'!$C$16*(1-Graph!C390/'폭압 파라메터 산정'!$C$20)*EXP(-Graph!$D$3*Graph!C390/'폭압 파라메터 산정'!$C$20),0)</f>
        <v>-6.5356338953581519E-2</v>
      </c>
      <c r="F390" s="34">
        <f>IF(B390-'폭압 파라메터 산정'!$E$19&gt;0,B390-'폭압 파라메터 산정'!$E$19, IF(B390-'폭압 파라메터 산정'!$E$19&lt;-0.25,"none",0))</f>
        <v>44.083176975799496</v>
      </c>
      <c r="G390" s="32">
        <f>IF(B390-'폭압 파라메터 산정'!$E$19&gt;-0.25,'폭압 파라메터 산정'!$E$14*(1-F390/'폭압 파라메터 산정'!$E$20)*EXP(-Graph!$D$3*F390/'폭압 파라메터 산정'!$E$20),0)</f>
        <v>-5.663345456314859E-2</v>
      </c>
      <c r="H390" s="32">
        <f>IF(B390-'폭압 파라메터 산정'!$E$19&gt;-0.25,'폭압 파라메터 산정'!$E$16*(1-F390/'폭압 파라메터 산정'!$E$20)*EXP(-Graph!$D$3*F390/'폭압 파라메터 산정'!$E$20),0)</f>
        <v>-0.12210604928000857</v>
      </c>
    </row>
    <row r="391" spans="2:8" x14ac:dyDescent="0.3">
      <c r="B391">
        <f t="shared" si="5"/>
        <v>96</v>
      </c>
      <c r="C391" s="33">
        <f>IF(B391-'폭압 파라메터 산정'!$C$19&gt;0,B391-'폭압 파라메터 산정'!$C$19, IF(B391-'폭압 파라메터 산정'!$C$19&lt;-0.25,"none",0))</f>
        <v>41.294157721147656</v>
      </c>
      <c r="D391" s="32">
        <f>IF(B391-'폭압 파라메터 산정'!$C$19&gt;-0.25,'폭압 파라메터 산정'!$C$14*(1-Graph!C391/'폭압 파라메터 산정'!$C$20)*EXP(-Graph!$D$3*Graph!C391/'폭압 파라메터 산정'!$C$20),0)</f>
        <v>-2.984288152890005E-2</v>
      </c>
      <c r="E391" s="32">
        <f>IF(B391-'폭압 파라메터 산정'!$C$19&gt;-0.25,'폭압 파라메터 산정'!$C$16*(1-Graph!C391/'폭압 파라메터 산정'!$C$20)*EXP(-Graph!$D$3*Graph!C391/'폭압 파라메터 산정'!$C$20),0)</f>
        <v>-6.3155210259511263E-2</v>
      </c>
      <c r="F391" s="34">
        <f>IF(B391-'폭압 파라메터 산정'!$E$19&gt;0,B391-'폭압 파라메터 산정'!$E$19, IF(B391-'폭압 파라메터 산정'!$E$19&lt;-0.25,"none",0))</f>
        <v>44.333176975799496</v>
      </c>
      <c r="G391" s="32">
        <f>IF(B391-'폭압 파라메터 산정'!$E$19&gt;-0.25,'폭압 파라메터 산정'!$E$14*(1-F391/'폭압 파라메터 산정'!$E$20)*EXP(-Graph!$D$3*F391/'폭압 파라메터 산정'!$E$20),0)</f>
        <v>-5.4988107918805193E-2</v>
      </c>
      <c r="H391" s="32">
        <f>IF(B391-'폭압 파라메터 산정'!$E$19&gt;-0.25,'폭압 파라메터 산정'!$E$16*(1-F391/'폭압 파라메터 산정'!$E$20)*EXP(-Graph!$D$3*F391/'폭압 파라메터 산정'!$E$20),0)</f>
        <v>-0.11855855637168046</v>
      </c>
    </row>
    <row r="392" spans="2:8" x14ac:dyDescent="0.3">
      <c r="B392">
        <f t="shared" si="5"/>
        <v>96.25</v>
      </c>
      <c r="C392" s="33">
        <f>IF(B392-'폭압 파라메터 산정'!$C$19&gt;0,B392-'폭압 파라메터 산정'!$C$19, IF(B392-'폭압 파라메터 산정'!$C$19&lt;-0.25,"none",0))</f>
        <v>41.544157721147656</v>
      </c>
      <c r="D392" s="32">
        <f>IF(B392-'폭압 파라메터 산정'!$C$19&gt;-0.25,'폭압 파라메터 산정'!$C$14*(1-Graph!C392/'폭압 파라메터 산정'!$C$20)*EXP(-Graph!$D$3*Graph!C392/'폭압 파라메터 산정'!$C$20),0)</f>
        <v>-2.883574885917967E-2</v>
      </c>
      <c r="E392" s="32">
        <f>IF(B392-'폭압 파라메터 산정'!$C$19&gt;-0.25,'폭압 파라메터 산정'!$C$16*(1-Graph!C392/'폭압 파라메터 산정'!$C$20)*EXP(-Graph!$D$3*Graph!C392/'폭압 파라메터 산정'!$C$20),0)</f>
        <v>-6.102385858511556E-2</v>
      </c>
      <c r="F392" s="34">
        <f>IF(B392-'폭압 파라메터 산정'!$E$19&gt;0,B392-'폭압 파라메터 산정'!$E$19, IF(B392-'폭압 파라메터 산정'!$E$19&lt;-0.25,"none",0))</f>
        <v>44.583176975799496</v>
      </c>
      <c r="G392" s="32">
        <f>IF(B392-'폭압 파라메터 산정'!$E$19&gt;-0.25,'폭압 파라메터 산정'!$E$14*(1-F392/'폭압 파라메터 산정'!$E$20)*EXP(-Graph!$D$3*F392/'폭압 파라메터 산정'!$E$20),0)</f>
        <v>-5.3387096260058803E-2</v>
      </c>
      <c r="H392" s="32">
        <f>IF(B392-'폭압 파라메터 산정'!$E$19&gt;-0.25,'폭압 파라메터 산정'!$E$16*(1-F392/'폭압 파라메터 산정'!$E$20)*EXP(-Graph!$D$3*F392/'폭압 파라메터 산정'!$E$20),0)</f>
        <v>-0.11510665307514446</v>
      </c>
    </row>
    <row r="393" spans="2:8" x14ac:dyDescent="0.3">
      <c r="B393">
        <f t="shared" ref="B393:B407" si="6">B392+0.25</f>
        <v>96.5</v>
      </c>
      <c r="C393" s="33">
        <f>IF(B393-'폭압 파라메터 산정'!$C$19&gt;0,B393-'폭압 파라메터 산정'!$C$19, IF(B393-'폭압 파라메터 산정'!$C$19&lt;-0.25,"none",0))</f>
        <v>41.794157721147656</v>
      </c>
      <c r="D393" s="32">
        <f>IF(B393-'폭압 파라메터 산정'!$C$19&gt;-0.25,'폭압 파라메터 산정'!$C$14*(1-Graph!C393/'폭압 파라메터 산정'!$C$20)*EXP(-Graph!$D$3*Graph!C393/'폭압 파라메터 산정'!$C$20),0)</f>
        <v>-2.786064982465606E-2</v>
      </c>
      <c r="E393" s="32">
        <f>IF(B393-'폭압 파라메터 산정'!$C$19&gt;-0.25,'폭압 파라메터 산정'!$C$16*(1-Graph!C393/'폭압 파라메터 산정'!$C$20)*EXP(-Graph!$D$3*Graph!C393/'폭압 파라메터 산정'!$C$20),0)</f>
        <v>-5.8960298319008279E-2</v>
      </c>
      <c r="F393" s="34">
        <f>IF(B393-'폭압 파라메터 산정'!$E$19&gt;0,B393-'폭압 파라메터 산정'!$E$19, IF(B393-'폭압 파라메터 산정'!$E$19&lt;-0.25,"none",0))</f>
        <v>44.833176975799496</v>
      </c>
      <c r="G393" s="32">
        <f>IF(B393-'폭압 파라메터 산정'!$E$19&gt;-0.25,'폭압 파라메터 산정'!$E$14*(1-F393/'폭압 파라메터 산정'!$E$20)*EXP(-Graph!$D$3*F393/'폭압 파라메터 산정'!$E$20),0)</f>
        <v>-5.1829387208267103E-2</v>
      </c>
      <c r="H393" s="32">
        <f>IF(B393-'폭압 파라메터 산정'!$E$19&gt;-0.25,'폭압 파라메터 산정'!$E$16*(1-F393/'폭압 파라메터 산정'!$E$20)*EXP(-Graph!$D$3*F393/'폭압 파라메터 산정'!$E$20),0)</f>
        <v>-0.11174811350327522</v>
      </c>
    </row>
    <row r="394" spans="2:8" x14ac:dyDescent="0.3">
      <c r="B394">
        <f t="shared" si="6"/>
        <v>96.75</v>
      </c>
      <c r="C394" s="33">
        <f>IF(B394-'폭압 파라메터 산정'!$C$19&gt;0,B394-'폭압 파라메터 산정'!$C$19, IF(B394-'폭압 파라메터 산정'!$C$19&lt;-0.25,"none",0))</f>
        <v>42.044157721147656</v>
      </c>
      <c r="D394" s="32">
        <f>IF(B394-'폭압 파라메터 산정'!$C$19&gt;-0.25,'폭압 파라메터 산정'!$C$14*(1-Graph!C394/'폭압 파라메터 산정'!$C$20)*EXP(-Graph!$D$3*Graph!C394/'폭압 파라메터 산정'!$C$20),0)</f>
        <v>-2.6916666952306555E-2</v>
      </c>
      <c r="E394" s="32">
        <f>IF(B394-'폭압 파라메터 산정'!$C$19&gt;-0.25,'폭압 파라메터 산정'!$C$16*(1-Graph!C394/'폭압 파라메터 산정'!$C$20)*EXP(-Graph!$D$3*Graph!C394/'폭압 파라메터 산정'!$C$20),0)</f>
        <v>-5.6962587852380703E-2</v>
      </c>
      <c r="F394" s="34">
        <f>IF(B394-'폭압 파라메터 산정'!$E$19&gt;0,B394-'폭압 파라메터 산정'!$E$19, IF(B394-'폭압 파라메터 산정'!$E$19&lt;-0.25,"none",0))</f>
        <v>45.083176975799496</v>
      </c>
      <c r="G394" s="32">
        <f>IF(B394-'폭압 파라메터 산정'!$E$19&gt;-0.25,'폭압 파라메터 산정'!$E$14*(1-F394/'폭압 파라메터 산정'!$E$20)*EXP(-Graph!$D$3*F394/'폭압 파라메터 산정'!$E$20),0)</f>
        <v>-5.0313964236020935E-2</v>
      </c>
      <c r="H394" s="32">
        <f>IF(B394-'폭압 파라메터 산정'!$E$19&gt;-0.25,'폭압 파라메터 산정'!$E$16*(1-F394/'폭압 파라메터 산정'!$E$20)*EXP(-Graph!$D$3*F394/'폭압 파라메터 산정'!$E$20),0)</f>
        <v>-0.10848074594541561</v>
      </c>
    </row>
    <row r="395" spans="2:8" x14ac:dyDescent="0.3">
      <c r="B395">
        <f t="shared" si="6"/>
        <v>97</v>
      </c>
      <c r="C395" s="33">
        <f>IF(B395-'폭압 파라메터 산정'!$C$19&gt;0,B395-'폭압 파라메터 산정'!$C$19, IF(B395-'폭압 파라메터 산정'!$C$19&lt;-0.25,"none",0))</f>
        <v>42.294157721147656</v>
      </c>
      <c r="D395" s="32">
        <f>IF(B395-'폭압 파라메터 산정'!$C$19&gt;-0.25,'폭압 파라메터 산정'!$C$14*(1-Graph!C395/'폭압 파라메터 산정'!$C$20)*EXP(-Graph!$D$3*Graph!C395/'폭압 파라메터 산정'!$C$20),0)</f>
        <v>-2.6002903464391103E-2</v>
      </c>
      <c r="E395" s="32">
        <f>IF(B395-'폭압 파라메터 산정'!$C$19&gt;-0.25,'폭압 파라메터 산정'!$C$16*(1-Graph!C395/'폭압 파라메터 산정'!$C$20)*EXP(-Graph!$D$3*Graph!C395/'폭압 파라메터 산정'!$C$20),0)</f>
        <v>-5.502882937296312E-2</v>
      </c>
      <c r="F395" s="34">
        <f>IF(B395-'폭압 파라메터 산정'!$E$19&gt;0,B395-'폭압 파라메터 산정'!$E$19, IF(B395-'폭압 파라메터 산정'!$E$19&lt;-0.25,"none",0))</f>
        <v>45.333176975799496</v>
      </c>
      <c r="G395" s="32">
        <f>IF(B395-'폭압 파라메터 산정'!$E$19&gt;-0.25,'폭압 파라메터 산정'!$E$14*(1-F395/'폭압 파라메터 산정'!$E$20)*EXP(-Graph!$D$3*F395/'폭압 파라메터 산정'!$E$20),0)</f>
        <v>-4.8839826901964395E-2</v>
      </c>
      <c r="H395" s="32">
        <f>IF(B395-'폭압 파라메터 산정'!$E$19&gt;-0.25,'폭압 파라메터 산정'!$E$16*(1-F395/'폭압 파라메터 산정'!$E$20)*EXP(-Graph!$D$3*F395/'폭압 파라메터 산정'!$E$20),0)</f>
        <v>-0.1053023933736667</v>
      </c>
    </row>
    <row r="396" spans="2:8" x14ac:dyDescent="0.3">
      <c r="B396">
        <f t="shared" si="6"/>
        <v>97.25</v>
      </c>
      <c r="C396" s="33">
        <f>IF(B396-'폭압 파라메터 산정'!$C$19&gt;0,B396-'폭압 파라메터 산정'!$C$19, IF(B396-'폭압 파라메터 산정'!$C$19&lt;-0.25,"none",0))</f>
        <v>42.544157721147656</v>
      </c>
      <c r="D396" s="32">
        <f>IF(B396-'폭압 파라메터 산정'!$C$19&gt;-0.25,'폭압 파라메터 산정'!$C$14*(1-Graph!C396/'폭압 파라메터 산정'!$C$20)*EXP(-Graph!$D$3*Graph!C396/'폭압 파라메터 산정'!$C$20),0)</f>
        <v>-2.5118483152837927E-2</v>
      </c>
      <c r="E396" s="32">
        <f>IF(B396-'폭압 파라메터 산정'!$C$19&gt;-0.25,'폭압 파라메터 산정'!$C$16*(1-Graph!C396/'폭압 파라메터 산정'!$C$20)*EXP(-Graph!$D$3*Graph!C396/'폭압 파라메터 산정'!$C$20),0)</f>
        <v>-5.3157168599192596E-2</v>
      </c>
      <c r="F396" s="34">
        <f>IF(B396-'폭압 파라메터 산정'!$E$19&gt;0,B396-'폭압 파라메터 산정'!$E$19, IF(B396-'폭압 파라메터 산정'!$E$19&lt;-0.25,"none",0))</f>
        <v>45.583176975799496</v>
      </c>
      <c r="G396" s="32">
        <f>IF(B396-'폭압 파라메터 산정'!$E$19&gt;-0.25,'폭압 파라메터 산정'!$E$14*(1-F396/'폭압 파라메터 산정'!$E$20)*EXP(-Graph!$D$3*F396/'폭압 파라메터 산정'!$E$20),0)</f>
        <v>-4.7405991046740578E-2</v>
      </c>
      <c r="H396" s="32">
        <f>IF(B396-'폭압 파라메터 산정'!$E$19&gt;-0.25,'폭압 파라메터 산정'!$E$16*(1-F396/'폭압 파라메터 산정'!$E$20)*EXP(-Graph!$D$3*F396/'폭압 파라메터 산정'!$E$20),0)</f>
        <v>-0.10221093386536174</v>
      </c>
    </row>
    <row r="397" spans="2:8" x14ac:dyDescent="0.3">
      <c r="B397">
        <f t="shared" si="6"/>
        <v>97.5</v>
      </c>
      <c r="C397" s="33">
        <f>IF(B397-'폭압 파라메터 산정'!$C$19&gt;0,B397-'폭압 파라메터 산정'!$C$19, IF(B397-'폭압 파라메터 산정'!$C$19&lt;-0.25,"none",0))</f>
        <v>42.794157721147656</v>
      </c>
      <c r="D397" s="32">
        <f>IF(B397-'폭압 파라메터 산정'!$C$19&gt;-0.25,'폭압 파라메터 산정'!$C$14*(1-Graph!C397/'폭압 파라메터 산정'!$C$20)*EXP(-Graph!$D$3*Graph!C397/'폭압 파라메터 산정'!$C$20),0)</f>
        <v>-2.4262550227909591E-2</v>
      </c>
      <c r="E397" s="32">
        <f>IF(B397-'폭압 파라메터 산정'!$C$19&gt;-0.25,'폭압 파라메터 산정'!$C$16*(1-Graph!C397/'폭압 파라메터 산정'!$C$20)*EXP(-Graph!$D$3*Graph!C397/'폭압 파라메터 산정'!$C$20),0)</f>
        <v>-5.1345794459951424E-2</v>
      </c>
      <c r="F397" s="34">
        <f>IF(B397-'폭압 파라메터 산정'!$E$19&gt;0,B397-'폭압 파라메터 산정'!$E$19, IF(B397-'폭압 파라메터 산정'!$E$19&lt;-0.25,"none",0))</f>
        <v>45.833176975799496</v>
      </c>
      <c r="G397" s="32">
        <f>IF(B397-'폭압 파라메터 산정'!$E$19&gt;-0.25,'폭압 파라메터 산정'!$E$14*(1-F397/'폭압 파라메터 산정'!$E$20)*EXP(-Graph!$D$3*F397/'폭압 파라메터 산정'!$E$20),0)</f>
        <v>-4.6011488952611486E-2</v>
      </c>
      <c r="H397" s="32">
        <f>IF(B397-'폭압 파라메터 산정'!$E$19&gt;-0.25,'폭압 파라메터 산정'!$E$16*(1-F397/'폭압 파라메터 산정'!$E$20)*EXP(-Graph!$D$3*F397/'폭압 파라메터 산정'!$E$20),0)</f>
        <v>-9.9204280947218879E-2</v>
      </c>
    </row>
    <row r="398" spans="2:8" x14ac:dyDescent="0.3">
      <c r="B398">
        <f t="shared" si="6"/>
        <v>97.75</v>
      </c>
      <c r="C398" s="33">
        <f>IF(B398-'폭압 파라메터 산정'!$C$19&gt;0,B398-'폭압 파라메터 산정'!$C$19, IF(B398-'폭압 파라메터 산정'!$C$19&lt;-0.25,"none",0))</f>
        <v>43.044157721147656</v>
      </c>
      <c r="D398" s="32">
        <f>IF(B398-'폭압 파라메터 산정'!$C$19&gt;-0.25,'폭압 파라메터 산정'!$C$14*(1-Graph!C398/'폭압 파라메터 산정'!$C$20)*EXP(-Graph!$D$3*Graph!C398/'폭압 파라메터 산정'!$C$20),0)</f>
        <v>-2.3434269143521601E-2</v>
      </c>
      <c r="E398" s="32">
        <f>IF(B398-'폭압 파라메터 산정'!$C$19&gt;-0.25,'폭압 파라메터 산정'!$C$16*(1-Graph!C398/'폭압 파라메터 산정'!$C$20)*EXP(-Graph!$D$3*Graph!C398/'폭압 파라메터 산정'!$C$20),0)</f>
        <v>-4.9592938724896417E-2</v>
      </c>
      <c r="F398" s="34">
        <f>IF(B398-'폭압 파라메터 산정'!$E$19&gt;0,B398-'폭압 파라메터 산정'!$E$19, IF(B398-'폭압 파라메터 산정'!$E$19&lt;-0.25,"none",0))</f>
        <v>46.083176975799496</v>
      </c>
      <c r="G398" s="32">
        <f>IF(B398-'폭압 파라메터 산정'!$E$19&gt;-0.25,'폭압 파라메터 산정'!$E$14*(1-F398/'폭압 파라메터 산정'!$E$20)*EXP(-Graph!$D$3*F398/'폭압 파라메터 산정'!$E$20),0)</f>
        <v>-4.4655369469164069E-2</v>
      </c>
      <c r="H398" s="32">
        <f>IF(B398-'폭압 파라메터 산정'!$E$19&gt;-0.25,'폭압 파라메터 산정'!$E$16*(1-F398/'폭압 파라메터 산정'!$E$20)*EXP(-Graph!$D$3*F398/'폭압 파라메터 산정'!$E$20),0)</f>
        <v>-9.6280383866372971E-2</v>
      </c>
    </row>
    <row r="399" spans="2:8" x14ac:dyDescent="0.3">
      <c r="B399">
        <f t="shared" si="6"/>
        <v>98</v>
      </c>
      <c r="C399" s="33">
        <f>IF(B399-'폭압 파라메터 산정'!$C$19&gt;0,B399-'폭압 파라메터 산정'!$C$19, IF(B399-'폭압 파라메터 산정'!$C$19&lt;-0.25,"none",0))</f>
        <v>43.294157721147656</v>
      </c>
      <c r="D399" s="32">
        <f>IF(B399-'폭압 파라메터 산정'!$C$19&gt;-0.25,'폭압 파라메터 산정'!$C$14*(1-Graph!C399/'폭압 파라메터 산정'!$C$20)*EXP(-Graph!$D$3*Graph!C399/'폭압 파라메터 산정'!$C$20),0)</f>
        <v>-2.2632824401432362E-2</v>
      </c>
      <c r="E399" s="32">
        <f>IF(B399-'폭압 파라메터 산정'!$C$19&gt;-0.25,'폭압 파라메터 산정'!$C$16*(1-Graph!C399/'폭압 파라메터 산정'!$C$20)*EXP(-Graph!$D$3*Graph!C399/'폭압 파라메터 산정'!$C$20),0)</f>
        <v>-4.7896875590074502E-2</v>
      </c>
      <c r="F399" s="34">
        <f>IF(B399-'폭압 파라메터 산정'!$E$19&gt;0,B399-'폭압 파라메터 산정'!$E$19, IF(B399-'폭압 파라메터 산정'!$E$19&lt;-0.25,"none",0))</f>
        <v>46.333176975799496</v>
      </c>
      <c r="G399" s="32">
        <f>IF(B399-'폭압 파라메터 산정'!$E$19&gt;-0.25,'폭압 파라메터 산정'!$E$14*(1-F399/'폭압 파라메터 산정'!$E$20)*EXP(-Graph!$D$3*F399/'폭압 파라메터 산정'!$E$20),0)</f>
        <v>-4.3336698107387051E-2</v>
      </c>
      <c r="H399" s="32">
        <f>IF(B399-'폭압 파라메터 산정'!$E$19&gt;-0.25,'폭압 파라메터 산정'!$E$16*(1-F399/'폭압 파라메터 산정'!$E$20)*EXP(-Graph!$D$3*F399/'폭압 파라메터 산정'!$E$20),0)</f>
        <v>-9.3437227793212382E-2</v>
      </c>
    </row>
    <row r="400" spans="2:8" x14ac:dyDescent="0.3">
      <c r="B400">
        <f t="shared" si="6"/>
        <v>98.25</v>
      </c>
      <c r="C400" s="33">
        <f>IF(B400-'폭압 파라메터 산정'!$C$19&gt;0,B400-'폭압 파라메터 산정'!$C$19, IF(B400-'폭압 파라메터 산정'!$C$19&lt;-0.25,"none",0))</f>
        <v>43.544157721147656</v>
      </c>
      <c r="D400" s="32">
        <f>IF(B400-'폭압 파라메터 산정'!$C$19&gt;-0.25,'폭압 파라메터 산정'!$C$14*(1-Graph!C400/'폭압 파라메터 산정'!$C$20)*EXP(-Graph!$D$3*Graph!C400/'폭압 파라메터 산정'!$C$20),0)</f>
        <v>-2.185742033637833E-2</v>
      </c>
      <c r="E400" s="32">
        <f>IF(B400-'폭압 파라메터 산정'!$C$19&gt;-0.25,'폭압 파라메터 산정'!$C$16*(1-Graph!C400/'폭압 파라메터 산정'!$C$20)*EXP(-Graph!$D$3*Graph!C400/'폭압 파라메터 산정'!$C$20),0)</f>
        <v>-4.6255921223213391E-2</v>
      </c>
      <c r="F400" s="34">
        <f>IF(B400-'폭압 파라메터 산정'!$E$19&gt;0,B400-'폭압 파라메터 산정'!$E$19, IF(B400-'폭압 파라메터 산정'!$E$19&lt;-0.25,"none",0))</f>
        <v>46.583176975799496</v>
      </c>
      <c r="G400" s="32">
        <f>IF(B400-'폭압 파라메터 산정'!$E$19&gt;-0.25,'폭압 파라메터 산정'!$E$14*(1-F400/'폭압 파라메터 산정'!$E$20)*EXP(-Graph!$D$3*F400/'폭압 파라메터 산정'!$E$20),0)</f>
        <v>-4.2054557104280146E-2</v>
      </c>
      <c r="H400" s="32">
        <f>IF(B400-'폭압 파라메터 산정'!$E$19&gt;-0.25,'폭압 파라메터 산정'!$E$16*(1-F400/'폭압 파라메터 산정'!$E$20)*EXP(-Graph!$D$3*F400/'폭압 파라메터 산정'!$E$20),0)</f>
        <v>-9.067283396068139E-2</v>
      </c>
    </row>
    <row r="401" spans="2:8" x14ac:dyDescent="0.3">
      <c r="B401">
        <f t="shared" si="6"/>
        <v>98.5</v>
      </c>
      <c r="C401" s="33">
        <f>IF(B401-'폭압 파라메터 산정'!$C$19&gt;0,B401-'폭압 파라메터 산정'!$C$19, IF(B401-'폭압 파라메터 산정'!$C$19&lt;-0.25,"none",0))</f>
        <v>43.794157721147656</v>
      </c>
      <c r="D401" s="32">
        <f>IF(B401-'폭압 파라메터 산정'!$C$19&gt;-0.25,'폭압 파라메터 산정'!$C$14*(1-Graph!C401/'폭압 파라메터 산정'!$C$20)*EXP(-Graph!$D$3*Graph!C401/'폭압 파라메터 산정'!$C$20),0)</f>
        <v>-2.1107280884091778E-2</v>
      </c>
      <c r="E401" s="32">
        <f>IF(B401-'폭압 파라메터 산정'!$C$19&gt;-0.25,'폭압 파라메터 산정'!$C$16*(1-Graph!C401/'폭압 파라메터 산정'!$C$20)*EXP(-Graph!$D$3*Graph!C401/'폭압 파라메터 산정'!$C$20),0)</f>
        <v>-4.4668433272787654E-2</v>
      </c>
      <c r="F401" s="34">
        <f>IF(B401-'폭압 파라메터 산정'!$E$19&gt;0,B401-'폭압 파라메터 산정'!$E$19, IF(B401-'폭압 파라메터 산정'!$E$19&lt;-0.25,"none",0))</f>
        <v>46.833176975799496</v>
      </c>
      <c r="G401" s="32">
        <f>IF(B401-'폭압 파라메터 산정'!$E$19&gt;-0.25,'폭압 파라메터 산정'!$E$14*(1-F401/'폭압 파라메터 산정'!$E$20)*EXP(-Graph!$D$3*F401/'폭압 파라메터 산정'!$E$20),0)</f>
        <v>-4.0808045460040868E-2</v>
      </c>
      <c r="H401" s="32">
        <f>IF(B401-'폭압 파라메터 산정'!$E$19&gt;-0.25,'폭압 파라메터 산정'!$E$16*(1-F401/'폭압 파라메터 산정'!$E$20)*EXP(-Graph!$D$3*F401/'폭압 파라메터 산정'!$E$20),0)</f>
        <v>-8.7985259744457853E-2</v>
      </c>
    </row>
    <row r="402" spans="2:8" x14ac:dyDescent="0.3">
      <c r="B402">
        <f t="shared" si="6"/>
        <v>98.75</v>
      </c>
      <c r="C402" s="33">
        <f>IF(B402-'폭압 파라메터 산정'!$C$19&gt;0,B402-'폭압 파라메터 산정'!$C$19, IF(B402-'폭압 파라메터 산정'!$C$19&lt;-0.25,"none",0))</f>
        <v>44.044157721147656</v>
      </c>
      <c r="D402" s="32">
        <f>IF(B402-'폭압 파라메터 산정'!$C$19&gt;-0.25,'폭압 파라메터 산정'!$C$14*(1-Graph!C402/'폭압 파라메터 산정'!$C$20)*EXP(-Graph!$D$3*Graph!C402/'폭압 파라메터 산정'!$C$20),0)</f>
        <v>-2.0381649334009693E-2</v>
      </c>
      <c r="E402" s="32">
        <f>IF(B402-'폭압 파라메터 산정'!$C$19&gt;-0.25,'폭압 파라메터 산정'!$C$16*(1-Graph!C402/'폭압 파라메터 산정'!$C$20)*EXP(-Graph!$D$3*Graph!C402/'폭압 파라메터 산정'!$C$20),0)</f>
        <v>-4.3132810344687043E-2</v>
      </c>
      <c r="F402" s="34">
        <f>IF(B402-'폭압 파라메터 산정'!$E$19&gt;0,B402-'폭압 파라메터 산정'!$E$19, IF(B402-'폭압 파라메터 산정'!$E$19&lt;-0.25,"none",0))</f>
        <v>47.083176975799496</v>
      </c>
      <c r="G402" s="32">
        <f>IF(B402-'폭압 파라메터 산정'!$E$19&gt;-0.25,'폭압 파라메터 산정'!$E$14*(1-F402/'폭압 파라메터 산정'!$E$20)*EXP(-Graph!$D$3*F402/'폭압 파라메터 산정'!$E$20),0)</f>
        <v>-3.9596278949763954E-2</v>
      </c>
      <c r="H402" s="32">
        <f>IF(B402-'폭압 파라메터 산정'!$E$19&gt;-0.25,'폭압 파라메터 산정'!$E$16*(1-F402/'폭압 파라메터 산정'!$E$20)*EXP(-Graph!$D$3*F402/'폭압 파라메터 산정'!$E$20),0)</f>
        <v>-8.5372598688177925E-2</v>
      </c>
    </row>
    <row r="403" spans="2:8" x14ac:dyDescent="0.3">
      <c r="B403">
        <f t="shared" si="6"/>
        <v>99</v>
      </c>
      <c r="C403" s="33">
        <f>IF(B403-'폭압 파라메터 산정'!$C$19&gt;0,B403-'폭압 파라메터 산정'!$C$19, IF(B403-'폭압 파라메터 산정'!$C$19&lt;-0.25,"none",0))</f>
        <v>44.294157721147656</v>
      </c>
      <c r="D403" s="32">
        <f>IF(B403-'폭압 파라메터 산정'!$C$19&gt;-0.25,'폭압 파라메터 산정'!$C$14*(1-Graph!C403/'폭압 파라메터 산정'!$C$20)*EXP(-Graph!$D$3*Graph!C403/'폭압 파라메터 산정'!$C$20),0)</f>
        <v>-1.967978806836123E-2</v>
      </c>
      <c r="E403" s="32">
        <f>IF(B403-'폭압 파라메터 산정'!$C$19&gt;-0.25,'폭압 파라메터 산정'!$C$16*(1-Graph!C403/'폭압 파라메터 산정'!$C$20)*EXP(-Graph!$D$3*Graph!C403/'폭압 파라메터 산정'!$C$20),0)</f>
        <v>-4.1647491450058527E-2</v>
      </c>
      <c r="F403" s="34">
        <f>IF(B403-'폭압 파라메터 산정'!$E$19&gt;0,B403-'폭압 파라메터 산정'!$E$19, IF(B403-'폭압 파라메터 산정'!$E$19&lt;-0.25,"none",0))</f>
        <v>47.333176975799496</v>
      </c>
      <c r="G403" s="32">
        <f>IF(B403-'폭압 파라메터 산정'!$E$19&gt;-0.25,'폭압 파라메터 산정'!$E$14*(1-F403/'폭압 파라메터 산정'!$E$20)*EXP(-Graph!$D$3*F403/'폭압 파라메터 산정'!$E$20),0)</f>
        <v>-3.841839011148223E-2</v>
      </c>
      <c r="H403" s="32">
        <f>IF(B403-'폭압 파라메터 산정'!$E$19&gt;-0.25,'폭압 파라메터 산정'!$E$16*(1-F403/'폭압 파라메터 산정'!$E$20)*EXP(-Graph!$D$3*F403/'폭압 파라메터 산정'!$E$20),0)</f>
        <v>-8.2832980477651363E-2</v>
      </c>
    </row>
    <row r="404" spans="2:8" x14ac:dyDescent="0.3">
      <c r="B404">
        <f t="shared" si="6"/>
        <v>99.25</v>
      </c>
      <c r="C404" s="33">
        <f>IF(B404-'폭압 파라메터 산정'!$C$19&gt;0,B404-'폭압 파라메터 산정'!$C$19, IF(B404-'폭압 파라메터 산정'!$C$19&lt;-0.25,"none",0))</f>
        <v>44.544157721147656</v>
      </c>
      <c r="D404" s="32">
        <f>IF(B404-'폭압 파라메터 산정'!$C$19&gt;-0.25,'폭압 파라메터 산정'!$C$14*(1-Graph!C404/'폭압 파라메터 산정'!$C$20)*EXP(-Graph!$D$3*Graph!C404/'폭압 파라메터 산정'!$C$20),0)</f>
        <v>-1.9000978289206282E-2</v>
      </c>
      <c r="E404" s="32">
        <f>IF(B404-'폭압 파라메터 산정'!$C$19&gt;-0.25,'폭압 파라메터 산정'!$C$16*(1-Graph!C404/'폭압 파라메터 산정'!$C$20)*EXP(-Graph!$D$3*Graph!C404/'폭압 파라메터 산정'!$C$20),0)</f>
        <v>-4.0210955427649728E-2</v>
      </c>
      <c r="F404" s="34">
        <f>IF(B404-'폭압 파라메터 산정'!$E$19&gt;0,B404-'폭압 파라메터 산정'!$E$19, IF(B404-'폭압 파라메터 산정'!$E$19&lt;-0.25,"none",0))</f>
        <v>47.583176975799496</v>
      </c>
      <c r="G404" s="32">
        <f>IF(B404-'폭압 파라메터 산정'!$E$19&gt;-0.25,'폭압 파라메터 산정'!$E$14*(1-F404/'폭압 파라메터 산정'!$E$20)*EXP(-Graph!$D$3*F404/'폭압 파라메터 산정'!$E$20),0)</f>
        <v>-3.7273528212278133E-2</v>
      </c>
      <c r="H404" s="32">
        <f>IF(B404-'폭압 파라메터 산정'!$E$19&gt;-0.25,'폭압 파라메터 산정'!$E$16*(1-F404/'폭압 파라메터 산정'!$E$20)*EXP(-Graph!$D$3*F404/'폭압 파라메터 산정'!$E$20),0)</f>
        <v>-8.036457086779536E-2</v>
      </c>
    </row>
    <row r="405" spans="2:8" x14ac:dyDescent="0.3">
      <c r="B405">
        <f t="shared" si="6"/>
        <v>99.5</v>
      </c>
      <c r="C405" s="33">
        <f>IF(B405-'폭압 파라메터 산정'!$C$19&gt;0,B405-'폭압 파라메터 산정'!$C$19, IF(B405-'폭압 파라메터 산정'!$C$19&lt;-0.25,"none",0))</f>
        <v>44.794157721147656</v>
      </c>
      <c r="D405" s="32">
        <f>IF(B405-'폭압 파라메터 산정'!$C$19&gt;-0.25,'폭압 파라메터 산정'!$C$14*(1-Graph!C405/'폭압 파라메터 산정'!$C$20)*EXP(-Graph!$D$3*Graph!C405/'폭압 파라메터 산정'!$C$20),0)</f>
        <v>-1.8344519734890378E-2</v>
      </c>
      <c r="E405" s="32">
        <f>IF(B405-'폭압 파라메터 산정'!$C$19&gt;-0.25,'폭압 파라메터 산정'!$C$16*(1-Graph!C405/'폭압 파라메터 산정'!$C$20)*EXP(-Graph!$D$3*Graph!C405/'폭압 파라메터 산정'!$C$20),0)</f>
        <v>-3.8821720343754536E-2</v>
      </c>
      <c r="F405" s="34">
        <f>IF(B405-'폭압 파라메터 산정'!$E$19&gt;0,B405-'폭압 파라메터 산정'!$E$19, IF(B405-'폭압 파라메터 산정'!$E$19&lt;-0.25,"none",0))</f>
        <v>47.833176975799496</v>
      </c>
      <c r="G405" s="32">
        <f>IF(B405-'폭압 파라메터 산정'!$E$19&gt;-0.25,'폭압 파라메터 산정'!$E$14*(1-F405/'폭압 파라메터 산정'!$E$20)*EXP(-Graph!$D$3*F405/'폭압 파라메터 산정'!$E$20),0)</f>
        <v>-3.6160859194099206E-2</v>
      </c>
      <c r="H405" s="32">
        <f>IF(B405-'폭압 파라메터 산정'!$E$19&gt;-0.25,'폭압 파라메터 산정'!$E$16*(1-F405/'폭압 파라메터 산정'!$E$20)*EXP(-Graph!$D$3*F405/'폭압 파라메터 산정'!$E$20),0)</f>
        <v>-7.7965571565808564E-2</v>
      </c>
    </row>
    <row r="406" spans="2:8" x14ac:dyDescent="0.3">
      <c r="B406">
        <f t="shared" si="6"/>
        <v>99.75</v>
      </c>
      <c r="C406" s="33">
        <f>IF(B406-'폭압 파라메터 산정'!$C$19&gt;0,B406-'폭압 파라메터 산정'!$C$19, IF(B406-'폭압 파라메터 산정'!$C$19&lt;-0.25,"none",0))</f>
        <v>45.044157721147656</v>
      </c>
      <c r="D406" s="32">
        <f>IF(B406-'폭압 파라메터 산정'!$C$19&gt;-0.25,'폭압 파라메터 산정'!$C$14*(1-Graph!C406/'폭압 파라메터 산정'!$C$20)*EXP(-Graph!$D$3*Graph!C406/'폭압 파라메터 산정'!$C$20),0)</f>
        <v>-1.7709730387279465E-2</v>
      </c>
      <c r="E406" s="32">
        <f>IF(B406-'폭압 파라메터 산정'!$C$19&gt;-0.25,'폭압 파라메터 산정'!$C$16*(1-Graph!C406/'폭압 파라메터 산정'!$C$20)*EXP(-Graph!$D$3*Graph!C406/'폭압 파라메터 산정'!$C$20),0)</f>
        <v>-3.7478342872646675E-2</v>
      </c>
      <c r="F406" s="34">
        <f>IF(B406-'폭압 파라메터 산정'!$E$19&gt;0,B406-'폭압 파라메터 산정'!$E$19, IF(B406-'폭압 파라메터 산정'!$E$19&lt;-0.25,"none",0))</f>
        <v>48.083176975799496</v>
      </c>
      <c r="G406" s="32">
        <f>IF(B406-'폭압 파라메터 산정'!$E$19&gt;-0.25,'폭압 파라메터 산정'!$E$14*(1-F406/'폭압 파라메터 산정'!$E$20)*EXP(-Graph!$D$3*F406/'폭압 파라메터 산정'!$E$20),0)</f>
        <v>-3.5079565600820886E-2</v>
      </c>
      <c r="H406" s="32">
        <f>IF(B406-'폭압 파라메터 산정'!$E$19&gt;-0.25,'폭압 파라메터 산정'!$E$16*(1-F406/'폭압 파라메터 산정'!$E$20)*EXP(-Graph!$D$3*F406/'폭압 파라메터 산정'!$E$20),0)</f>
        <v>-7.5634220073912919E-2</v>
      </c>
    </row>
    <row r="407" spans="2:8" x14ac:dyDescent="0.3">
      <c r="B407">
        <f t="shared" si="6"/>
        <v>100</v>
      </c>
      <c r="C407" s="33">
        <f>IF(B407-'폭압 파라메터 산정'!$C$19&gt;0,B407-'폭압 파라메터 산정'!$C$19, IF(B407-'폭압 파라메터 산정'!$C$19&lt;-0.25,"none",0))</f>
        <v>45.294157721147656</v>
      </c>
      <c r="D407" s="32">
        <f>IF(B407-'폭압 파라메터 산정'!$C$19&gt;-0.25,'폭압 파라메터 산정'!$C$14*(1-Graph!C407/'폭압 파라메터 산정'!$C$20)*EXP(-Graph!$D$3*Graph!C407/'폭압 파라메터 산정'!$C$20),0)</f>
        <v>-1.7095946171042493E-2</v>
      </c>
      <c r="E407" s="32">
        <f>IF(B407-'폭압 파라메터 산정'!$C$19&gt;-0.25,'폭압 파라메터 산정'!$C$16*(1-Graph!C407/'폭압 파라메터 산정'!$C$20)*EXP(-Graph!$D$3*Graph!C407/'폭압 파라메터 산정'!$C$20),0)</f>
        <v>-3.6179417660184322E-2</v>
      </c>
      <c r="F407" s="34">
        <f>IF(B407-'폭압 파라메터 산정'!$E$19&gt;0,B407-'폭압 파라메터 산정'!$E$19, IF(B407-'폭압 파라메터 산정'!$E$19&lt;-0.25,"none",0))</f>
        <v>48.333176975799496</v>
      </c>
      <c r="G407" s="32">
        <f>IF(B407-'폭압 파라메터 산정'!$E$19&gt;-0.25,'폭압 파라메터 산정'!$E$14*(1-F407/'폭압 파라메터 산정'!$E$20)*EXP(-Graph!$D$3*F407/'폭압 파라메터 산정'!$E$20),0)</f>
        <v>-3.4028846488013027E-2</v>
      </c>
      <c r="H407" s="32">
        <f>IF(B407-'폭압 파라메터 산정'!$E$19&gt;-0.25,'폭압 파라메터 산정'!$E$16*(1-F407/'폭압 파라메터 산정'!$E$20)*EXP(-Graph!$D$3*F407/'폭압 파라메터 산정'!$E$20),0)</f>
        <v>-7.3368789494803466E-2</v>
      </c>
    </row>
    <row r="408" spans="2:8" x14ac:dyDescent="0.3">
      <c r="C408" s="33"/>
      <c r="D408" s="32"/>
      <c r="E408" s="32"/>
      <c r="F408" s="34"/>
      <c r="G408" s="32"/>
    </row>
    <row r="409" spans="2:8" x14ac:dyDescent="0.3">
      <c r="C409" s="33"/>
      <c r="D409" s="32"/>
      <c r="E409" s="32"/>
      <c r="F409" s="34"/>
      <c r="G409" s="32"/>
    </row>
    <row r="410" spans="2:8" x14ac:dyDescent="0.3">
      <c r="C410" s="33"/>
      <c r="D410" s="32"/>
      <c r="E410" s="32"/>
      <c r="F410" s="34"/>
      <c r="G410" s="32"/>
    </row>
    <row r="411" spans="2:8" x14ac:dyDescent="0.3">
      <c r="C411" s="33"/>
      <c r="D411" s="32"/>
      <c r="E411" s="32"/>
      <c r="F411" s="34"/>
      <c r="G411" s="32"/>
    </row>
    <row r="412" spans="2:8" x14ac:dyDescent="0.3">
      <c r="C412" s="33"/>
      <c r="D412" s="32"/>
      <c r="E412" s="32"/>
      <c r="F412" s="34"/>
      <c r="G412" s="32"/>
    </row>
    <row r="413" spans="2:8" x14ac:dyDescent="0.3">
      <c r="C413" s="33"/>
      <c r="D413" s="32"/>
      <c r="E413" s="32"/>
      <c r="F413" s="34"/>
      <c r="G413" s="32"/>
    </row>
    <row r="414" spans="2:8" x14ac:dyDescent="0.3">
      <c r="C414" s="33"/>
      <c r="D414" s="32"/>
      <c r="E414" s="32"/>
      <c r="F414" s="34"/>
      <c r="G414" s="32"/>
    </row>
    <row r="415" spans="2:8" x14ac:dyDescent="0.3">
      <c r="C415" s="33"/>
      <c r="D415" s="32"/>
      <c r="E415" s="32"/>
      <c r="F415" s="34"/>
      <c r="G415" s="32"/>
    </row>
    <row r="416" spans="2:8" x14ac:dyDescent="0.3">
      <c r="C416" s="33"/>
      <c r="D416" s="32"/>
      <c r="E416" s="32"/>
      <c r="F416" s="34"/>
      <c r="G416" s="32"/>
    </row>
    <row r="417" spans="3:7" x14ac:dyDescent="0.3">
      <c r="C417" s="33"/>
      <c r="D417" s="32"/>
      <c r="E417" s="32"/>
      <c r="F417" s="34"/>
      <c r="G417" s="32"/>
    </row>
    <row r="418" spans="3:7" x14ac:dyDescent="0.3">
      <c r="C418" s="33"/>
      <c r="D418" s="32"/>
      <c r="E418" s="32"/>
      <c r="F418" s="34"/>
      <c r="G418" s="32"/>
    </row>
    <row r="419" spans="3:7" x14ac:dyDescent="0.3">
      <c r="C419" s="33"/>
      <c r="D419" s="32"/>
      <c r="E419" s="32"/>
      <c r="F419" s="34"/>
      <c r="G419" s="32"/>
    </row>
    <row r="420" spans="3:7" x14ac:dyDescent="0.3">
      <c r="C420" s="33"/>
      <c r="D420" s="32"/>
      <c r="E420" s="32"/>
      <c r="F420" s="34"/>
      <c r="G420" s="32"/>
    </row>
    <row r="421" spans="3:7" x14ac:dyDescent="0.3">
      <c r="C421" s="33"/>
      <c r="D421" s="32"/>
      <c r="E421" s="32"/>
      <c r="F421" s="34"/>
      <c r="G421" s="32"/>
    </row>
    <row r="422" spans="3:7" x14ac:dyDescent="0.3">
      <c r="C422" s="33"/>
      <c r="D422" s="32"/>
      <c r="E422" s="32"/>
      <c r="F422" s="34"/>
      <c r="G422" s="32"/>
    </row>
    <row r="423" spans="3:7" x14ac:dyDescent="0.3">
      <c r="C423" s="33"/>
      <c r="D423" s="32"/>
      <c r="E423" s="32"/>
      <c r="F423" s="34"/>
      <c r="G423" s="32"/>
    </row>
    <row r="424" spans="3:7" x14ac:dyDescent="0.3">
      <c r="C424" s="33"/>
      <c r="D424" s="32"/>
      <c r="E424" s="32"/>
      <c r="F424" s="34"/>
      <c r="G424" s="32"/>
    </row>
    <row r="425" spans="3:7" x14ac:dyDescent="0.3">
      <c r="C425" s="33"/>
      <c r="D425" s="32"/>
      <c r="E425" s="32"/>
      <c r="F425" s="34"/>
      <c r="G425" s="32"/>
    </row>
    <row r="426" spans="3:7" x14ac:dyDescent="0.3">
      <c r="C426" s="33"/>
      <c r="D426" s="32"/>
      <c r="E426" s="32"/>
      <c r="F426" s="34"/>
      <c r="G426" s="32"/>
    </row>
    <row r="427" spans="3:7" x14ac:dyDescent="0.3">
      <c r="C427" s="33"/>
      <c r="D427" s="32"/>
      <c r="E427" s="32"/>
      <c r="F427" s="34"/>
      <c r="G427" s="32"/>
    </row>
    <row r="428" spans="3:7" x14ac:dyDescent="0.3">
      <c r="C428" s="33"/>
      <c r="D428" s="32"/>
      <c r="E428" s="32"/>
      <c r="F428" s="34"/>
      <c r="G428" s="32"/>
    </row>
    <row r="429" spans="3:7" x14ac:dyDescent="0.3">
      <c r="C429" s="33"/>
      <c r="D429" s="32"/>
      <c r="E429" s="32"/>
      <c r="F429" s="34"/>
      <c r="G429" s="32"/>
    </row>
    <row r="430" spans="3:7" x14ac:dyDescent="0.3">
      <c r="C430" s="33"/>
      <c r="D430" s="32"/>
      <c r="E430" s="32"/>
      <c r="F430" s="34"/>
      <c r="G430" s="32"/>
    </row>
    <row r="431" spans="3:7" x14ac:dyDescent="0.3">
      <c r="C431" s="33"/>
      <c r="D431" s="32"/>
      <c r="E431" s="32"/>
      <c r="F431" s="34"/>
      <c r="G431" s="32"/>
    </row>
    <row r="432" spans="3:7" x14ac:dyDescent="0.3">
      <c r="C432" s="33"/>
      <c r="D432" s="32"/>
      <c r="E432" s="32"/>
      <c r="F432" s="34"/>
      <c r="G432" s="32"/>
    </row>
    <row r="433" spans="3:7" x14ac:dyDescent="0.3">
      <c r="C433" s="33"/>
      <c r="D433" s="32"/>
      <c r="E433" s="32"/>
      <c r="F433" s="34"/>
      <c r="G433" s="32"/>
    </row>
    <row r="434" spans="3:7" x14ac:dyDescent="0.3">
      <c r="C434" s="33"/>
      <c r="D434" s="32"/>
      <c r="E434" s="32"/>
      <c r="F434" s="34"/>
      <c r="G434" s="32"/>
    </row>
    <row r="435" spans="3:7" x14ac:dyDescent="0.3">
      <c r="C435" s="33"/>
      <c r="D435" s="32"/>
      <c r="E435" s="32"/>
      <c r="F435" s="34"/>
      <c r="G435" s="32"/>
    </row>
    <row r="436" spans="3:7" x14ac:dyDescent="0.3">
      <c r="C436" s="33"/>
      <c r="D436" s="32"/>
      <c r="E436" s="32"/>
      <c r="F436" s="34"/>
      <c r="G436" s="32"/>
    </row>
    <row r="437" spans="3:7" x14ac:dyDescent="0.3">
      <c r="C437" s="33"/>
      <c r="D437" s="32"/>
      <c r="E437" s="32"/>
      <c r="F437" s="34"/>
      <c r="G437" s="32"/>
    </row>
    <row r="438" spans="3:7" x14ac:dyDescent="0.3">
      <c r="C438" s="33"/>
      <c r="D438" s="32"/>
      <c r="E438" s="32"/>
      <c r="F438" s="34"/>
      <c r="G438" s="32"/>
    </row>
  </sheetData>
  <mergeCells count="4">
    <mergeCell ref="B2:C2"/>
    <mergeCell ref="B3:C3"/>
    <mergeCell ref="C5:E5"/>
    <mergeCell ref="F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2"/>
  <sheetViews>
    <sheetView workbookViewId="0">
      <selection activeCell="I26" sqref="I26"/>
    </sheetView>
  </sheetViews>
  <sheetFormatPr defaultRowHeight="16.5" x14ac:dyDescent="0.3"/>
  <cols>
    <col min="6" max="6" width="9" customWidth="1"/>
    <col min="12" max="12" width="1.875" customWidth="1"/>
  </cols>
  <sheetData>
    <row r="2" spans="1:19" x14ac:dyDescent="0.3">
      <c r="E2" s="106" t="s">
        <v>87</v>
      </c>
      <c r="F2" s="106"/>
      <c r="G2" s="106"/>
      <c r="H2" s="106"/>
      <c r="I2" s="106"/>
      <c r="J2" s="106"/>
      <c r="K2" s="106"/>
      <c r="L2" s="33"/>
      <c r="M2" s="106" t="s">
        <v>88</v>
      </c>
      <c r="N2" s="106"/>
      <c r="O2" s="106"/>
      <c r="P2" s="106"/>
      <c r="Q2" s="106"/>
      <c r="R2" s="106"/>
      <c r="S2" s="106"/>
    </row>
    <row r="3" spans="1:19" ht="40.5" x14ac:dyDescent="0.3">
      <c r="A3" s="106" t="s">
        <v>106</v>
      </c>
      <c r="B3" t="s">
        <v>85</v>
      </c>
      <c r="C3" t="s">
        <v>86</v>
      </c>
      <c r="D3" t="s">
        <v>96</v>
      </c>
      <c r="E3" s="37" t="s">
        <v>89</v>
      </c>
      <c r="F3" s="38" t="s">
        <v>90</v>
      </c>
      <c r="G3" s="38" t="s">
        <v>91</v>
      </c>
      <c r="H3" s="38" t="s">
        <v>92</v>
      </c>
      <c r="I3" s="38" t="s">
        <v>95</v>
      </c>
      <c r="J3" s="38" t="s">
        <v>93</v>
      </c>
      <c r="K3" s="38" t="s">
        <v>94</v>
      </c>
      <c r="L3" s="38"/>
      <c r="M3" s="37" t="s">
        <v>89</v>
      </c>
      <c r="N3" s="38" t="s">
        <v>90</v>
      </c>
      <c r="O3" s="38" t="s">
        <v>91</v>
      </c>
      <c r="P3" s="38" t="s">
        <v>92</v>
      </c>
      <c r="Q3" s="38" t="s">
        <v>95</v>
      </c>
      <c r="R3" s="38" t="s">
        <v>93</v>
      </c>
      <c r="S3" s="38" t="s">
        <v>94</v>
      </c>
    </row>
    <row r="4" spans="1:19" x14ac:dyDescent="0.3">
      <c r="A4" s="106"/>
      <c r="B4">
        <v>10</v>
      </c>
      <c r="C4">
        <v>10</v>
      </c>
      <c r="D4" s="31">
        <f>B4/(C4^(1/3))</f>
        <v>4.6415888336127784</v>
      </c>
      <c r="E4">
        <v>35.586291131977895</v>
      </c>
      <c r="F4">
        <v>93.705204022120967</v>
      </c>
      <c r="G4">
        <v>80.88127228744807</v>
      </c>
      <c r="H4">
        <v>194.70012522063564</v>
      </c>
      <c r="I4">
        <v>0.38857482776447255</v>
      </c>
      <c r="J4">
        <v>17.340003427946865</v>
      </c>
      <c r="K4">
        <v>6.9884707078176866</v>
      </c>
      <c r="M4">
        <v>49.272223592550695</v>
      </c>
      <c r="N4">
        <v>136.38025664584183</v>
      </c>
      <c r="O4">
        <v>117.18997211383875</v>
      </c>
      <c r="P4">
        <v>293.86429047305325</v>
      </c>
      <c r="Q4">
        <v>0.40522168644861112</v>
      </c>
      <c r="R4">
        <v>15.822864712434081</v>
      </c>
      <c r="S4">
        <v>7.9106210065226721</v>
      </c>
    </row>
    <row r="5" spans="1:19" x14ac:dyDescent="0.3">
      <c r="A5" s="106"/>
      <c r="B5">
        <v>10</v>
      </c>
      <c r="C5">
        <v>100</v>
      </c>
      <c r="D5" s="31">
        <f t="shared" ref="D5:D8" si="0">B5/(C5^(1/3))</f>
        <v>2.1544346900318834</v>
      </c>
      <c r="E5">
        <v>165.08322664615264</v>
      </c>
      <c r="F5">
        <v>399.94249227229835</v>
      </c>
      <c r="G5">
        <v>522.4681382894961</v>
      </c>
      <c r="H5">
        <v>1001.9037140679102</v>
      </c>
      <c r="I5">
        <v>0.52669738851963344</v>
      </c>
      <c r="J5">
        <v>10.332623464063914</v>
      </c>
      <c r="K5">
        <v>9.284324199546182</v>
      </c>
      <c r="M5">
        <v>239.45141308171387</v>
      </c>
      <c r="N5">
        <v>581.64163391777208</v>
      </c>
      <c r="O5">
        <v>845.49122151292681</v>
      </c>
      <c r="P5">
        <v>1542.6314976928472</v>
      </c>
      <c r="Q5">
        <v>0.59107563954970865</v>
      </c>
      <c r="R5">
        <v>9.0370214406822402</v>
      </c>
      <c r="S5">
        <v>9.7026420973866951</v>
      </c>
    </row>
    <row r="6" spans="1:19" x14ac:dyDescent="0.3">
      <c r="A6" s="106"/>
      <c r="B6">
        <v>10</v>
      </c>
      <c r="C6">
        <v>1000</v>
      </c>
      <c r="D6" s="31">
        <f t="shared" si="0"/>
        <v>1.0000000000000002</v>
      </c>
      <c r="E6">
        <v>934.86136491179775</v>
      </c>
      <c r="F6">
        <v>1745.4253899025402</v>
      </c>
      <c r="G6">
        <v>5005.5791661084277</v>
      </c>
      <c r="H6">
        <v>5590.3381530307242</v>
      </c>
      <c r="I6">
        <v>1.0113272206616921</v>
      </c>
      <c r="J6">
        <v>5.3183868270176502</v>
      </c>
      <c r="K6">
        <v>17.948671938974236</v>
      </c>
      <c r="M6">
        <v>1356.7387368411128</v>
      </c>
      <c r="N6">
        <v>2364.2762770485328</v>
      </c>
      <c r="O6">
        <v>8144.9467058139144</v>
      </c>
      <c r="P6">
        <v>8847.7218966494474</v>
      </c>
      <c r="Q6">
        <v>1.196349309742075</v>
      </c>
      <c r="R6">
        <v>4.6750912768441664</v>
      </c>
      <c r="S6">
        <v>17.370125692115987</v>
      </c>
    </row>
    <row r="7" spans="1:19" x14ac:dyDescent="0.3">
      <c r="A7" s="106"/>
      <c r="B7">
        <v>10</v>
      </c>
      <c r="C7">
        <v>5000</v>
      </c>
      <c r="D7" s="31">
        <f t="shared" si="0"/>
        <v>0.58480354764257314</v>
      </c>
      <c r="E7">
        <v>2887.85122542101</v>
      </c>
      <c r="F7">
        <v>2606.7598134947266</v>
      </c>
      <c r="G7">
        <v>21062.95479782113</v>
      </c>
      <c r="H7">
        <v>19847.446230827481</v>
      </c>
      <c r="I7">
        <v>1.6983108751916516</v>
      </c>
      <c r="J7">
        <v>3.4433786556969808</v>
      </c>
      <c r="K7">
        <v>7.8882448666450706</v>
      </c>
      <c r="M7">
        <v>3773.7840367073377</v>
      </c>
      <c r="N7">
        <v>2897.9738260923282</v>
      </c>
      <c r="O7">
        <v>28989.788811099224</v>
      </c>
      <c r="P7">
        <v>32132.783296411835</v>
      </c>
      <c r="Q7">
        <v>1.9290059545904741</v>
      </c>
      <c r="R7">
        <v>3.1578551415586698</v>
      </c>
      <c r="S7">
        <v>6.1620787155009236</v>
      </c>
    </row>
    <row r="8" spans="1:19" x14ac:dyDescent="0.3">
      <c r="A8" s="106"/>
      <c r="B8">
        <v>100</v>
      </c>
      <c r="C8">
        <v>100</v>
      </c>
      <c r="D8" s="31">
        <f t="shared" si="0"/>
        <v>21.544346900318835</v>
      </c>
      <c r="E8">
        <v>4.022072705376357</v>
      </c>
      <c r="F8">
        <v>46.346454984609998</v>
      </c>
      <c r="G8">
        <v>8.1375610287735256</v>
      </c>
      <c r="H8">
        <v>82.315588765784653</v>
      </c>
      <c r="I8">
        <v>0.58536104476376694</v>
      </c>
      <c r="J8">
        <v>257.49803141438571</v>
      </c>
      <c r="K8">
        <v>24.37428519838241</v>
      </c>
      <c r="M8">
        <v>5.5254268732829601</v>
      </c>
      <c r="N8">
        <v>68.502293774624277</v>
      </c>
      <c r="O8">
        <v>11.27467093847034</v>
      </c>
      <c r="P8">
        <v>123.12845895921856</v>
      </c>
      <c r="Q8">
        <v>0.34796452641249115</v>
      </c>
      <c r="R8">
        <v>252.24552295591192</v>
      </c>
      <c r="S8">
        <v>28.124669622201242</v>
      </c>
    </row>
    <row r="9" spans="1:19" x14ac:dyDescent="0.3">
      <c r="A9" s="106"/>
      <c r="B9">
        <v>100</v>
      </c>
      <c r="C9">
        <v>1000</v>
      </c>
      <c r="D9" s="31">
        <f>B9/(C9^(1/3))</f>
        <v>10.000000000000002</v>
      </c>
      <c r="E9">
        <v>11.091087553646048</v>
      </c>
      <c r="F9">
        <v>211.310476231926</v>
      </c>
      <c r="G9">
        <v>23.313034401654637</v>
      </c>
      <c r="H9">
        <v>397.14893436469129</v>
      </c>
      <c r="I9">
        <v>0.37428140091744405</v>
      </c>
      <c r="J9">
        <v>227.22388560813755</v>
      </c>
      <c r="K9">
        <v>41.99521970592756</v>
      </c>
      <c r="M9">
        <v>14.807396526406611</v>
      </c>
      <c r="N9">
        <v>310.12507374520976</v>
      </c>
      <c r="O9">
        <v>31.544015591678896</v>
      </c>
      <c r="P9">
        <v>593.2742580312979</v>
      </c>
      <c r="Q9">
        <v>0.36085624051157816</v>
      </c>
      <c r="R9">
        <v>216.35178254085187</v>
      </c>
      <c r="S9">
        <v>47.87569898313869</v>
      </c>
    </row>
    <row r="11" spans="1:19" x14ac:dyDescent="0.3">
      <c r="A11" s="107" t="s">
        <v>105</v>
      </c>
      <c r="E11" s="39" t="s">
        <v>97</v>
      </c>
      <c r="F11" s="40" t="s">
        <v>98</v>
      </c>
      <c r="G11" s="39" t="s">
        <v>97</v>
      </c>
      <c r="H11" s="40" t="s">
        <v>98</v>
      </c>
      <c r="I11" s="40" t="s">
        <v>99</v>
      </c>
      <c r="J11" s="40" t="s">
        <v>100</v>
      </c>
      <c r="K11" s="40" t="s">
        <v>100</v>
      </c>
    </row>
    <row r="12" spans="1:19" ht="16.5" customHeight="1" x14ac:dyDescent="0.3">
      <c r="A12" s="107"/>
      <c r="B12">
        <f>B4*3.28084</f>
        <v>32.808399999999999</v>
      </c>
      <c r="C12">
        <f>C4*2.204623</f>
        <v>22.046230000000001</v>
      </c>
      <c r="D12" s="31">
        <f>B12/(C12^(1/3))</f>
        <v>11.70056786494089</v>
      </c>
      <c r="E12">
        <v>5.1622529999999998</v>
      </c>
      <c r="F12">
        <v>4.8470789999999999</v>
      </c>
      <c r="G12">
        <v>11.733739999999999</v>
      </c>
      <c r="H12">
        <v>10.07155</v>
      </c>
      <c r="I12">
        <v>1.27</v>
      </c>
      <c r="J12">
        <v>6.1832149999999997</v>
      </c>
      <c r="K12">
        <v>2.4922550000000001</v>
      </c>
      <c r="M12">
        <v>7.146757</v>
      </c>
      <c r="N12">
        <v>7.0504049999999996</v>
      </c>
      <c r="O12">
        <v>16.998889999999999</v>
      </c>
      <c r="P12">
        <v>15.2003</v>
      </c>
      <c r="Q12">
        <v>1.3295189999999999</v>
      </c>
      <c r="R12">
        <v>5.6427500000000004</v>
      </c>
      <c r="S12">
        <v>2.8211889999999999</v>
      </c>
    </row>
    <row r="13" spans="1:19" x14ac:dyDescent="0.3">
      <c r="A13" s="107"/>
      <c r="B13">
        <f t="shared" ref="B13:B17" si="1">B5*3.28084</f>
        <v>32.808399999999999</v>
      </c>
      <c r="C13">
        <f t="shared" ref="C13:C17" si="2">C5*2.204623</f>
        <v>220.46230000000003</v>
      </c>
      <c r="D13" s="31">
        <f t="shared" ref="D13:D17" si="3">B13/(C13^(1/3))</f>
        <v>5.4309225148838154</v>
      </c>
      <c r="E13">
        <v>23.953410000000002</v>
      </c>
      <c r="F13">
        <v>9.6037330000000001</v>
      </c>
      <c r="G13">
        <v>75.821489999999997</v>
      </c>
      <c r="H13">
        <v>24.059729999999998</v>
      </c>
      <c r="I13">
        <v>1.728356</v>
      </c>
      <c r="J13">
        <v>1.709822</v>
      </c>
      <c r="K13">
        <v>1.536983</v>
      </c>
      <c r="M13">
        <v>34.730780000000003</v>
      </c>
      <c r="N13">
        <v>13.880739999999999</v>
      </c>
      <c r="O13">
        <v>122.6369</v>
      </c>
      <c r="P13">
        <v>37.037280000000003</v>
      </c>
      <c r="Q13">
        <v>1.9393819999999999</v>
      </c>
      <c r="R13">
        <v>1.495911</v>
      </c>
      <c r="S13">
        <v>1.606454</v>
      </c>
    </row>
    <row r="14" spans="1:19" x14ac:dyDescent="0.3">
      <c r="A14" s="107"/>
      <c r="B14">
        <f t="shared" si="1"/>
        <v>32.808399999999999</v>
      </c>
      <c r="C14">
        <f t="shared" si="2"/>
        <v>2204.623</v>
      </c>
      <c r="D14" s="31">
        <f t="shared" si="3"/>
        <v>2.5208109301300956</v>
      </c>
      <c r="E14">
        <v>135.58349999999999</v>
      </c>
      <c r="F14">
        <v>19.446619999999999</v>
      </c>
      <c r="G14">
        <v>725.93650000000002</v>
      </c>
      <c r="H14">
        <v>62.299489999999999</v>
      </c>
      <c r="I14">
        <v>3.3180480000000001</v>
      </c>
      <c r="J14">
        <v>0.4086438</v>
      </c>
      <c r="K14">
        <v>1.3786959999999999</v>
      </c>
      <c r="M14">
        <v>196.76079999999999</v>
      </c>
      <c r="N14">
        <v>25.880210000000002</v>
      </c>
      <c r="O14">
        <v>1181.153</v>
      </c>
      <c r="P14">
        <v>98.600149999999999</v>
      </c>
      <c r="Q14">
        <v>3.9249619999999998</v>
      </c>
      <c r="R14">
        <v>0.35921989999999998</v>
      </c>
      <c r="S14">
        <v>1.3217460000000001</v>
      </c>
    </row>
    <row r="15" spans="1:19" x14ac:dyDescent="0.3">
      <c r="A15" s="107"/>
      <c r="B15">
        <f t="shared" si="1"/>
        <v>32.808399999999999</v>
      </c>
      <c r="C15">
        <f t="shared" si="2"/>
        <v>11023.115000000002</v>
      </c>
      <c r="D15" s="31">
        <f t="shared" si="3"/>
        <v>1.4741791748762541</v>
      </c>
      <c r="E15">
        <v>418.80880000000002</v>
      </c>
      <c r="F15">
        <v>16.991890000000001</v>
      </c>
      <c r="G15">
        <v>3054.473</v>
      </c>
      <c r="H15">
        <v>129.3493</v>
      </c>
      <c r="I15">
        <v>5.5730009999999996</v>
      </c>
      <c r="J15">
        <v>0.1547287</v>
      </c>
      <c r="K15">
        <v>0.35453829999999997</v>
      </c>
      <c r="M15">
        <v>547.30309999999997</v>
      </c>
      <c r="N15">
        <v>18.889199999999999</v>
      </c>
      <c r="O15">
        <v>4204.2190000000001</v>
      </c>
      <c r="P15">
        <v>209.4128</v>
      </c>
      <c r="Q15">
        <v>6.3285689999999999</v>
      </c>
      <c r="R15">
        <v>0.14189589999999999</v>
      </c>
      <c r="S15">
        <v>0.2769778</v>
      </c>
    </row>
    <row r="16" spans="1:19" x14ac:dyDescent="0.3">
      <c r="A16" s="107"/>
      <c r="B16">
        <f t="shared" si="1"/>
        <v>328.084</v>
      </c>
      <c r="C16">
        <f t="shared" si="2"/>
        <v>220.46230000000003</v>
      </c>
      <c r="D16" s="31">
        <f t="shared" si="3"/>
        <v>54.309225148838152</v>
      </c>
      <c r="E16">
        <v>0.58333590000000002</v>
      </c>
      <c r="F16">
        <v>1.1127130000000001</v>
      </c>
      <c r="G16">
        <v>1.1802440000000001</v>
      </c>
      <c r="H16">
        <v>1.976288</v>
      </c>
      <c r="I16">
        <v>1.135767</v>
      </c>
      <c r="J16">
        <v>42.624760000000002</v>
      </c>
      <c r="K16">
        <v>4.0347689999999998</v>
      </c>
      <c r="M16">
        <v>0.80139389999999999</v>
      </c>
      <c r="N16">
        <v>1.632625</v>
      </c>
      <c r="O16">
        <v>1.6352469999999999</v>
      </c>
      <c r="P16">
        <v>2.956153</v>
      </c>
      <c r="Q16">
        <v>1.1416269999999999</v>
      </c>
      <c r="R16">
        <v>41.755409999999998</v>
      </c>
      <c r="S16">
        <v>4.6555669999999996</v>
      </c>
    </row>
    <row r="17" spans="1:19" x14ac:dyDescent="0.3">
      <c r="A17" s="107"/>
      <c r="B17">
        <f t="shared" si="1"/>
        <v>328.084</v>
      </c>
      <c r="C17">
        <f t="shared" si="2"/>
        <v>2204.623</v>
      </c>
      <c r="D17" s="31">
        <f t="shared" si="3"/>
        <v>25.208109301300958</v>
      </c>
      <c r="E17">
        <v>1.608519</v>
      </c>
      <c r="F17">
        <v>2.3546360000000002</v>
      </c>
      <c r="G17">
        <v>3.3810349999999998</v>
      </c>
      <c r="H17">
        <v>4.4254360000000004</v>
      </c>
      <c r="I17">
        <v>1.1671720000000001</v>
      </c>
      <c r="J17">
        <v>17.45964</v>
      </c>
      <c r="K17">
        <v>3.226753</v>
      </c>
      <c r="M17">
        <v>2.1476700000000002</v>
      </c>
      <c r="N17">
        <v>3.45262</v>
      </c>
      <c r="O17">
        <v>4.5751609999999996</v>
      </c>
      <c r="P17">
        <v>6.6113759999999999</v>
      </c>
      <c r="Q17">
        <v>1.1839230000000001</v>
      </c>
      <c r="R17">
        <v>16.623059999999999</v>
      </c>
      <c r="S17">
        <v>3.678499</v>
      </c>
    </row>
    <row r="18" spans="1:19" x14ac:dyDescent="0.3">
      <c r="A18" s="107"/>
    </row>
    <row r="19" spans="1:19" x14ac:dyDescent="0.3">
      <c r="A19" s="107"/>
      <c r="E19" s="39" t="s">
        <v>101</v>
      </c>
      <c r="F19" s="40" t="s">
        <v>102</v>
      </c>
      <c r="G19" s="40" t="s">
        <v>101</v>
      </c>
      <c r="H19" s="40" t="s">
        <v>102</v>
      </c>
      <c r="I19" s="40" t="s">
        <v>103</v>
      </c>
      <c r="J19" s="40" t="s">
        <v>104</v>
      </c>
      <c r="K19" s="40" t="s">
        <v>104</v>
      </c>
    </row>
    <row r="20" spans="1:19" x14ac:dyDescent="0.3">
      <c r="A20" s="107"/>
      <c r="B20">
        <f>B12</f>
        <v>32.808399999999999</v>
      </c>
      <c r="C20">
        <f t="shared" ref="C20:D20" si="4">C12</f>
        <v>22.046230000000001</v>
      </c>
      <c r="D20">
        <f t="shared" si="4"/>
        <v>11.70056786494089</v>
      </c>
      <c r="E20">
        <f>E12*6.894757</f>
        <v>35.592480007520997</v>
      </c>
      <c r="F20">
        <f>F12*6.894757*C12^(1/3)</f>
        <v>93.70810896097835</v>
      </c>
      <c r="G20">
        <f>G12*6.894757</f>
        <v>80.901286001179997</v>
      </c>
      <c r="H20">
        <f>H12*6.894757*C12^(1/3)</f>
        <v>194.71230091482758</v>
      </c>
      <c r="I20">
        <f>'파라메터 UFC 비교 차트'!I12*0.3048</f>
        <v>0.38709600000000005</v>
      </c>
      <c r="J20">
        <f>J12*C12^(1/3)</f>
        <v>17.337738932641525</v>
      </c>
      <c r="K20">
        <f>K12*C12^(1/3)</f>
        <v>6.9882846615507477</v>
      </c>
      <c r="M20">
        <f>M12*6.894757</f>
        <v>49.275152853049001</v>
      </c>
      <c r="N20">
        <f>N12*6.894757*C12^(1/3)</f>
        <v>136.30479716939345</v>
      </c>
      <c r="O20">
        <f>O12*6.894757</f>
        <v>117.20321581973</v>
      </c>
      <c r="P20">
        <f>P12*6.894757*C12^(1/3)</f>
        <v>293.86592804440761</v>
      </c>
      <c r="Q20">
        <f>'파라메터 UFC 비교 차트'!Q12*0.3048</f>
        <v>0.40523739119999996</v>
      </c>
      <c r="R20">
        <f>R12*C12^(1/3)</f>
        <v>15.8222747166584</v>
      </c>
      <c r="S20">
        <f>S12*C12^(1/3)</f>
        <v>7.9106158142066887</v>
      </c>
    </row>
    <row r="21" spans="1:19" x14ac:dyDescent="0.3">
      <c r="A21" s="107"/>
      <c r="B21">
        <f t="shared" ref="B21:D21" si="5">B13</f>
        <v>32.808399999999999</v>
      </c>
      <c r="C21">
        <f t="shared" si="5"/>
        <v>220.46230000000003</v>
      </c>
      <c r="D21">
        <f t="shared" si="5"/>
        <v>5.4309225148838154</v>
      </c>
      <c r="E21">
        <f>E13*6.894757</f>
        <v>165.15294127137003</v>
      </c>
      <c r="F21">
        <f>F13*6.894757*C13^(1/3)</f>
        <v>400.00966653558049</v>
      </c>
      <c r="G21">
        <f>G13*6.894757</f>
        <v>522.77074892792996</v>
      </c>
      <c r="H21">
        <f>H13*6.894757*C13^(1/3)</f>
        <v>1002.1232966635058</v>
      </c>
      <c r="I21">
        <f>'파라메터 UFC 비교 차트'!I13*0.3048</f>
        <v>0.52680290880000002</v>
      </c>
      <c r="J21">
        <f>J13*C13^(1/3)</f>
        <v>10.329096751254253</v>
      </c>
      <c r="K21">
        <f>K13*C13^(1/3)</f>
        <v>9.284970079945758</v>
      </c>
      <c r="M21">
        <f t="shared" ref="M21:M25" si="6">M13*6.894757</f>
        <v>239.46028852046004</v>
      </c>
      <c r="N21">
        <f t="shared" ref="N21:N25" si="7">N13*6.894757*C13^(1/3)</f>
        <v>578.15332628125896</v>
      </c>
      <c r="O21">
        <f t="shared" ref="O21:O25" si="8">O13*6.894757</f>
        <v>845.55162473330006</v>
      </c>
      <c r="P21">
        <f t="shared" ref="P21:P25" si="9">P13*6.894757*C13^(1/3)</f>
        <v>1542.6574252100643</v>
      </c>
      <c r="Q21">
        <f>'파라메터 UFC 비교 차트'!Q13*0.3048</f>
        <v>0.59112363359999998</v>
      </c>
      <c r="R21">
        <f t="shared" ref="R21:R25" si="10">R13*C13^(1/3)</f>
        <v>9.0368526374473497</v>
      </c>
      <c r="S21">
        <f t="shared" ref="S21:S25" si="11">S13*C13^(1/3)</f>
        <v>9.7046469120407863</v>
      </c>
    </row>
    <row r="22" spans="1:19" x14ac:dyDescent="0.3">
      <c r="A22" s="107"/>
      <c r="B22">
        <f t="shared" ref="B22:D22" si="12">B14</f>
        <v>32.808399999999999</v>
      </c>
      <c r="C22">
        <f t="shared" si="12"/>
        <v>2204.623</v>
      </c>
      <c r="D22">
        <f t="shared" si="12"/>
        <v>2.5208109301300956</v>
      </c>
      <c r="E22">
        <f>E14*6.894757</f>
        <v>934.8152857094999</v>
      </c>
      <c r="F22">
        <f>F14*6.894757*C14^(1/3)</f>
        <v>1745.0499807201518</v>
      </c>
      <c r="G22">
        <f>G14*6.894757</f>
        <v>5005.1557649305005</v>
      </c>
      <c r="H22">
        <f>H14*6.894757*C14^(1/3)</f>
        <v>5590.4688744560899</v>
      </c>
      <c r="I22">
        <f>'파라메터 UFC 비교 차트'!I14*0.3048</f>
        <v>1.0113410304000001</v>
      </c>
      <c r="J22">
        <f>J14*C14^(1/3)</f>
        <v>5.3185064725294913</v>
      </c>
      <c r="K22">
        <f>K14*C14^(1/3)</f>
        <v>17.94375345875924</v>
      </c>
      <c r="M22">
        <f t="shared" si="6"/>
        <v>1356.6179031255999</v>
      </c>
      <c r="N22">
        <f t="shared" si="7"/>
        <v>2322.3706722059405</v>
      </c>
      <c r="O22">
        <f t="shared" si="8"/>
        <v>8143.7629148210008</v>
      </c>
      <c r="P22">
        <f t="shared" si="9"/>
        <v>8847.9226650443143</v>
      </c>
      <c r="Q22">
        <f>'파라메터 UFC 비교 차트'!Q14*0.3048</f>
        <v>1.1963284176</v>
      </c>
      <c r="R22">
        <f t="shared" si="10"/>
        <v>4.6752535171496454</v>
      </c>
      <c r="S22">
        <f t="shared" si="11"/>
        <v>17.202548175305644</v>
      </c>
    </row>
    <row r="23" spans="1:19" x14ac:dyDescent="0.3">
      <c r="A23" s="107"/>
      <c r="B23">
        <f t="shared" ref="B23:D23" si="13">B15</f>
        <v>32.808399999999999</v>
      </c>
      <c r="C23">
        <f t="shared" si="13"/>
        <v>11023.115000000002</v>
      </c>
      <c r="D23">
        <f t="shared" si="13"/>
        <v>1.4741791748762541</v>
      </c>
      <c r="E23">
        <f t="shared" ref="E23:E25" si="14">E15*6.894757</f>
        <v>2887.5849054616001</v>
      </c>
      <c r="F23">
        <f t="shared" ref="F23:F25" si="15">F15*6.894757*C15^(1/3)</f>
        <v>2607.3265786051852</v>
      </c>
      <c r="G23">
        <f t="shared" ref="G23:G25" si="16">G15*6.894757</f>
        <v>21059.849098061</v>
      </c>
      <c r="H23">
        <f t="shared" ref="H23:H25" si="17">H15*6.894757*C15^(1/3)</f>
        <v>19848.049146620866</v>
      </c>
      <c r="I23">
        <f>'파라메터 UFC 비교 차트'!I15*0.3048</f>
        <v>1.6986507047999999</v>
      </c>
      <c r="J23">
        <f t="shared" ref="J23:J25" si="18">J15*C15^(1/3)</f>
        <v>3.4435441550082433</v>
      </c>
      <c r="K23">
        <f t="shared" ref="K23:K25" si="19">K15*C15^(1/3)</f>
        <v>7.8903803282232641</v>
      </c>
      <c r="M23">
        <f t="shared" si="6"/>
        <v>3773.5218798466999</v>
      </c>
      <c r="N23">
        <f t="shared" si="7"/>
        <v>2898.4599834738251</v>
      </c>
      <c r="O23">
        <f t="shared" si="8"/>
        <v>28987.068379783002</v>
      </c>
      <c r="P23">
        <f t="shared" si="9"/>
        <v>32133.421258031445</v>
      </c>
      <c r="Q23">
        <f>'파라메터 UFC 비교 차트'!Q15*0.3048</f>
        <v>1.9289478312000001</v>
      </c>
      <c r="R23">
        <f t="shared" si="10"/>
        <v>3.1579454688408433</v>
      </c>
      <c r="S23">
        <f t="shared" si="11"/>
        <v>6.1642428602905746</v>
      </c>
    </row>
    <row r="24" spans="1:19" x14ac:dyDescent="0.3">
      <c r="A24" s="107"/>
      <c r="B24">
        <f>B16</f>
        <v>328.084</v>
      </c>
      <c r="C24">
        <f t="shared" ref="C24:D24" si="20">C16</f>
        <v>220.46230000000003</v>
      </c>
      <c r="D24">
        <f t="shared" si="20"/>
        <v>54.309225148838152</v>
      </c>
      <c r="E24">
        <f t="shared" si="14"/>
        <v>4.0219592798763006</v>
      </c>
      <c r="F24">
        <f t="shared" si="15"/>
        <v>46.346140201919965</v>
      </c>
      <c r="G24">
        <f t="shared" si="16"/>
        <v>8.1374955807080003</v>
      </c>
      <c r="H24">
        <f t="shared" si="17"/>
        <v>82.315314665481566</v>
      </c>
      <c r="I24">
        <f>'파라메터 UFC 비교 차트'!I16*0.3048</f>
        <v>0.34618178160000002</v>
      </c>
      <c r="J24">
        <f t="shared" si="18"/>
        <v>257.49772200790039</v>
      </c>
      <c r="K24">
        <f t="shared" si="19"/>
        <v>24.374185950327796</v>
      </c>
      <c r="M24">
        <f t="shared" si="6"/>
        <v>5.5254162017823001</v>
      </c>
      <c r="N24">
        <f t="shared" si="7"/>
        <v>68.001243040352335</v>
      </c>
      <c r="O24">
        <f t="shared" si="8"/>
        <v>11.274630699978999</v>
      </c>
      <c r="P24">
        <f t="shared" si="9"/>
        <v>123.12813941809461</v>
      </c>
      <c r="Q24">
        <f>'파라메터 UFC 비교 차트'!Q16*0.3048</f>
        <v>0.34796790960000001</v>
      </c>
      <c r="R24">
        <f t="shared" si="10"/>
        <v>252.24594710928352</v>
      </c>
      <c r="S24">
        <f t="shared" si="11"/>
        <v>28.124449197019636</v>
      </c>
    </row>
    <row r="25" spans="1:19" x14ac:dyDescent="0.3">
      <c r="A25" s="107"/>
      <c r="B25">
        <f t="shared" ref="B25:D25" si="21">B17</f>
        <v>328.084</v>
      </c>
      <c r="C25">
        <f t="shared" si="21"/>
        <v>2204.623</v>
      </c>
      <c r="D25">
        <f t="shared" si="21"/>
        <v>25.208109301300958</v>
      </c>
      <c r="E25">
        <f t="shared" si="14"/>
        <v>11.090347634883001</v>
      </c>
      <c r="F25">
        <f t="shared" si="15"/>
        <v>211.29417381544846</v>
      </c>
      <c r="G25">
        <f t="shared" si="16"/>
        <v>23.311414733494999</v>
      </c>
      <c r="H25">
        <f t="shared" si="17"/>
        <v>397.11821419240295</v>
      </c>
      <c r="I25">
        <f>'파라메터 UFC 비교 차트'!I17*0.3048</f>
        <v>0.35575402560000002</v>
      </c>
      <c r="J25">
        <f t="shared" si="18"/>
        <v>227.23753143455207</v>
      </c>
      <c r="K25">
        <f t="shared" si="19"/>
        <v>41.996248849863754</v>
      </c>
      <c r="M25">
        <f t="shared" si="6"/>
        <v>14.807662766190003</v>
      </c>
      <c r="N25">
        <f t="shared" si="7"/>
        <v>309.82219349347139</v>
      </c>
      <c r="O25">
        <f t="shared" si="8"/>
        <v>31.544623330876998</v>
      </c>
      <c r="P25">
        <f t="shared" si="9"/>
        <v>593.27438708287991</v>
      </c>
      <c r="Q25">
        <f>'파라메터 UFC 비교 차트'!Q17*0.3048</f>
        <v>0.36085973040000002</v>
      </c>
      <c r="R25">
        <f t="shared" si="10"/>
        <v>216.34942755340001</v>
      </c>
      <c r="S25">
        <f t="shared" si="11"/>
        <v>47.8757312375552</v>
      </c>
    </row>
    <row r="27" spans="1:19" x14ac:dyDescent="0.3">
      <c r="E27" s="41">
        <f>(E4-E20)/E20</f>
        <v>-1.7388154862473773E-4</v>
      </c>
      <c r="F27" s="41">
        <f t="shared" ref="F27:K27" si="22">(F4-F20)/F20</f>
        <v>-3.0999866389295294E-5</v>
      </c>
      <c r="G27" s="41">
        <f t="shared" si="22"/>
        <v>-2.4738437077051511E-4</v>
      </c>
      <c r="H27" s="41">
        <f t="shared" si="22"/>
        <v>-6.2531715432116559E-5</v>
      </c>
      <c r="I27" s="41">
        <f t="shared" si="22"/>
        <v>3.8203126988460251E-3</v>
      </c>
      <c r="J27" s="41">
        <f t="shared" si="22"/>
        <v>1.3061076269159786E-4</v>
      </c>
      <c r="K27" s="41">
        <f t="shared" si="22"/>
        <v>2.6622594234402763E-5</v>
      </c>
      <c r="M27" s="41">
        <f>(M4-M20)/M20</f>
        <v>-5.9447009876181411E-5</v>
      </c>
      <c r="N27" s="41">
        <f t="shared" ref="N27:S27" si="23">(N4-N20)/N20</f>
        <v>5.5360836900402756E-4</v>
      </c>
      <c r="O27" s="41">
        <f t="shared" si="23"/>
        <v>-1.129978029922481E-4</v>
      </c>
      <c r="P27" s="41">
        <f t="shared" si="23"/>
        <v>-5.5725118092554156E-6</v>
      </c>
      <c r="Q27" s="41">
        <f t="shared" si="23"/>
        <v>-3.8754447960342379E-5</v>
      </c>
      <c r="R27" s="41">
        <f t="shared" si="23"/>
        <v>3.7288935140225671E-5</v>
      </c>
      <c r="S27" s="41">
        <f t="shared" si="23"/>
        <v>6.5637317060303002E-7</v>
      </c>
    </row>
    <row r="28" spans="1:19" x14ac:dyDescent="0.3">
      <c r="E28" s="41">
        <f t="shared" ref="E28:K28" si="24">(E5-E21)/E21</f>
        <v>-4.2212160849642655E-4</v>
      </c>
      <c r="F28" s="41">
        <f t="shared" si="24"/>
        <v>-1.6793159991338737E-4</v>
      </c>
      <c r="G28" s="41">
        <f t="shared" si="24"/>
        <v>-5.7885916351371877E-4</v>
      </c>
      <c r="H28" s="41">
        <f t="shared" si="24"/>
        <v>-2.1911734446919751E-4</v>
      </c>
      <c r="I28" s="41">
        <f t="shared" si="24"/>
        <v>-2.0030314678207199E-4</v>
      </c>
      <c r="J28" s="41">
        <f t="shared" si="24"/>
        <v>3.4143477349389204E-4</v>
      </c>
      <c r="K28" s="41">
        <f t="shared" si="24"/>
        <v>-6.9561925780560902E-5</v>
      </c>
      <c r="M28" s="41">
        <f t="shared" ref="M28:S28" si="25">(M5-M21)/M21</f>
        <v>-3.7064344994368539E-5</v>
      </c>
      <c r="N28" s="41">
        <f t="shared" si="25"/>
        <v>6.0335338014057228E-3</v>
      </c>
      <c r="O28" s="41">
        <f t="shared" si="25"/>
        <v>-7.1436466569735414E-5</v>
      </c>
      <c r="P28" s="41">
        <f t="shared" si="25"/>
        <v>-1.6807047885898152E-5</v>
      </c>
      <c r="Q28" s="41">
        <f t="shared" si="25"/>
        <v>-8.1191222213589925E-5</v>
      </c>
      <c r="R28" s="41">
        <f t="shared" si="25"/>
        <v>1.8679427635131677E-5</v>
      </c>
      <c r="S28" s="41">
        <f t="shared" si="25"/>
        <v>-2.0658295683110019E-4</v>
      </c>
    </row>
    <row r="29" spans="1:19" x14ac:dyDescent="0.3">
      <c r="E29" s="41">
        <f t="shared" ref="E29:K29" si="26">(E6-E22)/E22</f>
        <v>4.929230726354008E-5</v>
      </c>
      <c r="F29" s="41">
        <f t="shared" si="26"/>
        <v>2.1512804019145721E-4</v>
      </c>
      <c r="G29" s="41">
        <f t="shared" si="26"/>
        <v>8.4593007253405377E-5</v>
      </c>
      <c r="H29" s="41">
        <f t="shared" si="26"/>
        <v>-2.3382909072789015E-5</v>
      </c>
      <c r="I29" s="41">
        <f t="shared" si="26"/>
        <v>-1.3654877922375633E-5</v>
      </c>
      <c r="J29" s="41">
        <f t="shared" si="26"/>
        <v>-2.2496073373051188E-5</v>
      </c>
      <c r="K29" s="41">
        <f t="shared" si="26"/>
        <v>2.7410542762421199E-4</v>
      </c>
      <c r="M29" s="41">
        <f t="shared" ref="M29:S29" si="27">(M6-M22)/M22</f>
        <v>8.9069822264948808E-5</v>
      </c>
      <c r="N29" s="41">
        <f t="shared" si="27"/>
        <v>1.8044322271253799E-2</v>
      </c>
      <c r="O29" s="41">
        <f t="shared" si="27"/>
        <v>1.453616719071223E-4</v>
      </c>
      <c r="P29" s="41">
        <f t="shared" si="27"/>
        <v>-2.2691020532989903E-5</v>
      </c>
      <c r="Q29" s="41">
        <f t="shared" si="27"/>
        <v>1.7463550783927312E-5</v>
      </c>
      <c r="R29" s="41">
        <f t="shared" si="27"/>
        <v>-3.4701926833259607E-5</v>
      </c>
      <c r="S29" s="41">
        <f t="shared" si="27"/>
        <v>9.7414356932830435E-3</v>
      </c>
    </row>
    <row r="30" spans="1:19" x14ac:dyDescent="0.3">
      <c r="E30" s="41">
        <f t="shared" ref="E30:K30" si="28">(E7-E23)/E23</f>
        <v>9.2229308619173268E-5</v>
      </c>
      <c r="F30" s="41">
        <f t="shared" si="28"/>
        <v>-2.1737403941236044E-4</v>
      </c>
      <c r="G30" s="41">
        <f t="shared" si="28"/>
        <v>1.4747018108576484E-4</v>
      </c>
      <c r="H30" s="41">
        <f t="shared" si="28"/>
        <v>-3.0376577009186869E-5</v>
      </c>
      <c r="I30" s="41">
        <f t="shared" si="28"/>
        <v>-2.0005855670506527E-4</v>
      </c>
      <c r="J30" s="41">
        <f t="shared" si="28"/>
        <v>-4.8060748987879019E-5</v>
      </c>
      <c r="K30" s="41">
        <f t="shared" si="28"/>
        <v>-2.7064114647998224E-4</v>
      </c>
      <c r="M30" s="41">
        <f t="shared" ref="M30:S30" si="29">(M7-M23)/M23</f>
        <v>6.9472728391451106E-5</v>
      </c>
      <c r="N30" s="41">
        <f t="shared" si="29"/>
        <v>-1.6772954750759065E-4</v>
      </c>
      <c r="O30" s="41">
        <f t="shared" si="29"/>
        <v>9.3849825742271667E-5</v>
      </c>
      <c r="P30" s="41">
        <f t="shared" si="29"/>
        <v>-1.9853523049636163E-5</v>
      </c>
      <c r="Q30" s="41">
        <f t="shared" si="29"/>
        <v>3.0132173371320974E-5</v>
      </c>
      <c r="R30" s="41">
        <f t="shared" si="29"/>
        <v>-2.8603179841057709E-5</v>
      </c>
      <c r="S30" s="41">
        <f t="shared" si="29"/>
        <v>-3.5108039035778275E-4</v>
      </c>
    </row>
    <row r="31" spans="1:19" x14ac:dyDescent="0.3">
      <c r="E31" s="41">
        <f t="shared" ref="E31:K31" si="30">(E8-E24)/E24</f>
        <v>2.8201553562177914E-5</v>
      </c>
      <c r="F31" s="41">
        <f t="shared" si="30"/>
        <v>6.7919936517197776E-6</v>
      </c>
      <c r="G31" s="41">
        <f t="shared" si="30"/>
        <v>8.0427773970768288E-6</v>
      </c>
      <c r="H31" s="41">
        <f t="shared" si="30"/>
        <v>3.3298822242450013E-6</v>
      </c>
      <c r="I31" s="41">
        <f>(I8-I24)/I24</f>
        <v>0.69090655798903233</v>
      </c>
      <c r="J31" s="41">
        <f t="shared" si="30"/>
        <v>1.2015892136898935E-6</v>
      </c>
      <c r="K31" s="41">
        <f t="shared" si="30"/>
        <v>4.0718510483208555E-6</v>
      </c>
      <c r="M31" s="41">
        <f t="shared" ref="M31:S31" si="31">(M8-M24)/M24</f>
        <v>1.9313478424645812E-6</v>
      </c>
      <c r="N31" s="41">
        <f t="shared" si="31"/>
        <v>7.3682584592551599E-3</v>
      </c>
      <c r="O31" s="41">
        <f t="shared" si="31"/>
        <v>3.5689409623670477E-6</v>
      </c>
      <c r="P31" s="41">
        <f t="shared" si="31"/>
        <v>2.5951916878427196E-6</v>
      </c>
      <c r="Q31" s="41">
        <f t="shared" si="31"/>
        <v>-9.722699753417829E-6</v>
      </c>
      <c r="R31" s="41">
        <f t="shared" si="31"/>
        <v>-1.6815071816127024E-6</v>
      </c>
      <c r="S31" s="41">
        <f t="shared" si="31"/>
        <v>7.837493280735633E-6</v>
      </c>
    </row>
    <row r="32" spans="1:19" x14ac:dyDescent="0.3">
      <c r="E32" s="41">
        <f t="shared" ref="E32:K32" si="32">(E9-E25)/E25</f>
        <v>6.6717364270885501E-5</v>
      </c>
      <c r="F32" s="41">
        <f t="shared" si="32"/>
        <v>7.7155068609618586E-5</v>
      </c>
      <c r="G32" s="41">
        <f t="shared" si="32"/>
        <v>6.9479616666526684E-5</v>
      </c>
      <c r="H32" s="41">
        <f t="shared" si="32"/>
        <v>7.7357751899681702E-5</v>
      </c>
      <c r="I32" s="41">
        <f t="shared" si="32"/>
        <v>5.2079172642379865E-2</v>
      </c>
      <c r="J32" s="41">
        <f t="shared" si="32"/>
        <v>-6.005093581316176E-5</v>
      </c>
      <c r="K32" s="41">
        <f t="shared" si="32"/>
        <v>-2.4505615724698614E-5</v>
      </c>
      <c r="M32" s="41">
        <f t="shared" ref="M32:S32" si="33">(M9-M25)/M25</f>
        <v>-1.7979865397741323E-5</v>
      </c>
      <c r="N32" s="41">
        <f t="shared" si="33"/>
        <v>9.775937879826376E-4</v>
      </c>
      <c r="O32" s="41">
        <f t="shared" si="33"/>
        <v>-1.9266015375350246E-5</v>
      </c>
      <c r="P32" s="41">
        <f t="shared" si="33"/>
        <v>-2.1752427682226822E-7</v>
      </c>
      <c r="Q32" s="41">
        <f t="shared" si="33"/>
        <v>-9.6710387107778704E-6</v>
      </c>
      <c r="R32" s="41">
        <f t="shared" si="33"/>
        <v>1.0885110621728818E-5</v>
      </c>
      <c r="S32" s="41">
        <f t="shared" si="33"/>
        <v>-6.7371120349201379E-7</v>
      </c>
    </row>
  </sheetData>
  <mergeCells count="4">
    <mergeCell ref="E2:K2"/>
    <mergeCell ref="A3:A9"/>
    <mergeCell ref="A11:A25"/>
    <mergeCell ref="M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폭압 파라메터 산정</vt:lpstr>
      <vt:lpstr>하중계산</vt:lpstr>
      <vt:lpstr>Graph</vt:lpstr>
      <vt:lpstr>파라메터 UFC 비교 차트</vt:lpstr>
      <vt:lpstr>'폭압 파라메터 산정'!Print_Area</vt:lpstr>
      <vt:lpstr>하중계산!Print_Area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joshua</cp:lastModifiedBy>
  <cp:lastPrinted>2016-07-06T08:20:46Z</cp:lastPrinted>
  <dcterms:created xsi:type="dcterms:W3CDTF">2011-08-02T11:50:17Z</dcterms:created>
  <dcterms:modified xsi:type="dcterms:W3CDTF">2017-05-25T01:16:36Z</dcterms:modified>
</cp:coreProperties>
</file>