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 windowWidth="17100" windowHeight="10875"/>
  </bookViews>
  <sheets>
    <sheet name="Summary" sheetId="5" r:id="rId1"/>
    <sheet name="Methodology" sheetId="6" r:id="rId2"/>
    <sheet name="Calculations" sheetId="4" r:id="rId3"/>
  </sheets>
  <calcPr calcId="145621"/>
</workbook>
</file>

<file path=xl/calcChain.xml><?xml version="1.0" encoding="utf-8"?>
<calcChain xmlns="http://schemas.openxmlformats.org/spreadsheetml/2006/main">
  <c r="BE26" i="4" l="1"/>
  <c r="BE27" i="4"/>
  <c r="BE28" i="4"/>
  <c r="BE29" i="4"/>
  <c r="BE30" i="4"/>
  <c r="BE31" i="4"/>
  <c r="BE32" i="4"/>
  <c r="BE33" i="4"/>
  <c r="BE34" i="4"/>
  <c r="BE35" i="4"/>
  <c r="BE36" i="4"/>
  <c r="BE37" i="4"/>
  <c r="BE38" i="4"/>
  <c r="BE39" i="4"/>
  <c r="BE40" i="4"/>
  <c r="BE41" i="4"/>
  <c r="BE42" i="4"/>
  <c r="BE43" i="4"/>
  <c r="BE44" i="4"/>
  <c r="BE45" i="4"/>
  <c r="BE46" i="4"/>
  <c r="BE47" i="4"/>
  <c r="BE48" i="4"/>
  <c r="BE49" i="4"/>
  <c r="BE50" i="4"/>
  <c r="BE51" i="4"/>
  <c r="BE52" i="4"/>
  <c r="BE10" i="4"/>
  <c r="BE11" i="4"/>
  <c r="BE12" i="4"/>
  <c r="BE13" i="4"/>
  <c r="BE14" i="4"/>
  <c r="BE15" i="4"/>
  <c r="BE16" i="4"/>
  <c r="BE17" i="4"/>
  <c r="BE18" i="4"/>
  <c r="BE19" i="4"/>
  <c r="BE20" i="4"/>
  <c r="BE21" i="4"/>
  <c r="BE22" i="4"/>
  <c r="BE23" i="4"/>
  <c r="BE24" i="4"/>
  <c r="BE25" i="4"/>
  <c r="BE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9" i="4"/>
  <c r="F54" i="5"/>
  <c r="E54" i="5"/>
  <c r="F55" i="5" l="1"/>
  <c r="E55" i="5"/>
  <c r="D3" i="6"/>
  <c r="D2" i="6"/>
  <c r="D1" i="6"/>
  <c r="X9" i="4" l="1"/>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V10" i="4"/>
  <c r="Y10" i="4" s="1"/>
  <c r="V11" i="4"/>
  <c r="Y11" i="4" s="1"/>
  <c r="V12" i="4"/>
  <c r="Y12" i="4" s="1"/>
  <c r="V13" i="4"/>
  <c r="Y13" i="4" s="1"/>
  <c r="V14" i="4"/>
  <c r="Y14" i="4" s="1"/>
  <c r="V15" i="4"/>
  <c r="Y15" i="4" s="1"/>
  <c r="V16" i="4"/>
  <c r="Y16" i="4" s="1"/>
  <c r="V17" i="4"/>
  <c r="Y17" i="4" s="1"/>
  <c r="V18" i="4"/>
  <c r="Y18" i="4" s="1"/>
  <c r="V19" i="4"/>
  <c r="Y19" i="4" s="1"/>
  <c r="V20" i="4"/>
  <c r="Y20" i="4" s="1"/>
  <c r="V21" i="4"/>
  <c r="Y21" i="4" s="1"/>
  <c r="V22" i="4"/>
  <c r="Y22" i="4" s="1"/>
  <c r="V23" i="4"/>
  <c r="Y23" i="4" s="1"/>
  <c r="V24" i="4"/>
  <c r="Y24" i="4" s="1"/>
  <c r="V25" i="4"/>
  <c r="Y25" i="4" s="1"/>
  <c r="V26" i="4"/>
  <c r="Y26" i="4" s="1"/>
  <c r="V27" i="4"/>
  <c r="Y27" i="4" s="1"/>
  <c r="V28" i="4"/>
  <c r="Y28" i="4" s="1"/>
  <c r="V29" i="4"/>
  <c r="Y29" i="4" s="1"/>
  <c r="V30" i="4"/>
  <c r="Y30" i="4" s="1"/>
  <c r="V31" i="4"/>
  <c r="Y31" i="4" s="1"/>
  <c r="V32" i="4"/>
  <c r="Y32" i="4" s="1"/>
  <c r="V33" i="4"/>
  <c r="Y33" i="4" s="1"/>
  <c r="V34" i="4"/>
  <c r="Y34" i="4" s="1"/>
  <c r="V35" i="4"/>
  <c r="Y35" i="4" s="1"/>
  <c r="V36" i="4"/>
  <c r="Y36" i="4" s="1"/>
  <c r="V37" i="4"/>
  <c r="Y37" i="4" s="1"/>
  <c r="V38" i="4"/>
  <c r="Y38" i="4" s="1"/>
  <c r="V39" i="4"/>
  <c r="Y39" i="4" s="1"/>
  <c r="V40" i="4"/>
  <c r="Y40" i="4" s="1"/>
  <c r="V41" i="4"/>
  <c r="Y41" i="4" s="1"/>
  <c r="V42" i="4"/>
  <c r="Y42" i="4" s="1"/>
  <c r="V43" i="4"/>
  <c r="Y43" i="4" s="1"/>
  <c r="V44" i="4"/>
  <c r="Y44" i="4" s="1"/>
  <c r="V45" i="4"/>
  <c r="Y45" i="4" s="1"/>
  <c r="V46" i="4"/>
  <c r="Y46" i="4" s="1"/>
  <c r="V47" i="4"/>
  <c r="Y47" i="4" s="1"/>
  <c r="V48" i="4"/>
  <c r="Y48" i="4" s="1"/>
  <c r="V49" i="4"/>
  <c r="Y49" i="4" s="1"/>
  <c r="V50" i="4"/>
  <c r="Y50" i="4" s="1"/>
  <c r="V51" i="4"/>
  <c r="Y51" i="4" s="1"/>
  <c r="V52" i="4"/>
  <c r="Y52" i="4" s="1"/>
  <c r="V9" i="4"/>
  <c r="Y9" i="4" s="1"/>
  <c r="BA18" i="4"/>
  <c r="BA21" i="4"/>
  <c r="BA22" i="4"/>
  <c r="BA23" i="4"/>
  <c r="BA24" i="4"/>
  <c r="BA25" i="4"/>
  <c r="BA26" i="4"/>
  <c r="BA27" i="4"/>
  <c r="BA28" i="4"/>
  <c r="BA29" i="4"/>
  <c r="BA30" i="4"/>
  <c r="BA31" i="4"/>
  <c r="BA32" i="4"/>
  <c r="BA33" i="4"/>
  <c r="BA34" i="4"/>
  <c r="BA35" i="4"/>
  <c r="BA36" i="4"/>
  <c r="BA37" i="4"/>
  <c r="BA38" i="4"/>
  <c r="BA42" i="4"/>
  <c r="BA43" i="4"/>
  <c r="BA44" i="4"/>
  <c r="BA45" i="4"/>
  <c r="BA46" i="4"/>
  <c r="BA47" i="4"/>
  <c r="BA52" i="4"/>
  <c r="BA53" i="4"/>
  <c r="BA54" i="4"/>
  <c r="H18" i="5" l="1"/>
  <c r="H58" i="5" s="1"/>
  <c r="H16" i="5"/>
  <c r="H56" i="5" s="1"/>
  <c r="E14" i="5"/>
  <c r="F14" i="5"/>
  <c r="E15" i="5"/>
  <c r="F15" i="5"/>
  <c r="D19" i="5"/>
  <c r="D22" i="5"/>
  <c r="D23" i="5"/>
  <c r="D24" i="5"/>
  <c r="D25" i="5"/>
  <c r="D26" i="5"/>
  <c r="D27" i="5"/>
  <c r="D28" i="5"/>
  <c r="D29" i="5"/>
  <c r="D30" i="5"/>
  <c r="D31" i="5"/>
  <c r="D32" i="5"/>
  <c r="D33" i="5"/>
  <c r="D34" i="5"/>
  <c r="D35" i="5"/>
  <c r="D36" i="5"/>
  <c r="AU18" i="4"/>
  <c r="AU17" i="4"/>
  <c r="AU16" i="4"/>
  <c r="AU15" i="4"/>
  <c r="AU12" i="4"/>
  <c r="AU11" i="4"/>
  <c r="AU10" i="4"/>
  <c r="AU9" i="4"/>
  <c r="AQ10" i="4"/>
  <c r="H11" i="5"/>
  <c r="H51" i="5" s="1"/>
  <c r="H12" i="5"/>
  <c r="H52" i="5" s="1"/>
  <c r="H13" i="5"/>
  <c r="H53" i="5" s="1"/>
  <c r="H14" i="5"/>
  <c r="H54" i="5" s="1"/>
  <c r="H15" i="5"/>
  <c r="H55" i="5" s="1"/>
  <c r="H17" i="5"/>
  <c r="H57" i="5" s="1"/>
  <c r="H19" i="5"/>
  <c r="H59" i="5" s="1"/>
  <c r="H20" i="5"/>
  <c r="H60" i="5" s="1"/>
  <c r="H21" i="5"/>
  <c r="H61" i="5" s="1"/>
  <c r="H22" i="5"/>
  <c r="H62" i="5" s="1"/>
  <c r="H23" i="5"/>
  <c r="H63" i="5" s="1"/>
  <c r="H24" i="5"/>
  <c r="H64" i="5" s="1"/>
  <c r="H25" i="5"/>
  <c r="H65" i="5" s="1"/>
  <c r="H26" i="5"/>
  <c r="H66" i="5" s="1"/>
  <c r="H27" i="5"/>
  <c r="H67" i="5" s="1"/>
  <c r="H28" i="5"/>
  <c r="H68" i="5" s="1"/>
  <c r="H29" i="5"/>
  <c r="H69" i="5" s="1"/>
  <c r="H30" i="5"/>
  <c r="H70" i="5" s="1"/>
  <c r="H31" i="5"/>
  <c r="H71" i="5" s="1"/>
  <c r="H32" i="5"/>
  <c r="H72" i="5" s="1"/>
  <c r="H33" i="5"/>
  <c r="H73" i="5" s="1"/>
  <c r="H34" i="5"/>
  <c r="H74" i="5" s="1"/>
  <c r="H35" i="5"/>
  <c r="H75" i="5" s="1"/>
  <c r="H36" i="5"/>
  <c r="H76" i="5" s="1"/>
  <c r="H10" i="5"/>
  <c r="H50" i="5" s="1"/>
  <c r="BD10" i="4"/>
  <c r="G11" i="5" s="1"/>
  <c r="G51" i="5" s="1"/>
  <c r="BF10" i="4"/>
  <c r="I11" i="5" s="1"/>
  <c r="I51" i="5" s="1"/>
  <c r="BD11" i="4"/>
  <c r="G12" i="5" s="1"/>
  <c r="G52" i="5" s="1"/>
  <c r="BF11" i="4"/>
  <c r="I12" i="5" s="1"/>
  <c r="I52" i="5" s="1"/>
  <c r="BD12" i="4"/>
  <c r="G13" i="5" s="1"/>
  <c r="G53" i="5" s="1"/>
  <c r="BF12" i="4"/>
  <c r="I13" i="5" s="1"/>
  <c r="I53" i="5" s="1"/>
  <c r="BD13" i="4"/>
  <c r="G14" i="5" s="1"/>
  <c r="G54" i="5" s="1"/>
  <c r="BF13" i="4"/>
  <c r="I14" i="5" s="1"/>
  <c r="I54" i="5" s="1"/>
  <c r="BD14" i="4"/>
  <c r="G15" i="5" s="1"/>
  <c r="G55" i="5" s="1"/>
  <c r="BF14" i="4"/>
  <c r="I15" i="5" s="1"/>
  <c r="I55" i="5" s="1"/>
  <c r="BD15" i="4"/>
  <c r="G16" i="5" s="1"/>
  <c r="G56" i="5" s="1"/>
  <c r="BF15" i="4"/>
  <c r="I16" i="5" s="1"/>
  <c r="I56" i="5" s="1"/>
  <c r="BD16" i="4"/>
  <c r="G17" i="5" s="1"/>
  <c r="G57" i="5" s="1"/>
  <c r="BF16" i="4"/>
  <c r="I17" i="5" s="1"/>
  <c r="I57" i="5" s="1"/>
  <c r="BD17" i="4"/>
  <c r="G18" i="5" s="1"/>
  <c r="G58" i="5" s="1"/>
  <c r="BF17" i="4"/>
  <c r="I18" i="5" s="1"/>
  <c r="I58" i="5" s="1"/>
  <c r="BD18" i="4"/>
  <c r="G19" i="5" s="1"/>
  <c r="G59" i="5" s="1"/>
  <c r="BF18" i="4"/>
  <c r="I19" i="5" s="1"/>
  <c r="I59" i="5" s="1"/>
  <c r="BD19" i="4"/>
  <c r="G20" i="5" s="1"/>
  <c r="G60" i="5" s="1"/>
  <c r="BF19" i="4"/>
  <c r="I20" i="5" s="1"/>
  <c r="I60" i="5" s="1"/>
  <c r="BD20" i="4"/>
  <c r="G21" i="5" s="1"/>
  <c r="G61" i="5" s="1"/>
  <c r="BF20" i="4"/>
  <c r="I21" i="5" s="1"/>
  <c r="I61" i="5" s="1"/>
  <c r="BD21" i="4"/>
  <c r="G22" i="5" s="1"/>
  <c r="G62" i="5" s="1"/>
  <c r="BF21" i="4"/>
  <c r="I22" i="5" s="1"/>
  <c r="I62" i="5" s="1"/>
  <c r="BD22" i="4"/>
  <c r="G23" i="5" s="1"/>
  <c r="G63" i="5" s="1"/>
  <c r="BF22" i="4"/>
  <c r="I23" i="5" s="1"/>
  <c r="I63" i="5" s="1"/>
  <c r="BD23" i="4"/>
  <c r="G24" i="5" s="1"/>
  <c r="G64" i="5" s="1"/>
  <c r="BF23" i="4"/>
  <c r="I24" i="5" s="1"/>
  <c r="I64" i="5" s="1"/>
  <c r="BD24" i="4"/>
  <c r="G25" i="5" s="1"/>
  <c r="G65" i="5" s="1"/>
  <c r="BF24" i="4"/>
  <c r="I25" i="5" s="1"/>
  <c r="I65" i="5" s="1"/>
  <c r="BD25" i="4"/>
  <c r="G26" i="5" s="1"/>
  <c r="G66" i="5" s="1"/>
  <c r="BF25" i="4"/>
  <c r="I26" i="5" s="1"/>
  <c r="I66" i="5" s="1"/>
  <c r="BD26" i="4"/>
  <c r="G27" i="5" s="1"/>
  <c r="G67" i="5" s="1"/>
  <c r="BF26" i="4"/>
  <c r="I27" i="5" s="1"/>
  <c r="I67" i="5" s="1"/>
  <c r="BD27" i="4"/>
  <c r="G28" i="5" s="1"/>
  <c r="G68" i="5" s="1"/>
  <c r="BF27" i="4"/>
  <c r="I28" i="5" s="1"/>
  <c r="I68" i="5" s="1"/>
  <c r="BD28" i="4"/>
  <c r="G29" i="5" s="1"/>
  <c r="G69" i="5" s="1"/>
  <c r="BF28" i="4"/>
  <c r="I29" i="5" s="1"/>
  <c r="I69" i="5" s="1"/>
  <c r="BD29" i="4"/>
  <c r="G30" i="5" s="1"/>
  <c r="G70" i="5" s="1"/>
  <c r="BF29" i="4"/>
  <c r="I30" i="5" s="1"/>
  <c r="I70" i="5" s="1"/>
  <c r="BD30" i="4"/>
  <c r="G31" i="5" s="1"/>
  <c r="G71" i="5" s="1"/>
  <c r="BF30" i="4"/>
  <c r="I31" i="5" s="1"/>
  <c r="I71" i="5" s="1"/>
  <c r="BD31" i="4"/>
  <c r="G32" i="5" s="1"/>
  <c r="G72" i="5" s="1"/>
  <c r="BF31" i="4"/>
  <c r="I32" i="5" s="1"/>
  <c r="I72" i="5" s="1"/>
  <c r="BD32" i="4"/>
  <c r="G33" i="5" s="1"/>
  <c r="G73" i="5" s="1"/>
  <c r="BF32" i="4"/>
  <c r="I33" i="5" s="1"/>
  <c r="I73" i="5" s="1"/>
  <c r="BD33" i="4"/>
  <c r="G34" i="5" s="1"/>
  <c r="G74" i="5" s="1"/>
  <c r="BF33" i="4"/>
  <c r="I34" i="5" s="1"/>
  <c r="I74" i="5" s="1"/>
  <c r="BD34" i="4"/>
  <c r="G35" i="5" s="1"/>
  <c r="G75" i="5" s="1"/>
  <c r="BF34" i="4"/>
  <c r="I35" i="5" s="1"/>
  <c r="I75" i="5" s="1"/>
  <c r="BD35" i="4"/>
  <c r="G36" i="5" s="1"/>
  <c r="G76" i="5" s="1"/>
  <c r="BF35" i="4"/>
  <c r="I36" i="5" s="1"/>
  <c r="I76" i="5" s="1"/>
  <c r="BD36" i="4"/>
  <c r="BF36" i="4"/>
  <c r="BD37" i="4"/>
  <c r="BF37" i="4"/>
  <c r="BD38" i="4"/>
  <c r="BF38" i="4"/>
  <c r="BD39" i="4"/>
  <c r="BD41" i="4"/>
  <c r="BD42" i="4"/>
  <c r="BF42" i="4"/>
  <c r="BD48" i="4"/>
  <c r="BD49" i="4"/>
  <c r="BF49" i="4"/>
  <c r="BD50" i="4"/>
  <c r="BF50" i="4"/>
  <c r="BD51" i="4"/>
  <c r="BF51" i="4"/>
  <c r="BD52" i="4"/>
  <c r="BF52" i="4"/>
  <c r="BF9" i="4"/>
  <c r="I10" i="5" s="1"/>
  <c r="I50" i="5" s="1"/>
  <c r="BD9" i="4"/>
  <c r="G10" i="5" s="1"/>
  <c r="G50" i="5" s="1"/>
  <c r="AQ52" i="4"/>
  <c r="Q52" i="4"/>
  <c r="BC52" i="4" s="1"/>
  <c r="P52" i="4"/>
  <c r="BB52" i="4" s="1"/>
  <c r="AR51" i="4"/>
  <c r="E51" i="4" s="1"/>
  <c r="AQ51" i="4"/>
  <c r="Q51" i="4"/>
  <c r="BC51" i="4" s="1"/>
  <c r="P51" i="4"/>
  <c r="BB51" i="4" s="1"/>
  <c r="L51" i="4"/>
  <c r="BA51" i="4" s="1"/>
  <c r="H51" i="4"/>
  <c r="F51" i="4"/>
  <c r="C51" i="4"/>
  <c r="AZ51" i="4" s="1"/>
  <c r="B51" i="4"/>
  <c r="AY51" i="4" s="1"/>
  <c r="BB47" i="4"/>
  <c r="N20" i="4"/>
  <c r="M20" i="4"/>
  <c r="N19" i="4"/>
  <c r="M19" i="4"/>
  <c r="B13" i="4"/>
  <c r="AY13" i="4" s="1"/>
  <c r="B14" i="5" s="1"/>
  <c r="B54" i="5" s="1"/>
  <c r="C13" i="4"/>
  <c r="AZ13" i="4" s="1"/>
  <c r="C14" i="5" s="1"/>
  <c r="C54" i="5" s="1"/>
  <c r="H13" i="4"/>
  <c r="L13" i="4"/>
  <c r="BA13" i="4" s="1"/>
  <c r="D14" i="5" s="1"/>
  <c r="D54" i="5" s="1"/>
  <c r="AQ13" i="4"/>
  <c r="AR13" i="4"/>
  <c r="E13" i="4" s="1"/>
  <c r="C44" i="4"/>
  <c r="AZ44" i="4" s="1"/>
  <c r="B44" i="4"/>
  <c r="AY44" i="4" s="1"/>
  <c r="H133" i="5" l="1"/>
  <c r="H92" i="5"/>
  <c r="I131" i="5"/>
  <c r="I90" i="5"/>
  <c r="I157" i="5"/>
  <c r="I116" i="5"/>
  <c r="G157" i="5"/>
  <c r="G116" i="5"/>
  <c r="I156" i="5"/>
  <c r="I115" i="5"/>
  <c r="G156" i="5"/>
  <c r="G115" i="5"/>
  <c r="I155" i="5"/>
  <c r="I114" i="5"/>
  <c r="G155" i="5"/>
  <c r="G114" i="5"/>
  <c r="H154" i="5"/>
  <c r="H113" i="5"/>
  <c r="H153" i="5"/>
  <c r="H112" i="5"/>
  <c r="H152" i="5"/>
  <c r="H111" i="5"/>
  <c r="G151" i="5"/>
  <c r="G110" i="5"/>
  <c r="I150" i="5"/>
  <c r="I109" i="5"/>
  <c r="G150" i="5"/>
  <c r="G109" i="5"/>
  <c r="I149" i="5"/>
  <c r="I108" i="5"/>
  <c r="G149" i="5"/>
  <c r="G108" i="5"/>
  <c r="I148" i="5"/>
  <c r="I107" i="5"/>
  <c r="G148" i="5"/>
  <c r="G107" i="5"/>
  <c r="I147" i="5"/>
  <c r="I106" i="5"/>
  <c r="G147" i="5"/>
  <c r="G106" i="5"/>
  <c r="I146" i="5"/>
  <c r="I105" i="5"/>
  <c r="G146" i="5"/>
  <c r="G105" i="5"/>
  <c r="I145" i="5"/>
  <c r="I104" i="5"/>
  <c r="G145" i="5"/>
  <c r="G104" i="5"/>
  <c r="I144" i="5"/>
  <c r="I103" i="5"/>
  <c r="G144" i="5"/>
  <c r="G103" i="5"/>
  <c r="I143" i="5"/>
  <c r="I102" i="5"/>
  <c r="G143" i="5"/>
  <c r="G102" i="5"/>
  <c r="I142" i="5"/>
  <c r="I101" i="5"/>
  <c r="G142" i="5"/>
  <c r="G101" i="5"/>
  <c r="I141" i="5"/>
  <c r="I100" i="5"/>
  <c r="G141" i="5"/>
  <c r="G100" i="5"/>
  <c r="I140" i="5"/>
  <c r="I99" i="5"/>
  <c r="G140" i="5"/>
  <c r="G99" i="5"/>
  <c r="I139" i="5"/>
  <c r="I98" i="5"/>
  <c r="G139" i="5"/>
  <c r="G98" i="5"/>
  <c r="I138" i="5"/>
  <c r="I97" i="5"/>
  <c r="G138" i="5"/>
  <c r="G97" i="5"/>
  <c r="I137" i="5"/>
  <c r="I96" i="5"/>
  <c r="G137" i="5"/>
  <c r="G96" i="5"/>
  <c r="H136" i="5"/>
  <c r="H95" i="5"/>
  <c r="H135" i="5"/>
  <c r="H94" i="5"/>
  <c r="H134" i="5"/>
  <c r="H93" i="5"/>
  <c r="G133" i="5"/>
  <c r="G92" i="5"/>
  <c r="I132" i="5"/>
  <c r="I91" i="5"/>
  <c r="H131" i="5"/>
  <c r="H90" i="5"/>
  <c r="H132" i="5"/>
  <c r="H91" i="5"/>
  <c r="G131" i="5"/>
  <c r="G90" i="5"/>
  <c r="H157" i="5"/>
  <c r="H116" i="5"/>
  <c r="H156" i="5"/>
  <c r="H115" i="5"/>
  <c r="H155" i="5"/>
  <c r="H114" i="5"/>
  <c r="I154" i="5"/>
  <c r="I113" i="5"/>
  <c r="G154" i="5"/>
  <c r="G113" i="5"/>
  <c r="I153" i="5"/>
  <c r="I112" i="5"/>
  <c r="G153" i="5"/>
  <c r="G112" i="5"/>
  <c r="I152" i="5"/>
  <c r="I111" i="5"/>
  <c r="G152" i="5"/>
  <c r="G111" i="5"/>
  <c r="H151" i="5"/>
  <c r="H110" i="5"/>
  <c r="H150" i="5"/>
  <c r="H109" i="5"/>
  <c r="H149" i="5"/>
  <c r="H108" i="5"/>
  <c r="H148" i="5"/>
  <c r="H107" i="5"/>
  <c r="H147" i="5"/>
  <c r="H106" i="5"/>
  <c r="H146" i="5"/>
  <c r="H105" i="5"/>
  <c r="H145" i="5"/>
  <c r="H104" i="5"/>
  <c r="H144" i="5"/>
  <c r="H103" i="5"/>
  <c r="H143" i="5"/>
  <c r="H102" i="5"/>
  <c r="H142" i="5"/>
  <c r="H101" i="5"/>
  <c r="H141" i="5"/>
  <c r="H100" i="5"/>
  <c r="H140" i="5"/>
  <c r="H99" i="5"/>
  <c r="H139" i="5"/>
  <c r="H98" i="5"/>
  <c r="H138" i="5"/>
  <c r="H97" i="5"/>
  <c r="G136" i="5"/>
  <c r="G95" i="5"/>
  <c r="I135" i="5"/>
  <c r="I94" i="5"/>
  <c r="G135" i="5"/>
  <c r="G94" i="5"/>
  <c r="I134" i="5"/>
  <c r="I93" i="5"/>
  <c r="G134" i="5"/>
  <c r="G93" i="5"/>
  <c r="I133" i="5"/>
  <c r="I92" i="5"/>
  <c r="G132" i="5"/>
  <c r="G91" i="5"/>
  <c r="F136" i="5"/>
  <c r="F95" i="5"/>
  <c r="E135" i="5"/>
  <c r="E94" i="5"/>
  <c r="C135" i="5"/>
  <c r="C94" i="5"/>
  <c r="I110" i="5"/>
  <c r="I151" i="5"/>
  <c r="E136" i="5"/>
  <c r="E95" i="5"/>
  <c r="F135" i="5"/>
  <c r="F94" i="5"/>
  <c r="D135" i="5"/>
  <c r="D94" i="5"/>
  <c r="B135" i="5"/>
  <c r="B94" i="5"/>
  <c r="H137" i="5"/>
  <c r="H96" i="5"/>
  <c r="I136" i="5"/>
  <c r="I95" i="5"/>
  <c r="F13" i="4"/>
  <c r="AK49" i="4"/>
  <c r="AL49" i="4"/>
  <c r="AM49" i="4"/>
  <c r="AF49" i="4"/>
  <c r="P49" i="4" s="1"/>
  <c r="BB49" i="4" s="1"/>
  <c r="AE49" i="4"/>
  <c r="Q49" i="4" s="1"/>
  <c r="BC49" i="4" s="1"/>
  <c r="AG49" i="4"/>
  <c r="H49" i="4"/>
  <c r="AY49" i="4" s="1"/>
  <c r="H50" i="4"/>
  <c r="AY50" i="4" s="1"/>
  <c r="H10" i="4"/>
  <c r="H11" i="4"/>
  <c r="H12" i="4"/>
  <c r="H15" i="4"/>
  <c r="H16" i="4"/>
  <c r="H17" i="4"/>
  <c r="H39" i="4"/>
  <c r="AY39" i="4" s="1"/>
  <c r="H40" i="4"/>
  <c r="AY40" i="4" s="1"/>
  <c r="H41" i="4"/>
  <c r="AY41" i="4" s="1"/>
  <c r="H48" i="4"/>
  <c r="AY48" i="4" s="1"/>
  <c r="H14" i="4"/>
  <c r="AY14" i="4" s="1"/>
  <c r="H9" i="4"/>
  <c r="L49" i="4"/>
  <c r="BA49" i="4" s="1"/>
  <c r="L50" i="4"/>
  <c r="BA50" i="4" s="1"/>
  <c r="L10" i="4"/>
  <c r="BA10" i="4" s="1"/>
  <c r="D11" i="5" s="1"/>
  <c r="D51" i="5" s="1"/>
  <c r="D132" i="5" s="1"/>
  <c r="L11" i="4"/>
  <c r="BA11" i="4" s="1"/>
  <c r="D12" i="5" s="1"/>
  <c r="D52" i="5" s="1"/>
  <c r="D92" i="5" s="1"/>
  <c r="L12" i="4"/>
  <c r="BA12" i="4" s="1"/>
  <c r="D13" i="5" s="1"/>
  <c r="D53" i="5" s="1"/>
  <c r="D134" i="5" s="1"/>
  <c r="L15" i="4"/>
  <c r="BA15" i="4" s="1"/>
  <c r="D16" i="5" s="1"/>
  <c r="D56" i="5" s="1"/>
  <c r="D96" i="5" s="1"/>
  <c r="L16" i="4"/>
  <c r="BA16" i="4" s="1"/>
  <c r="D17" i="5" s="1"/>
  <c r="D57" i="5" s="1"/>
  <c r="D138" i="5" s="1"/>
  <c r="L17" i="4"/>
  <c r="BA17" i="4" s="1"/>
  <c r="D18" i="5" s="1"/>
  <c r="D58" i="5" s="1"/>
  <c r="L39" i="4"/>
  <c r="BA39" i="4" s="1"/>
  <c r="L40" i="4"/>
  <c r="BA40" i="4" s="1"/>
  <c r="L41" i="4"/>
  <c r="BA41" i="4" s="1"/>
  <c r="L48" i="4"/>
  <c r="BA48" i="4" s="1"/>
  <c r="L14" i="4"/>
  <c r="BA14" i="4" s="1"/>
  <c r="D15" i="5" s="1"/>
  <c r="D55" i="5" s="1"/>
  <c r="D136" i="5" s="1"/>
  <c r="L9" i="4"/>
  <c r="BA9" i="4" s="1"/>
  <c r="D10" i="5" s="1"/>
  <c r="D50" i="5" s="1"/>
  <c r="D131" i="5" s="1"/>
  <c r="Q41" i="4"/>
  <c r="BC41" i="4" s="1"/>
  <c r="Q43" i="4"/>
  <c r="BC43" i="4" s="1"/>
  <c r="Q44" i="4"/>
  <c r="BC44" i="4" s="1"/>
  <c r="Q45" i="4"/>
  <c r="BC45" i="4" s="1"/>
  <c r="Q46" i="4"/>
  <c r="BC46" i="4" s="1"/>
  <c r="Q47" i="4"/>
  <c r="BC47" i="4" s="1"/>
  <c r="Q50" i="4"/>
  <c r="BC50" i="4" s="1"/>
  <c r="Q10" i="4"/>
  <c r="BC10" i="4" s="1"/>
  <c r="F11" i="5" s="1"/>
  <c r="F51" i="5" s="1"/>
  <c r="F132" i="5" s="1"/>
  <c r="Q11" i="4"/>
  <c r="BC11" i="4" s="1"/>
  <c r="F12" i="5" s="1"/>
  <c r="F52" i="5" s="1"/>
  <c r="F92" i="5" s="1"/>
  <c r="Q12" i="4"/>
  <c r="BC12" i="4" s="1"/>
  <c r="F13" i="5" s="1"/>
  <c r="F53" i="5" s="1"/>
  <c r="F134" i="5" s="1"/>
  <c r="Q15" i="4"/>
  <c r="BC15" i="4" s="1"/>
  <c r="F16" i="5" s="1"/>
  <c r="F56" i="5" s="1"/>
  <c r="F96" i="5" s="1"/>
  <c r="Q18" i="4"/>
  <c r="BC18" i="4" s="1"/>
  <c r="F19" i="5" s="1"/>
  <c r="F59" i="5" s="1"/>
  <c r="F140" i="5" s="1"/>
  <c r="Q16" i="4"/>
  <c r="BC16" i="4" s="1"/>
  <c r="F17" i="5" s="1"/>
  <c r="F57" i="5" s="1"/>
  <c r="F138" i="5" s="1"/>
  <c r="Q17" i="4"/>
  <c r="BC17" i="4" s="1"/>
  <c r="F18" i="5" s="1"/>
  <c r="F58" i="5" s="1"/>
  <c r="F98" i="5" s="1"/>
  <c r="Q26" i="4"/>
  <c r="BC26" i="4" s="1"/>
  <c r="F27" i="5" s="1"/>
  <c r="F67" i="5" s="1"/>
  <c r="F148" i="5" s="1"/>
  <c r="Q27" i="4"/>
  <c r="BC27" i="4" s="1"/>
  <c r="F28" i="5" s="1"/>
  <c r="F68" i="5" s="1"/>
  <c r="F149" i="5" s="1"/>
  <c r="Q28" i="4"/>
  <c r="BC28" i="4" s="1"/>
  <c r="F29" i="5" s="1"/>
  <c r="F69" i="5" s="1"/>
  <c r="F150" i="5" s="1"/>
  <c r="Q29" i="4"/>
  <c r="BC29" i="4" s="1"/>
  <c r="F30" i="5" s="1"/>
  <c r="F70" i="5" s="1"/>
  <c r="F151" i="5" s="1"/>
  <c r="Q30" i="4"/>
  <c r="BC30" i="4" s="1"/>
  <c r="F31" i="5" s="1"/>
  <c r="F71" i="5" s="1"/>
  <c r="F152" i="5" s="1"/>
  <c r="Q31" i="4"/>
  <c r="BC31" i="4" s="1"/>
  <c r="F32" i="5" s="1"/>
  <c r="F72" i="5" s="1"/>
  <c r="F153" i="5" s="1"/>
  <c r="Q32" i="4"/>
  <c r="BC32" i="4" s="1"/>
  <c r="F33" i="5" s="1"/>
  <c r="F73" i="5" s="1"/>
  <c r="F154" i="5" s="1"/>
  <c r="Q33" i="4"/>
  <c r="BC33" i="4" s="1"/>
  <c r="F34" i="5" s="1"/>
  <c r="F74" i="5" s="1"/>
  <c r="F155" i="5" s="1"/>
  <c r="Q21" i="4"/>
  <c r="BC21" i="4" s="1"/>
  <c r="F22" i="5" s="1"/>
  <c r="F62" i="5" s="1"/>
  <c r="F102" i="5" s="1"/>
  <c r="Q37" i="4"/>
  <c r="BC37" i="4" s="1"/>
  <c r="Q38" i="4"/>
  <c r="BC38" i="4" s="1"/>
  <c r="Q34" i="4"/>
  <c r="BC34" i="4" s="1"/>
  <c r="F35" i="5" s="1"/>
  <c r="F75" i="5" s="1"/>
  <c r="F156" i="5" s="1"/>
  <c r="Q35" i="4"/>
  <c r="BC35" i="4" s="1"/>
  <c r="F36" i="5" s="1"/>
  <c r="F76" i="5" s="1"/>
  <c r="F157" i="5" s="1"/>
  <c r="Q36" i="4"/>
  <c r="BC36" i="4" s="1"/>
  <c r="Q22" i="4"/>
  <c r="BC22" i="4" s="1"/>
  <c r="F23" i="5" s="1"/>
  <c r="F63" i="5" s="1"/>
  <c r="F144" i="5" s="1"/>
  <c r="Q23" i="4"/>
  <c r="BC23" i="4" s="1"/>
  <c r="F24" i="5" s="1"/>
  <c r="F64" i="5" s="1"/>
  <c r="F104" i="5" s="1"/>
  <c r="Q24" i="4"/>
  <c r="BC24" i="4" s="1"/>
  <c r="F25" i="5" s="1"/>
  <c r="F65" i="5" s="1"/>
  <c r="F146" i="5" s="1"/>
  <c r="Q25" i="4"/>
  <c r="BC25" i="4" s="1"/>
  <c r="F26" i="5" s="1"/>
  <c r="F66" i="5" s="1"/>
  <c r="F106" i="5" s="1"/>
  <c r="Q42" i="4"/>
  <c r="BC42" i="4" s="1"/>
  <c r="Q20" i="4"/>
  <c r="BC20" i="4" s="1"/>
  <c r="F21" i="5" s="1"/>
  <c r="F61" i="5" s="1"/>
  <c r="F142" i="5" s="1"/>
  <c r="Q19" i="4"/>
  <c r="BC19" i="4" s="1"/>
  <c r="F20" i="5" s="1"/>
  <c r="F60" i="5" s="1"/>
  <c r="F100" i="5" s="1"/>
  <c r="P43" i="4"/>
  <c r="BB43" i="4" s="1"/>
  <c r="P44" i="4"/>
  <c r="BB44" i="4" s="1"/>
  <c r="P45" i="4"/>
  <c r="BB45" i="4" s="1"/>
  <c r="P46" i="4"/>
  <c r="BB46" i="4" s="1"/>
  <c r="P41" i="4"/>
  <c r="BB41" i="4" s="1"/>
  <c r="P50" i="4"/>
  <c r="BB50" i="4" s="1"/>
  <c r="P10" i="4"/>
  <c r="BB10" i="4" s="1"/>
  <c r="E11" i="5" s="1"/>
  <c r="E51" i="5" s="1"/>
  <c r="E91" i="5" s="1"/>
  <c r="P11" i="4"/>
  <c r="BB11" i="4" s="1"/>
  <c r="E12" i="5" s="1"/>
  <c r="E52" i="5" s="1"/>
  <c r="E133" i="5" s="1"/>
  <c r="P12" i="4"/>
  <c r="BB12" i="4" s="1"/>
  <c r="E13" i="5" s="1"/>
  <c r="E53" i="5" s="1"/>
  <c r="E93" i="5" s="1"/>
  <c r="P15" i="4"/>
  <c r="BB15" i="4" s="1"/>
  <c r="E16" i="5" s="1"/>
  <c r="E56" i="5" s="1"/>
  <c r="E137" i="5" s="1"/>
  <c r="P18" i="4"/>
  <c r="BB18" i="4" s="1"/>
  <c r="E19" i="5" s="1"/>
  <c r="E59" i="5" s="1"/>
  <c r="E99" i="5" s="1"/>
  <c r="P16" i="4"/>
  <c r="BB16" i="4" s="1"/>
  <c r="E17" i="5" s="1"/>
  <c r="E57" i="5" s="1"/>
  <c r="E97" i="5" s="1"/>
  <c r="P17" i="4"/>
  <c r="BB17" i="4" s="1"/>
  <c r="E18" i="5" s="1"/>
  <c r="E58" i="5" s="1"/>
  <c r="E139" i="5" s="1"/>
  <c r="P26" i="4"/>
  <c r="BB26" i="4" s="1"/>
  <c r="E27" i="5" s="1"/>
  <c r="E67" i="5" s="1"/>
  <c r="E148" i="5" s="1"/>
  <c r="P27" i="4"/>
  <c r="BB27" i="4" s="1"/>
  <c r="E28" i="5" s="1"/>
  <c r="E68" i="5" s="1"/>
  <c r="E149" i="5" s="1"/>
  <c r="P28" i="4"/>
  <c r="BB28" i="4" s="1"/>
  <c r="E29" i="5" s="1"/>
  <c r="E69" i="5" s="1"/>
  <c r="E150" i="5" s="1"/>
  <c r="P29" i="4"/>
  <c r="BB29" i="4" s="1"/>
  <c r="E30" i="5" s="1"/>
  <c r="E70" i="5" s="1"/>
  <c r="E151" i="5" s="1"/>
  <c r="P30" i="4"/>
  <c r="BB30" i="4" s="1"/>
  <c r="E31" i="5" s="1"/>
  <c r="E71" i="5" s="1"/>
  <c r="E152" i="5" s="1"/>
  <c r="P31" i="4"/>
  <c r="BB31" i="4" s="1"/>
  <c r="E32" i="5" s="1"/>
  <c r="E72" i="5" s="1"/>
  <c r="E153" i="5" s="1"/>
  <c r="P32" i="4"/>
  <c r="BB32" i="4" s="1"/>
  <c r="E33" i="5" s="1"/>
  <c r="E73" i="5" s="1"/>
  <c r="E154" i="5" s="1"/>
  <c r="P33" i="4"/>
  <c r="BB33" i="4" s="1"/>
  <c r="E34" i="5" s="1"/>
  <c r="E74" i="5" s="1"/>
  <c r="E155" i="5" s="1"/>
  <c r="P21" i="4"/>
  <c r="BB21" i="4" s="1"/>
  <c r="E22" i="5" s="1"/>
  <c r="E62" i="5" s="1"/>
  <c r="E143" i="5" s="1"/>
  <c r="P37" i="4"/>
  <c r="BB37" i="4" s="1"/>
  <c r="P38" i="4"/>
  <c r="BB38" i="4" s="1"/>
  <c r="P34" i="4"/>
  <c r="BB34" i="4" s="1"/>
  <c r="E35" i="5" s="1"/>
  <c r="E75" i="5" s="1"/>
  <c r="E156" i="5" s="1"/>
  <c r="P35" i="4"/>
  <c r="BB35" i="4" s="1"/>
  <c r="E36" i="5" s="1"/>
  <c r="E76" i="5" s="1"/>
  <c r="E157" i="5" s="1"/>
  <c r="P36" i="4"/>
  <c r="BB36" i="4" s="1"/>
  <c r="P22" i="4"/>
  <c r="BB22" i="4" s="1"/>
  <c r="E23" i="5" s="1"/>
  <c r="E63" i="5" s="1"/>
  <c r="E144" i="5" s="1"/>
  <c r="P23" i="4"/>
  <c r="BB23" i="4" s="1"/>
  <c r="E24" i="5" s="1"/>
  <c r="E64" i="5" s="1"/>
  <c r="E145" i="5" s="1"/>
  <c r="P24" i="4"/>
  <c r="BB24" i="4" s="1"/>
  <c r="E25" i="5" s="1"/>
  <c r="E65" i="5" s="1"/>
  <c r="E146" i="5" s="1"/>
  <c r="P25" i="4"/>
  <c r="BB25" i="4" s="1"/>
  <c r="E26" i="5" s="1"/>
  <c r="E66" i="5" s="1"/>
  <c r="E147" i="5" s="1"/>
  <c r="P42" i="4"/>
  <c r="BB42" i="4" s="1"/>
  <c r="P20" i="4"/>
  <c r="BB20" i="4" s="1"/>
  <c r="E21" i="5" s="1"/>
  <c r="E61" i="5" s="1"/>
  <c r="E142" i="5" s="1"/>
  <c r="P19" i="4"/>
  <c r="BB19" i="4" s="1"/>
  <c r="E20" i="5" s="1"/>
  <c r="E60" i="5" s="1"/>
  <c r="E141" i="5" s="1"/>
  <c r="P9" i="4"/>
  <c r="BB9" i="4" s="1"/>
  <c r="E10" i="5" s="1"/>
  <c r="E50" i="5" s="1"/>
  <c r="E131" i="5" s="1"/>
  <c r="Q9" i="4"/>
  <c r="BC9" i="4" s="1"/>
  <c r="F10" i="5" s="1"/>
  <c r="F50" i="5" s="1"/>
  <c r="F131" i="5" s="1"/>
  <c r="F10" i="4"/>
  <c r="E10" i="4"/>
  <c r="B16" i="4"/>
  <c r="AY16" i="4" s="1"/>
  <c r="B17" i="5" s="1"/>
  <c r="B57" i="5" s="1"/>
  <c r="B138" i="5" s="1"/>
  <c r="B17" i="4"/>
  <c r="AY17" i="4" s="1"/>
  <c r="B18" i="5" s="1"/>
  <c r="B58" i="5" s="1"/>
  <c r="B98" i="5" s="1"/>
  <c r="B21" i="4"/>
  <c r="AY21" i="4" s="1"/>
  <c r="B22" i="5" s="1"/>
  <c r="B62" i="5" s="1"/>
  <c r="B102" i="5" s="1"/>
  <c r="B22" i="4"/>
  <c r="AY22" i="4" s="1"/>
  <c r="B23" i="5" s="1"/>
  <c r="B63" i="5" s="1"/>
  <c r="B144" i="5" s="1"/>
  <c r="B23" i="4"/>
  <c r="AY23" i="4" s="1"/>
  <c r="B24" i="5" s="1"/>
  <c r="B64" i="5" s="1"/>
  <c r="B104" i="5" s="1"/>
  <c r="B24" i="4"/>
  <c r="AY24" i="4" s="1"/>
  <c r="B25" i="5" s="1"/>
  <c r="B65" i="5" s="1"/>
  <c r="B146" i="5" s="1"/>
  <c r="B42" i="4"/>
  <c r="AY42" i="4" s="1"/>
  <c r="B20" i="4"/>
  <c r="AY20" i="4" s="1"/>
  <c r="B21" i="5" s="1"/>
  <c r="B61" i="5" s="1"/>
  <c r="B142" i="5" s="1"/>
  <c r="B19" i="4"/>
  <c r="AY19" i="4" s="1"/>
  <c r="B20" i="5" s="1"/>
  <c r="B60" i="5" s="1"/>
  <c r="B100" i="5" s="1"/>
  <c r="B10" i="4"/>
  <c r="AY10" i="4" s="1"/>
  <c r="B11" i="5" s="1"/>
  <c r="B51" i="5" s="1"/>
  <c r="B132" i="5" s="1"/>
  <c r="B11" i="4"/>
  <c r="AY11" i="4" s="1"/>
  <c r="B12" i="5" s="1"/>
  <c r="B52" i="5" s="1"/>
  <c r="B92" i="5" s="1"/>
  <c r="B12" i="4"/>
  <c r="AY12" i="4" s="1"/>
  <c r="B13" i="5" s="1"/>
  <c r="B53" i="5" s="1"/>
  <c r="B134" i="5" s="1"/>
  <c r="B15" i="4"/>
  <c r="AY15" i="4" s="1"/>
  <c r="B16" i="5" s="1"/>
  <c r="B56" i="5" s="1"/>
  <c r="B96" i="5" s="1"/>
  <c r="B9" i="4"/>
  <c r="AY9" i="4" s="1"/>
  <c r="B10" i="5" s="1"/>
  <c r="AQ49" i="4"/>
  <c r="AQ50" i="4"/>
  <c r="AQ11" i="4"/>
  <c r="AQ12" i="4"/>
  <c r="AQ15" i="4"/>
  <c r="AQ18" i="4"/>
  <c r="AQ16" i="4"/>
  <c r="AQ17" i="4"/>
  <c r="AQ39" i="4"/>
  <c r="AQ40" i="4"/>
  <c r="AQ41" i="4"/>
  <c r="AQ43" i="4"/>
  <c r="AQ44" i="4"/>
  <c r="AQ45" i="4"/>
  <c r="AQ46" i="4"/>
  <c r="AQ47" i="4"/>
  <c r="AQ48" i="4"/>
  <c r="AQ14" i="4"/>
  <c r="AQ26" i="4"/>
  <c r="AQ27" i="4"/>
  <c r="AQ28" i="4"/>
  <c r="AQ29" i="4"/>
  <c r="AQ30" i="4"/>
  <c r="AQ31" i="4"/>
  <c r="AQ32" i="4"/>
  <c r="AQ33" i="4"/>
  <c r="AQ21" i="4"/>
  <c r="AQ37" i="4"/>
  <c r="AQ38" i="4"/>
  <c r="AQ34" i="4"/>
  <c r="AQ35" i="4"/>
  <c r="AQ36" i="4"/>
  <c r="AQ22" i="4"/>
  <c r="AQ23" i="4"/>
  <c r="AQ24" i="4"/>
  <c r="AQ25" i="4"/>
  <c r="AQ42" i="4"/>
  <c r="AQ20" i="4"/>
  <c r="AQ19" i="4"/>
  <c r="AQ9" i="4"/>
  <c r="C16" i="4"/>
  <c r="AZ16" i="4" s="1"/>
  <c r="C17" i="5" s="1"/>
  <c r="C57" i="5" s="1"/>
  <c r="C97" i="5" s="1"/>
  <c r="C17" i="4"/>
  <c r="AZ17" i="4" s="1"/>
  <c r="C18" i="5" s="1"/>
  <c r="C58" i="5" s="1"/>
  <c r="C139" i="5" s="1"/>
  <c r="C21" i="4"/>
  <c r="AZ21" i="4" s="1"/>
  <c r="C22" i="5" s="1"/>
  <c r="C62" i="5" s="1"/>
  <c r="C143" i="5" s="1"/>
  <c r="C22" i="4"/>
  <c r="AZ22" i="4" s="1"/>
  <c r="C23" i="5" s="1"/>
  <c r="C63" i="5" s="1"/>
  <c r="C144" i="5" s="1"/>
  <c r="C23" i="4"/>
  <c r="AZ23" i="4" s="1"/>
  <c r="C24" i="5" s="1"/>
  <c r="C64" i="5" s="1"/>
  <c r="C145" i="5" s="1"/>
  <c r="C24" i="4"/>
  <c r="AZ24" i="4" s="1"/>
  <c r="C25" i="5" s="1"/>
  <c r="C65" i="5" s="1"/>
  <c r="C146" i="5" s="1"/>
  <c r="C42" i="4"/>
  <c r="AZ42" i="4" s="1"/>
  <c r="C20" i="4"/>
  <c r="AZ20" i="4" s="1"/>
  <c r="C21" i="5" s="1"/>
  <c r="C61" i="5" s="1"/>
  <c r="C142" i="5" s="1"/>
  <c r="C19" i="4"/>
  <c r="AZ19" i="4" s="1"/>
  <c r="C20" i="5" s="1"/>
  <c r="C60" i="5" s="1"/>
  <c r="C141" i="5" s="1"/>
  <c r="C10" i="4"/>
  <c r="AZ10" i="4" s="1"/>
  <c r="C11" i="5" s="1"/>
  <c r="C51" i="5" s="1"/>
  <c r="C91" i="5" s="1"/>
  <c r="C11" i="4"/>
  <c r="AZ11" i="4" s="1"/>
  <c r="C12" i="5" s="1"/>
  <c r="C52" i="5" s="1"/>
  <c r="C133" i="5" s="1"/>
  <c r="C12" i="4"/>
  <c r="AZ12" i="4" s="1"/>
  <c r="C13" i="5" s="1"/>
  <c r="C53" i="5" s="1"/>
  <c r="C93" i="5" s="1"/>
  <c r="C15" i="4"/>
  <c r="AZ15" i="4" s="1"/>
  <c r="C16" i="5" s="1"/>
  <c r="C56" i="5" s="1"/>
  <c r="C137" i="5" s="1"/>
  <c r="C9" i="4"/>
  <c r="AZ9" i="4" s="1"/>
  <c r="C10" i="5" s="1"/>
  <c r="C50" i="5" s="1"/>
  <c r="C131" i="5" s="1"/>
  <c r="AR11" i="4"/>
  <c r="F11" i="4" s="1"/>
  <c r="AR12" i="4"/>
  <c r="E12" i="4" s="1"/>
  <c r="AR15" i="4"/>
  <c r="F15" i="4" s="1"/>
  <c r="AR18" i="4"/>
  <c r="E18" i="4" s="1"/>
  <c r="AY18" i="4" s="1"/>
  <c r="B19" i="5" s="1"/>
  <c r="B59" i="5" s="1"/>
  <c r="B140" i="5" s="1"/>
  <c r="AR16" i="4"/>
  <c r="F16" i="4" s="1"/>
  <c r="AR17" i="4"/>
  <c r="E17" i="4" s="1"/>
  <c r="AR41" i="4"/>
  <c r="AR26" i="4"/>
  <c r="F26" i="4" s="1"/>
  <c r="AZ26" i="4" s="1"/>
  <c r="C27" i="5" s="1"/>
  <c r="C67" i="5" s="1"/>
  <c r="C148" i="5" s="1"/>
  <c r="AR27" i="4"/>
  <c r="F27" i="4" s="1"/>
  <c r="AZ27" i="4" s="1"/>
  <c r="C28" i="5" s="1"/>
  <c r="C68" i="5" s="1"/>
  <c r="C149" i="5" s="1"/>
  <c r="AR28" i="4"/>
  <c r="F28" i="4" s="1"/>
  <c r="AZ28" i="4" s="1"/>
  <c r="C29" i="5" s="1"/>
  <c r="C69" i="5" s="1"/>
  <c r="C150" i="5" s="1"/>
  <c r="AR29" i="4"/>
  <c r="F29" i="4" s="1"/>
  <c r="AZ29" i="4" s="1"/>
  <c r="C30" i="5" s="1"/>
  <c r="C70" i="5" s="1"/>
  <c r="C151" i="5" s="1"/>
  <c r="AR30" i="4"/>
  <c r="F30" i="4" s="1"/>
  <c r="AZ30" i="4" s="1"/>
  <c r="C31" i="5" s="1"/>
  <c r="C71" i="5" s="1"/>
  <c r="C152" i="5" s="1"/>
  <c r="AR31" i="4"/>
  <c r="F31" i="4" s="1"/>
  <c r="AZ31" i="4" s="1"/>
  <c r="C32" i="5" s="1"/>
  <c r="C72" i="5" s="1"/>
  <c r="C153" i="5" s="1"/>
  <c r="AR32" i="4"/>
  <c r="F32" i="4" s="1"/>
  <c r="AZ32" i="4" s="1"/>
  <c r="C33" i="5" s="1"/>
  <c r="C73" i="5" s="1"/>
  <c r="C154" i="5" s="1"/>
  <c r="AR33" i="4"/>
  <c r="F33" i="4" s="1"/>
  <c r="AZ33" i="4" s="1"/>
  <c r="C34" i="5" s="1"/>
  <c r="C74" i="5" s="1"/>
  <c r="C155" i="5" s="1"/>
  <c r="AR21" i="4"/>
  <c r="F21" i="4" s="1"/>
  <c r="AR34" i="4"/>
  <c r="F34" i="4" s="1"/>
  <c r="AZ34" i="4" s="1"/>
  <c r="C35" i="5" s="1"/>
  <c r="C75" i="5" s="1"/>
  <c r="C156" i="5" s="1"/>
  <c r="AR35" i="4"/>
  <c r="F35" i="4" s="1"/>
  <c r="AZ35" i="4" s="1"/>
  <c r="C36" i="5" s="1"/>
  <c r="C76" i="5" s="1"/>
  <c r="C157" i="5" s="1"/>
  <c r="AR36" i="4"/>
  <c r="AR22" i="4"/>
  <c r="F22" i="4" s="1"/>
  <c r="AR23" i="4"/>
  <c r="F23" i="4" s="1"/>
  <c r="AR24" i="4"/>
  <c r="F24" i="4" s="1"/>
  <c r="AR25" i="4"/>
  <c r="F25" i="4" s="1"/>
  <c r="AZ25" i="4" s="1"/>
  <c r="C26" i="5" s="1"/>
  <c r="C66" i="5" s="1"/>
  <c r="C147" i="5" s="1"/>
  <c r="AR9" i="4"/>
  <c r="F9" i="4" s="1"/>
  <c r="D98" i="5" l="1"/>
  <c r="D59" i="5"/>
  <c r="B50" i="5"/>
  <c r="B131" i="5" s="1"/>
  <c r="C113" i="5"/>
  <c r="C114" i="5"/>
  <c r="E100" i="5"/>
  <c r="E102" i="5"/>
  <c r="E104" i="5"/>
  <c r="E106" i="5"/>
  <c r="F108" i="5"/>
  <c r="F110" i="5"/>
  <c r="E111" i="5"/>
  <c r="E112" i="5"/>
  <c r="F113" i="5"/>
  <c r="E114" i="5"/>
  <c r="E115" i="5"/>
  <c r="E116" i="5"/>
  <c r="B90" i="5"/>
  <c r="C132" i="5"/>
  <c r="B133" i="5"/>
  <c r="D133" i="5"/>
  <c r="C134" i="5"/>
  <c r="B137" i="5"/>
  <c r="D137" i="5"/>
  <c r="F137" i="5"/>
  <c r="C138" i="5"/>
  <c r="E138" i="5"/>
  <c r="B139" i="5"/>
  <c r="D139" i="5"/>
  <c r="F139" i="5"/>
  <c r="E140" i="5"/>
  <c r="B141" i="5"/>
  <c r="F141" i="5"/>
  <c r="B143" i="5"/>
  <c r="F143" i="5"/>
  <c r="B145" i="5"/>
  <c r="F145" i="5"/>
  <c r="F147" i="5"/>
  <c r="C101" i="5"/>
  <c r="C103" i="5"/>
  <c r="C105" i="5"/>
  <c r="C107" i="5"/>
  <c r="C108" i="5"/>
  <c r="C109" i="5"/>
  <c r="C110" i="5"/>
  <c r="F111" i="5"/>
  <c r="F112" i="5"/>
  <c r="E113" i="5"/>
  <c r="F114" i="5"/>
  <c r="F116" i="5"/>
  <c r="B91" i="5"/>
  <c r="D91" i="5"/>
  <c r="C92" i="5"/>
  <c r="B93" i="5"/>
  <c r="D93" i="5"/>
  <c r="D95" i="5"/>
  <c r="C96" i="5"/>
  <c r="E96" i="5"/>
  <c r="B97" i="5"/>
  <c r="D97" i="5"/>
  <c r="F97" i="5"/>
  <c r="C98" i="5"/>
  <c r="E98" i="5"/>
  <c r="B99" i="5"/>
  <c r="F99" i="5"/>
  <c r="B101" i="5"/>
  <c r="F101" i="5"/>
  <c r="B103" i="5"/>
  <c r="F103" i="5"/>
  <c r="B105" i="5"/>
  <c r="F105" i="5"/>
  <c r="AZ14" i="4"/>
  <c r="C15" i="5" s="1"/>
  <c r="C55" i="5" s="1"/>
  <c r="B15" i="5"/>
  <c r="B55" i="5" s="1"/>
  <c r="E101" i="5"/>
  <c r="E103" i="5"/>
  <c r="E105" i="5"/>
  <c r="F107" i="5"/>
  <c r="F109" i="5"/>
  <c r="C111" i="5"/>
  <c r="C112" i="5"/>
  <c r="C115" i="5"/>
  <c r="C116" i="5"/>
  <c r="D90" i="5"/>
  <c r="C100" i="5"/>
  <c r="C102" i="5"/>
  <c r="C104" i="5"/>
  <c r="C106" i="5"/>
  <c r="E107" i="5"/>
  <c r="E108" i="5"/>
  <c r="E109" i="5"/>
  <c r="E110" i="5"/>
  <c r="F115" i="5"/>
  <c r="C90" i="5"/>
  <c r="E132" i="5"/>
  <c r="F133" i="5"/>
  <c r="E134" i="5"/>
  <c r="F91" i="5"/>
  <c r="E92" i="5"/>
  <c r="F93" i="5"/>
  <c r="F90" i="5"/>
  <c r="E90" i="5"/>
  <c r="L19" i="4"/>
  <c r="BA19" i="4" s="1"/>
  <c r="D20" i="5" s="1"/>
  <c r="D60" i="5" s="1"/>
  <c r="L20" i="4"/>
  <c r="BA20" i="4" s="1"/>
  <c r="D21" i="5" s="1"/>
  <c r="D61" i="5" s="1"/>
  <c r="D62" i="5" s="1"/>
  <c r="E9" i="4"/>
  <c r="E11" i="4"/>
  <c r="E15" i="4"/>
  <c r="E16" i="4"/>
  <c r="E24" i="4"/>
  <c r="E22" i="4"/>
  <c r="E35" i="4"/>
  <c r="AY35" i="4" s="1"/>
  <c r="B36" i="5" s="1"/>
  <c r="B76" i="5" s="1"/>
  <c r="E21" i="4"/>
  <c r="E32" i="4"/>
  <c r="AY32" i="4" s="1"/>
  <c r="B33" i="5" s="1"/>
  <c r="B73" i="5" s="1"/>
  <c r="E30" i="4"/>
  <c r="AY30" i="4" s="1"/>
  <c r="B31" i="5" s="1"/>
  <c r="B71" i="5" s="1"/>
  <c r="E28" i="4"/>
  <c r="AY28" i="4" s="1"/>
  <c r="B29" i="5" s="1"/>
  <c r="B69" i="5" s="1"/>
  <c r="E26" i="4"/>
  <c r="AY26" i="4" s="1"/>
  <c r="B27" i="5" s="1"/>
  <c r="B67" i="5" s="1"/>
  <c r="F17" i="4"/>
  <c r="F18" i="4"/>
  <c r="AZ18" i="4" s="1"/>
  <c r="C19" i="5" s="1"/>
  <c r="C59" i="5" s="1"/>
  <c r="F12" i="4"/>
  <c r="E25" i="4"/>
  <c r="AY25" i="4" s="1"/>
  <c r="B26" i="5" s="1"/>
  <c r="B66" i="5" s="1"/>
  <c r="E23" i="4"/>
  <c r="E34" i="4"/>
  <c r="AY34" i="4" s="1"/>
  <c r="B35" i="5" s="1"/>
  <c r="B75" i="5" s="1"/>
  <c r="E33" i="4"/>
  <c r="AY33" i="4" s="1"/>
  <c r="B34" i="5" s="1"/>
  <c r="B74" i="5" s="1"/>
  <c r="E31" i="4"/>
  <c r="AY31" i="4" s="1"/>
  <c r="B32" i="5" s="1"/>
  <c r="B72" i="5" s="1"/>
  <c r="E29" i="4"/>
  <c r="AY29" i="4" s="1"/>
  <c r="B30" i="5" s="1"/>
  <c r="B70" i="5" s="1"/>
  <c r="E27" i="4"/>
  <c r="AY27" i="4" s="1"/>
  <c r="B28" i="5" s="1"/>
  <c r="B68" i="5" s="1"/>
  <c r="D140" i="5" l="1"/>
  <c r="D99" i="5"/>
  <c r="D63" i="5"/>
  <c r="D143" i="5"/>
  <c r="D102" i="5"/>
  <c r="B149" i="5"/>
  <c r="B108" i="5"/>
  <c r="B156" i="5"/>
  <c r="B115" i="5"/>
  <c r="C99" i="5"/>
  <c r="C140" i="5"/>
  <c r="B148" i="5"/>
  <c r="B107" i="5"/>
  <c r="B151" i="5"/>
  <c r="B110" i="5"/>
  <c r="B155" i="5"/>
  <c r="B114" i="5"/>
  <c r="B150" i="5"/>
  <c r="B109" i="5"/>
  <c r="B154" i="5"/>
  <c r="B113" i="5"/>
  <c r="B157" i="5"/>
  <c r="B116" i="5"/>
  <c r="D100" i="5"/>
  <c r="D141" i="5"/>
  <c r="B136" i="5"/>
  <c r="B95" i="5"/>
  <c r="B153" i="5"/>
  <c r="B112" i="5"/>
  <c r="B106" i="5"/>
  <c r="B147" i="5"/>
  <c r="B152" i="5"/>
  <c r="B111" i="5"/>
  <c r="D142" i="5"/>
  <c r="D101" i="5"/>
  <c r="C136" i="5"/>
  <c r="C95" i="5"/>
  <c r="D64" i="5" l="1"/>
  <c r="D144" i="5"/>
  <c r="D103" i="5"/>
  <c r="D65" i="5" l="1"/>
  <c r="D145" i="5"/>
  <c r="D104" i="5"/>
  <c r="D66" i="5" l="1"/>
  <c r="D146" i="5"/>
  <c r="D105" i="5"/>
  <c r="D67" i="5" l="1"/>
  <c r="D147" i="5"/>
  <c r="D106" i="5"/>
  <c r="D68" i="5" l="1"/>
  <c r="D107" i="5"/>
  <c r="D148" i="5"/>
  <c r="D69" i="5" l="1"/>
  <c r="D149" i="5"/>
  <c r="D108" i="5"/>
  <c r="D70" i="5" l="1"/>
  <c r="D150" i="5"/>
  <c r="D109" i="5"/>
  <c r="D71" i="5" l="1"/>
  <c r="D151" i="5"/>
  <c r="D110" i="5"/>
  <c r="D72" i="5" l="1"/>
  <c r="D152" i="5"/>
  <c r="D111" i="5"/>
  <c r="D73" i="5" l="1"/>
  <c r="D153" i="5"/>
  <c r="D112" i="5"/>
  <c r="D74" i="5" l="1"/>
  <c r="D154" i="5"/>
  <c r="D113" i="5"/>
  <c r="D75" i="5" l="1"/>
  <c r="D114" i="5"/>
  <c r="D155" i="5"/>
  <c r="D76" i="5" l="1"/>
  <c r="D156" i="5"/>
  <c r="D115" i="5"/>
  <c r="D157" i="5" l="1"/>
  <c r="D116" i="5"/>
</calcChain>
</file>

<file path=xl/sharedStrings.xml><?xml version="1.0" encoding="utf-8"?>
<sst xmlns="http://schemas.openxmlformats.org/spreadsheetml/2006/main" count="652" uniqueCount="189">
  <si>
    <t>lettuce</t>
  </si>
  <si>
    <t>maize</t>
  </si>
  <si>
    <t>potato</t>
  </si>
  <si>
    <t>tomato</t>
  </si>
  <si>
    <t>Beef</t>
  </si>
  <si>
    <t>Chicken</t>
  </si>
  <si>
    <t>Pork</t>
  </si>
  <si>
    <t>Eggs</t>
  </si>
  <si>
    <t>Butter</t>
  </si>
  <si>
    <t>Milk</t>
  </si>
  <si>
    <t>Cheese</t>
  </si>
  <si>
    <t>Nuts</t>
  </si>
  <si>
    <t>Legumes</t>
  </si>
  <si>
    <t>Cereals</t>
  </si>
  <si>
    <t>Fruits</t>
  </si>
  <si>
    <t>Sugar</t>
  </si>
  <si>
    <t>kcal/kg</t>
  </si>
  <si>
    <t>g/kg</t>
  </si>
  <si>
    <t>Calorie</t>
  </si>
  <si>
    <t>Protein</t>
  </si>
  <si>
    <t>Fat</t>
  </si>
  <si>
    <t>Vegetables</t>
  </si>
  <si>
    <t>Beef USA Industrial</t>
  </si>
  <si>
    <t>Chicken USA Industrial</t>
  </si>
  <si>
    <t>Mussels</t>
  </si>
  <si>
    <t>Farmed Salmon</t>
  </si>
  <si>
    <t>Low</t>
  </si>
  <si>
    <t>High</t>
  </si>
  <si>
    <t>Aquaculture</t>
  </si>
  <si>
    <t>Beef USA Grazing*</t>
  </si>
  <si>
    <t>Production</t>
  </si>
  <si>
    <t>Transport</t>
  </si>
  <si>
    <t>Oranges</t>
  </si>
  <si>
    <t>Bananas</t>
  </si>
  <si>
    <t>Peaches</t>
  </si>
  <si>
    <t>Strawberries</t>
  </si>
  <si>
    <t>Grapes</t>
  </si>
  <si>
    <t>Apples</t>
  </si>
  <si>
    <t>Rice</t>
  </si>
  <si>
    <t>Almonds</t>
  </si>
  <si>
    <t>Peanuts</t>
  </si>
  <si>
    <t>cabbage</t>
  </si>
  <si>
    <t>broccoli</t>
  </si>
  <si>
    <t>carrots</t>
  </si>
  <si>
    <t>lettuce USA</t>
  </si>
  <si>
    <t>maize USA</t>
  </si>
  <si>
    <t>Total</t>
  </si>
  <si>
    <t>Moderate</t>
  </si>
  <si>
    <t>Very Low</t>
  </si>
  <si>
    <t>Near Zero</t>
  </si>
  <si>
    <t>GHG, EWG</t>
  </si>
  <si>
    <t>tofu</t>
  </si>
  <si>
    <t>beans</t>
  </si>
  <si>
    <t>lentils</t>
  </si>
  <si>
    <t>kg protein</t>
  </si>
  <si>
    <t>kg CO2eq /</t>
  </si>
  <si>
    <t>liters /</t>
  </si>
  <si>
    <t>calorie</t>
  </si>
  <si>
    <t>protein</t>
  </si>
  <si>
    <t>fat</t>
  </si>
  <si>
    <t>USDA, Cooked</t>
  </si>
  <si>
    <t>USDA, raw</t>
  </si>
  <si>
    <t>Lamb</t>
  </si>
  <si>
    <t>kg CO2 /</t>
  </si>
  <si>
    <t>10,000 calories</t>
  </si>
  <si>
    <t>(cooked)</t>
  </si>
  <si>
    <t>(raw)</t>
  </si>
  <si>
    <t>OvoLacto Meat Substitutes</t>
  </si>
  <si>
    <t>Vegan Meat Substitutes</t>
  </si>
  <si>
    <t>corrected</t>
  </si>
  <si>
    <t>beans (pinto)</t>
  </si>
  <si>
    <t>(USDA)</t>
  </si>
  <si>
    <t>Footprint / Unit of Nutrition</t>
  </si>
  <si>
    <t>(judgment)</t>
  </si>
  <si>
    <t>kg raw product</t>
  </si>
  <si>
    <t>kg cooked</t>
  </si>
  <si>
    <t>kg of CO2eq /</t>
  </si>
  <si>
    <t>uncorrected</t>
  </si>
  <si>
    <t>m3 /</t>
  </si>
  <si>
    <t>metric ton</t>
  </si>
  <si>
    <t>Low Est.</t>
  </si>
  <si>
    <t>High Est.</t>
  </si>
  <si>
    <t>Ave (30%)</t>
  </si>
  <si>
    <t>(derived*)</t>
  </si>
  <si>
    <t>**From Nijdam et al metaanalysis</t>
  </si>
  <si>
    <t>N/A</t>
  </si>
  <si>
    <t>(raw for both) tofu</t>
  </si>
  <si>
    <t>(raw for both) tomato</t>
  </si>
  <si>
    <t>(raw for both) broccoli</t>
  </si>
  <si>
    <t>(whole; raw for both) Milk</t>
  </si>
  <si>
    <t>(cheddar; raw for both) Cheese</t>
  </si>
  <si>
    <t>(Other Kinds)</t>
  </si>
  <si>
    <t>GHG</t>
  </si>
  <si>
    <t>Land</t>
  </si>
  <si>
    <t>Water</t>
  </si>
  <si>
    <t>Lentils</t>
  </si>
  <si>
    <t>Beans</t>
  </si>
  <si>
    <t>Tomato</t>
  </si>
  <si>
    <t>Potato</t>
  </si>
  <si>
    <t>Broccoli</t>
  </si>
  <si>
    <t>Carrots</t>
  </si>
  <si>
    <t>Lettuce</t>
  </si>
  <si>
    <t>Other Pollution</t>
  </si>
  <si>
    <t>Animal</t>
  </si>
  <si>
    <t>GHG/protein</t>
  </si>
  <si>
    <t>GHG/calorie</t>
  </si>
  <si>
    <t>Water/protein</t>
  </si>
  <si>
    <t>Water/calorie</t>
  </si>
  <si>
    <t>Other/Unit</t>
  </si>
  <si>
    <t>Animal/Unit</t>
  </si>
  <si>
    <t>Human/Unit</t>
  </si>
  <si>
    <t>Land/protein</t>
  </si>
  <si>
    <t>Cabbage</t>
  </si>
  <si>
    <t>asparagus</t>
  </si>
  <si>
    <t>avocado</t>
  </si>
  <si>
    <t xml:space="preserve">Different </t>
  </si>
  <si>
    <t>global ave</t>
  </si>
  <si>
    <t>Chicken Global Ave</t>
  </si>
  <si>
    <t>Chicken World Ave</t>
  </si>
  <si>
    <t>sq. meters /</t>
  </si>
  <si>
    <t>Harm</t>
  </si>
  <si>
    <t>Human Worker</t>
  </si>
  <si>
    <t>FOOTPRINT / UNIT OF NUTRITION</t>
  </si>
  <si>
    <t>Very High</t>
  </si>
  <si>
    <t xml:space="preserve"> / unit of nut.</t>
  </si>
  <si>
    <t>10,000 kcal</t>
  </si>
  <si>
    <t>GHG, Env. Working Group*</t>
  </si>
  <si>
    <t>GHG, CleanMetrics*</t>
  </si>
  <si>
    <t>GHG, Nijdam et al**</t>
  </si>
  <si>
    <t>Land, Nijdam et al**</t>
  </si>
  <si>
    <t>Water, Mekonnen&amp;Hoekstra***</t>
  </si>
  <si>
    <t>Mekonnen Assumptions*** (only shaded used, and they are only used in water calculations)</t>
  </si>
  <si>
    <t>GHG, EWG*</t>
  </si>
  <si>
    <t>****USDA nutritional data is based on data on in the USDA National Nutrient Database for Standard Reference (http://ndb.nal.usda.gov). Nutritional values derived for grass-fed beef by assuming 'best case', understood as grazing having half the fat content, with a corresponding reduction in calories, given the assumption that one gram of fat translates into 9 calories, whereas if that fat is replaced by protein and carbohydrates those translate into only 4 calories per gram. However, no increase in protein is assumed, since that is not supported by empirical research.</t>
  </si>
  <si>
    <t>***From Mekonnen &amp; Hoekstra 2010, 2011, and 2012, based on global averages; nutritional values for cheese were not reported, and are here based on data on cheddar cheese in the USDA National Nutrient Database for Standard Reference. Nutritional values adjusted by assuming 'best case for grazing', understood as grazing having half the fat content, with a corresponding reduction in calories, given the assumption that one gram of fat translates into 9 calories, whereas if that fat is replaced by protein and carbohydrates those translate into only 4 calories per gram.</t>
  </si>
  <si>
    <t>***especially 2012, pp 406-7, 409, and 2011, pp. 1585-1590</t>
  </si>
  <si>
    <t>*EWG data from Environmental Working Group study on meat and climate, http://static.ewg.org/reports/2011/meateaters/pdf/methodology_ewg_meat_eaters_guide_to_health_and_climate_2011.pdf</t>
  </si>
  <si>
    <t>*CleanMetrics data from http://www.foodemissions.com/foodemissions/Calculator.aspx; Assumes 1,400 mile transport (a frequently cited average distance, and the calculator's default), and zero waste</t>
  </si>
  <si>
    <t>Potatoes</t>
  </si>
  <si>
    <t>Tomatoes</t>
  </si>
  <si>
    <t>Harm / unit</t>
  </si>
  <si>
    <t>Moral Status of Farm Animals</t>
  </si>
  <si>
    <t>Animal Harm</t>
  </si>
  <si>
    <t xml:space="preserve"> </t>
  </si>
  <si>
    <t>Footprint / unit of weight of product (source data before unit of nutrition conversions)</t>
  </si>
  <si>
    <t>Environmental Harm</t>
  </si>
  <si>
    <t>Human Worker Harm</t>
  </si>
  <si>
    <t>Nutritional Content (for use in unit of nutrition conversions)****</t>
  </si>
  <si>
    <t>.</t>
  </si>
  <si>
    <r>
      <rPr>
        <sz val="10"/>
        <color rgb="FFFF0000"/>
        <rFont val="Arial"/>
        <family val="2"/>
      </rPr>
      <t>Red = USA</t>
    </r>
    <r>
      <rPr>
        <sz val="10"/>
        <rFont val="Arial"/>
        <family val="2"/>
      </rPr>
      <t xml:space="preserve">, Black = World </t>
    </r>
  </si>
  <si>
    <t>SOURCES</t>
  </si>
  <si>
    <t>(Sources described at bottom, denoted by asterisks.)</t>
  </si>
  <si>
    <t>Most calculations are either (a) unit of measurement conversions applied to land, water, and greenhouse gas footprint numbers from other sources, or (b) based on judgment about the animal harm and human worker harm footprint of various goods that have not, as far as I know, been quantified in any other work.</t>
  </si>
  <si>
    <t>METHODOLOGY</t>
  </si>
  <si>
    <t>Nijdman, D. et. al. “The price of protein: Review of land use and carbon footprints from lifecycle assessments of animal food products and their substitutes”, Food Policy, 2012</t>
  </si>
  <si>
    <t>CleanMetrics greenhouse gas footprint data, accessed at www.foodemissions.com/foodemissions/Calculator.aspx</t>
  </si>
  <si>
    <t>Mekonnen, M. et. al., “The green, blue, and grey water footprint of crops and derived crop products”, Hydrology and Earth System Sciences, 2011</t>
  </si>
  <si>
    <t>Mekonnen, M. et. al., “A Global Assessment of the Water Footprint of Farm Animal Products”, Ecosystems, 2012</t>
  </si>
  <si>
    <t>Environmental Working Group, Hamershlag, K. “What You Eat Matters”, Environmental Working Group, 2011</t>
  </si>
  <si>
    <t>Greenhouse Gas</t>
  </si>
  <si>
    <t xml:space="preserve">  FOOTPRINT / UNIT OF NUTRITION</t>
  </si>
  <si>
    <t>Mark Bryant Budolfson</t>
  </si>
  <si>
    <t xml:space="preserve"> = average of Harm and Moral Status</t>
  </si>
  <si>
    <t>Total Animal Harm</t>
  </si>
  <si>
    <t>Version 1.4</t>
  </si>
  <si>
    <t>Food Footprints Spreadsheet, Mark Bryant Budolfson</t>
  </si>
  <si>
    <t>Date: 7 March 2015</t>
  </si>
  <si>
    <t>Further methodological explanations are implicit in the calculations.</t>
  </si>
  <si>
    <t>Land Use Footprint:</t>
  </si>
  <si>
    <t>Water Footprint:</t>
  </si>
  <si>
    <t>Greenhouse Gas Footprint:</t>
  </si>
  <si>
    <t>Nutrition:</t>
  </si>
  <si>
    <t>USDA National Nutrient Database for Standard Reference, accessed at http://ndb.nal.usda.gov</t>
  </si>
  <si>
    <t>(more specific references linking these sources to particular columns of data are at the bottom of the 'Calculations' sheet)</t>
  </si>
  <si>
    <t>Environmental Working Group, Hamershlag, K. “What You Eat Matters”, Environmental Working Group, 2011, accessed at http://static.ewg.org/reports/2011/meateaters/pdf/methodology_ewg_meat_eaters_guide_to_health_and_climate_2011.pdf</t>
  </si>
  <si>
    <t>When available, nutritional data is used from the studies below that look at particular classes of products, which is usually derived from USDA data.</t>
  </si>
  <si>
    <t>An important general strategy was to convert footprints to a per unit of nutrition basis, to allow a more 'apples to apples' comparison of the footprints of very different types of food, such as meat vs. fruit that vary greatly in nutrient density.</t>
  </si>
  <si>
    <t>In sum, the numbers are simply based on the best data I could find, and the cells that do not have numbers are based on my own judgment, which aims for empirical accuracy, which the reader can judge for him- or herself.</t>
  </si>
  <si>
    <t>The dimensions for which judgment were used are ripe for improvement in the future when there are improved empirical measures of the maginitude of the relevant harms, and improved philosophical work on how to weigh those harms.</t>
  </si>
  <si>
    <t>Of particular note are the animal welfare assumptions in the array U3:Y18 on the 'Calculations' sheet. As will be clear, the assumptions there will be controversial, and a difficult question arises about how to combine the status of an animal and the harms inflicted on it into an aggregate. This seems particularly ripe for improvement based on a careful empirical and philosophical analysis. I opted to simply average these two numbers, which I believe has the disadvantage of being less likely to be correct than other salient alternatives, but has the advantage of being transparent and 'neutral' between these salient alternatives.</t>
  </si>
  <si>
    <t>GHG footprint data were used from Hamershlag when available, if not, then cleanmetrics if available, and then Nijdam et al (in the case of mussels). However, all relevant data from those studies is included on the 'Calculations' sheet so that the different numbers can be compared. The order of preference here is motivated by the fact that Hamershlag is a pro-vegan report and has excellent methodology, whereas cleanmetrics is less transparent. So, giving preference to Hamershlag is both empirically attractive, and attractive for purposes of chosing the most pro-vegan data. Finally, the Nijdam et al metaanalysis is an excellent source and a good check on the other values used, but because it is a metaanalysis it reports a very wide range of values.</t>
  </si>
  <si>
    <t>Land footprint numbers are based on the 30th percentile of the range of values reported in the Nijdam metaanalysis, which appears to be roughly the median and mean of the wide range of values reported. Similar remarks apply to a few other numbers taken from Nijdam et al when necessary.</t>
  </si>
  <si>
    <t>GRAND SUMMARY</t>
  </si>
  <si>
    <t>Numerical Conversion of preceding</t>
  </si>
  <si>
    <t xml:space="preserve">Animal Harm </t>
  </si>
  <si>
    <t>Two complications re GHG footprint data: because Hamershlag numbers are based on cooked product and assume 10% waste, a correction must be introduced to compare to cleanmetrics, which assumes raw product and no waste. These corrections are performed by using nutritional information for cooked vs raw product when appropriate, and by the 'waste' correction in row AQ on the 'Calculations' sheet.</t>
  </si>
  <si>
    <t>Interested readers should feel encouraged to play with this spreadsheet, make changes as one sees fit, and thus see whether disagreement about some of the details and calculations would make a difference to big picture questions about what we should do in the domain of food.</t>
  </si>
  <si>
    <t>Summary of Preceding, Used on Summary Sheet</t>
  </si>
  <si>
    <t>The shading on the 'Summary' sheet is done by the default shading algorithms in Microsoft Excel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</si>
</sst>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quot;&quot;;&quot;&quot;;&quot;&quot;"/>
  </numFmts>
  <fonts count="6" x14ac:knownFonts="1">
    <font>
      <sz val="10"/>
      <name val="Arial"/>
    </font>
    <font>
      <b/>
      <sz val="10"/>
      <name val="Arial"/>
      <family val="2"/>
    </font>
    <font>
      <sz val="10"/>
      <name val="Arial"/>
      <family val="2"/>
    </font>
    <font>
      <sz val="10"/>
      <name val="Georgia"/>
      <family val="1"/>
    </font>
    <font>
      <sz val="10"/>
      <color rgb="FFFF0000"/>
      <name val="Arial"/>
      <family val="2"/>
    </font>
    <font>
      <b/>
      <sz val="10"/>
      <name val="Georgia"/>
      <family val="1"/>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9" tint="0.59999389629810485"/>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118">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right"/>
    </xf>
    <xf numFmtId="0" fontId="2" fillId="0" borderId="0" xfId="0" applyFont="1"/>
    <xf numFmtId="1" fontId="0" fillId="0" borderId="0" xfId="0" applyNumberFormat="1"/>
    <xf numFmtId="1" fontId="2" fillId="0" borderId="0" xfId="0" applyNumberFormat="1" applyFont="1"/>
    <xf numFmtId="164" fontId="0" fillId="0" borderId="0" xfId="0" applyNumberFormat="1"/>
    <xf numFmtId="164" fontId="2" fillId="0" borderId="0" xfId="0" applyNumberFormat="1" applyFont="1"/>
    <xf numFmtId="1" fontId="2" fillId="0" borderId="0" xfId="0" applyNumberFormat="1" applyFont="1" applyAlignment="1">
      <alignment horizontal="left"/>
    </xf>
    <xf numFmtId="0" fontId="2" fillId="0" borderId="0" xfId="0" applyFont="1" applyAlignment="1">
      <alignment horizontal="left"/>
    </xf>
    <xf numFmtId="1" fontId="0" fillId="0" borderId="0" xfId="0" applyNumberFormat="1" applyAlignment="1">
      <alignment horizontal="right"/>
    </xf>
    <xf numFmtId="0" fontId="0" fillId="2" borderId="0" xfId="0" applyFill="1"/>
    <xf numFmtId="0" fontId="2" fillId="2" borderId="0" xfId="0" applyFont="1" applyFill="1"/>
    <xf numFmtId="0" fontId="2" fillId="2" borderId="0" xfId="0" applyFont="1" applyFill="1" applyAlignment="1">
      <alignment horizontal="left"/>
    </xf>
    <xf numFmtId="1" fontId="0" fillId="3" borderId="0" xfId="0" applyNumberFormat="1" applyFill="1"/>
    <xf numFmtId="0" fontId="2" fillId="0" borderId="0" xfId="0" applyFont="1" applyAlignment="1"/>
    <xf numFmtId="0" fontId="0" fillId="0" borderId="0" xfId="0" applyAlignment="1"/>
    <xf numFmtId="1" fontId="2" fillId="0" borderId="0" xfId="0" applyNumberFormat="1" applyFont="1" applyAlignment="1"/>
    <xf numFmtId="1" fontId="0" fillId="0" borderId="0" xfId="0" applyNumberFormat="1" applyAlignment="1"/>
    <xf numFmtId="1" fontId="0" fillId="0" borderId="0" xfId="0" applyNumberFormat="1" applyFill="1"/>
    <xf numFmtId="0" fontId="0" fillId="0" borderId="0" xfId="0" applyFont="1" applyAlignment="1"/>
    <xf numFmtId="0" fontId="0" fillId="0" borderId="2" xfId="0" applyBorder="1"/>
    <xf numFmtId="0" fontId="3" fillId="0" borderId="0" xfId="0" applyFont="1"/>
    <xf numFmtId="1" fontId="3" fillId="0" borderId="1" xfId="0" applyNumberFormat="1" applyFont="1" applyBorder="1"/>
    <xf numFmtId="1" fontId="3" fillId="0" borderId="2" xfId="0" applyNumberFormat="1" applyFont="1" applyBorder="1"/>
    <xf numFmtId="0" fontId="3" fillId="0" borderId="5" xfId="0" applyFont="1" applyBorder="1"/>
    <xf numFmtId="0" fontId="3" fillId="0" borderId="1" xfId="0" applyFont="1" applyBorder="1"/>
    <xf numFmtId="0" fontId="3" fillId="0" borderId="2" xfId="0" applyFont="1" applyBorder="1"/>
    <xf numFmtId="1" fontId="3" fillId="0" borderId="3" xfId="0" applyNumberFormat="1" applyFont="1" applyBorder="1"/>
    <xf numFmtId="1" fontId="3" fillId="0" borderId="4" xfId="0" applyNumberFormat="1" applyFont="1" applyBorder="1"/>
    <xf numFmtId="0" fontId="3" fillId="0" borderId="6" xfId="0" applyFont="1" applyBorder="1"/>
    <xf numFmtId="0" fontId="3" fillId="0" borderId="3" xfId="0" applyFont="1" applyBorder="1"/>
    <xf numFmtId="0" fontId="3" fillId="0" borderId="4" xfId="0" applyFont="1" applyBorder="1"/>
    <xf numFmtId="1" fontId="3" fillId="0" borderId="6" xfId="0" applyNumberFormat="1" applyFont="1" applyBorder="1"/>
    <xf numFmtId="0" fontId="3" fillId="0" borderId="12" xfId="0" applyFont="1" applyBorder="1" applyAlignment="1">
      <alignment horizontal="right"/>
    </xf>
    <xf numFmtId="1" fontId="3" fillId="0" borderId="7" xfId="0" applyNumberFormat="1" applyFont="1" applyBorder="1"/>
    <xf numFmtId="1" fontId="3" fillId="0" borderId="10" xfId="0" applyNumberFormat="1" applyFont="1" applyBorder="1"/>
    <xf numFmtId="0" fontId="3" fillId="0" borderId="10" xfId="0" applyFont="1" applyBorder="1" applyAlignment="1">
      <alignment horizontal="right"/>
    </xf>
    <xf numFmtId="0" fontId="3" fillId="0" borderId="11" xfId="0" applyFont="1" applyBorder="1" applyAlignment="1">
      <alignment horizontal="right"/>
    </xf>
    <xf numFmtId="1" fontId="3" fillId="0" borderId="8" xfId="0" applyNumberFormat="1" applyFont="1" applyBorder="1"/>
    <xf numFmtId="1" fontId="3" fillId="0" borderId="11" xfId="0" applyNumberFormat="1" applyFont="1" applyBorder="1"/>
    <xf numFmtId="1" fontId="3" fillId="0" borderId="0" xfId="0" applyNumberFormat="1" applyFont="1"/>
    <xf numFmtId="0" fontId="3" fillId="0" borderId="0" xfId="0" applyFont="1" applyBorder="1"/>
    <xf numFmtId="1" fontId="3" fillId="0" borderId="13" xfId="0" applyNumberFormat="1" applyFont="1" applyBorder="1"/>
    <xf numFmtId="0" fontId="3" fillId="0" borderId="14" xfId="0" applyFont="1" applyBorder="1"/>
    <xf numFmtId="1" fontId="3" fillId="0" borderId="14" xfId="0" applyNumberFormat="1" applyFont="1" applyBorder="1"/>
    <xf numFmtId="0" fontId="3" fillId="0" borderId="3" xfId="0" applyFont="1" applyBorder="1" applyAlignment="1">
      <alignment horizontal="left"/>
    </xf>
    <xf numFmtId="1" fontId="3" fillId="0" borderId="0" xfId="0" applyNumberFormat="1" applyFont="1" applyBorder="1" applyAlignment="1">
      <alignment horizontal="left"/>
    </xf>
    <xf numFmtId="1" fontId="3" fillId="0" borderId="0" xfId="0" applyNumberFormat="1" applyFont="1" applyBorder="1" applyAlignment="1">
      <alignment horizontal="right"/>
    </xf>
    <xf numFmtId="0" fontId="3" fillId="0" borderId="3" xfId="0" applyFont="1" applyBorder="1" applyAlignment="1">
      <alignment horizontal="right"/>
    </xf>
    <xf numFmtId="0" fontId="0" fillId="0" borderId="1" xfId="0" applyBorder="1"/>
    <xf numFmtId="0" fontId="0" fillId="0" borderId="9" xfId="0" applyBorder="1"/>
    <xf numFmtId="1" fontId="0" fillId="0" borderId="9" xfId="0" applyNumberFormat="1" applyBorder="1"/>
    <xf numFmtId="0" fontId="0" fillId="0" borderId="0" xfId="0" applyFill="1"/>
    <xf numFmtId="0" fontId="2" fillId="0" borderId="0" xfId="0" applyFont="1" applyFill="1"/>
    <xf numFmtId="0" fontId="2" fillId="0" borderId="0" xfId="0" applyFont="1" applyFill="1" applyAlignment="1">
      <alignment horizontal="right"/>
    </xf>
    <xf numFmtId="0" fontId="2" fillId="0" borderId="0" xfId="0" applyFont="1" applyFill="1" applyAlignment="1">
      <alignment horizontal="left"/>
    </xf>
    <xf numFmtId="1" fontId="2" fillId="3" borderId="0" xfId="0" applyNumberFormat="1" applyFont="1" applyFill="1"/>
    <xf numFmtId="1" fontId="2" fillId="3" borderId="0" xfId="0" applyNumberFormat="1" applyFont="1" applyFill="1" applyAlignment="1">
      <alignment horizontal="left"/>
    </xf>
    <xf numFmtId="1" fontId="0" fillId="3" borderId="0" xfId="0" applyNumberFormat="1" applyFill="1" applyAlignment="1">
      <alignment horizontal="right"/>
    </xf>
    <xf numFmtId="0" fontId="0" fillId="3" borderId="0" xfId="0" applyFill="1"/>
    <xf numFmtId="0" fontId="2" fillId="3" borderId="0" xfId="0" applyFont="1" applyFill="1"/>
    <xf numFmtId="1" fontId="2" fillId="0" borderId="0" xfId="0" applyNumberFormat="1" applyFont="1" applyFill="1"/>
    <xf numFmtId="1" fontId="2" fillId="5" borderId="0" xfId="0" applyNumberFormat="1" applyFont="1" applyFill="1"/>
    <xf numFmtId="0" fontId="0" fillId="5" borderId="0" xfId="0" applyFill="1" applyAlignment="1">
      <alignment horizontal="right"/>
    </xf>
    <xf numFmtId="1" fontId="0" fillId="5" borderId="0" xfId="0" applyNumberFormat="1" applyFill="1"/>
    <xf numFmtId="164" fontId="2" fillId="5" borderId="0" xfId="0" applyNumberFormat="1" applyFont="1" applyFill="1"/>
    <xf numFmtId="0" fontId="2" fillId="5" borderId="0" xfId="0" applyFont="1" applyFill="1"/>
    <xf numFmtId="0" fontId="0" fillId="5" borderId="0" xfId="0" applyFill="1"/>
    <xf numFmtId="0" fontId="1" fillId="5" borderId="0" xfId="0" applyFont="1" applyFill="1"/>
    <xf numFmtId="0" fontId="1" fillId="0" borderId="0" xfId="0" applyFont="1" applyFill="1"/>
    <xf numFmtId="1" fontId="2" fillId="0" borderId="0" xfId="0" applyNumberFormat="1" applyFont="1" applyFill="1" applyAlignment="1">
      <alignment horizontal="left"/>
    </xf>
    <xf numFmtId="1" fontId="0" fillId="0" borderId="0" xfId="0" applyNumberFormat="1" applyFill="1" applyAlignment="1">
      <alignment horizontal="right"/>
    </xf>
    <xf numFmtId="164" fontId="0" fillId="0" borderId="0" xfId="0" applyNumberFormat="1" applyFill="1"/>
    <xf numFmtId="164" fontId="2" fillId="3" borderId="0" xfId="0" applyNumberFormat="1" applyFont="1" applyFill="1"/>
    <xf numFmtId="0" fontId="2" fillId="5" borderId="0" xfId="0" applyFont="1" applyFill="1" applyAlignment="1">
      <alignment horizontal="left"/>
    </xf>
    <xf numFmtId="0" fontId="4" fillId="0" borderId="0" xfId="0" applyFont="1"/>
    <xf numFmtId="0" fontId="2" fillId="3" borderId="0" xfId="0" applyFont="1" applyFill="1" applyAlignment="1">
      <alignment horizontal="right"/>
    </xf>
    <xf numFmtId="1" fontId="0" fillId="5" borderId="0" xfId="0" applyNumberFormat="1" applyFill="1" applyAlignment="1">
      <alignment horizontal="right"/>
    </xf>
    <xf numFmtId="164" fontId="0" fillId="5" borderId="0" xfId="0" applyNumberFormat="1" applyFill="1"/>
    <xf numFmtId="0" fontId="2" fillId="5" borderId="0" xfId="0" applyFont="1" applyFill="1" applyAlignment="1">
      <alignment horizontal="right"/>
    </xf>
    <xf numFmtId="1" fontId="2" fillId="5" borderId="0" xfId="0" applyNumberFormat="1" applyFont="1" applyFill="1" applyAlignment="1">
      <alignment horizontal="left"/>
    </xf>
    <xf numFmtId="1" fontId="0" fillId="6" borderId="0" xfId="0" applyNumberFormat="1" applyFill="1"/>
    <xf numFmtId="0" fontId="2" fillId="0" borderId="0" xfId="0" applyFont="1" applyFill="1" applyBorder="1"/>
    <xf numFmtId="0" fontId="2" fillId="0" borderId="0" xfId="0" quotePrefix="1" applyFont="1" applyFill="1" applyBorder="1"/>
    <xf numFmtId="0" fontId="0" fillId="0" borderId="0" xfId="0" applyAlignment="1">
      <alignment horizontal="left"/>
    </xf>
    <xf numFmtId="0" fontId="0" fillId="5" borderId="0" xfId="0" applyFill="1" applyAlignment="1">
      <alignment horizontal="left"/>
    </xf>
    <xf numFmtId="1" fontId="5" fillId="0" borderId="3" xfId="0" applyNumberFormat="1" applyFont="1" applyBorder="1" applyAlignment="1">
      <alignment horizontal="left"/>
    </xf>
    <xf numFmtId="0" fontId="0" fillId="0" borderId="0" xfId="0" applyBorder="1"/>
    <xf numFmtId="164" fontId="0" fillId="3" borderId="0" xfId="0" applyNumberFormat="1" applyFill="1"/>
    <xf numFmtId="0" fontId="2" fillId="3" borderId="0" xfId="0" applyFont="1" applyFill="1" applyAlignment="1">
      <alignment horizontal="left"/>
    </xf>
    <xf numFmtId="0" fontId="3" fillId="0" borderId="15" xfId="0" applyFont="1" applyBorder="1" applyAlignment="1">
      <alignment horizontal="right"/>
    </xf>
    <xf numFmtId="0" fontId="3" fillId="0" borderId="16" xfId="0" applyFont="1" applyBorder="1" applyAlignment="1">
      <alignment horizontal="right"/>
    </xf>
    <xf numFmtId="0" fontId="3" fillId="0" borderId="17" xfId="0" applyFont="1" applyBorder="1" applyAlignment="1">
      <alignment horizontal="right"/>
    </xf>
    <xf numFmtId="0" fontId="3" fillId="0" borderId="13" xfId="0" applyFont="1" applyBorder="1"/>
    <xf numFmtId="1" fontId="0" fillId="0" borderId="18" xfId="0" applyNumberFormat="1" applyBorder="1"/>
    <xf numFmtId="165" fontId="0" fillId="0" borderId="7" xfId="0" applyNumberFormat="1" applyBorder="1"/>
    <xf numFmtId="165" fontId="0" fillId="0" borderId="20" xfId="0" applyNumberFormat="1" applyBorder="1"/>
    <xf numFmtId="165" fontId="0" fillId="0" borderId="23" xfId="0" applyNumberFormat="1" applyBorder="1"/>
    <xf numFmtId="165" fontId="0" fillId="0" borderId="24" xfId="0" applyNumberFormat="1" applyBorder="1"/>
    <xf numFmtId="1" fontId="0" fillId="0" borderId="19" xfId="0" applyNumberFormat="1" applyBorder="1"/>
    <xf numFmtId="1" fontId="0" fillId="0" borderId="22" xfId="0" applyNumberFormat="1" applyBorder="1"/>
    <xf numFmtId="1" fontId="0" fillId="0" borderId="7" xfId="0" applyNumberFormat="1" applyBorder="1"/>
    <xf numFmtId="1" fontId="0" fillId="0" borderId="20" xfId="0" applyNumberFormat="1" applyBorder="1"/>
    <xf numFmtId="1" fontId="0" fillId="0" borderId="23" xfId="0" applyNumberFormat="1" applyBorder="1"/>
    <xf numFmtId="1" fontId="0" fillId="0" borderId="8" xfId="0" applyNumberFormat="1" applyBorder="1"/>
    <xf numFmtId="1" fontId="0" fillId="0" borderId="21" xfId="0" applyNumberFormat="1" applyBorder="1"/>
    <xf numFmtId="165" fontId="0" fillId="0" borderId="0" xfId="0" applyNumberFormat="1"/>
    <xf numFmtId="165" fontId="0" fillId="0" borderId="12" xfId="0" applyNumberFormat="1" applyBorder="1"/>
    <xf numFmtId="165" fontId="0" fillId="0" borderId="22" xfId="0" applyNumberFormat="1" applyBorder="1"/>
    <xf numFmtId="165" fontId="0" fillId="0" borderId="10" xfId="0" applyNumberFormat="1" applyBorder="1"/>
    <xf numFmtId="165" fontId="0" fillId="0" borderId="11" xfId="0" applyNumberFormat="1" applyBorder="1"/>
    <xf numFmtId="165" fontId="3" fillId="0" borderId="7" xfId="0" applyNumberFormat="1" applyFont="1" applyBorder="1"/>
    <xf numFmtId="165" fontId="3" fillId="4" borderId="7" xfId="0" applyNumberFormat="1" applyFont="1" applyFill="1" applyBorder="1"/>
    <xf numFmtId="165" fontId="3" fillId="4" borderId="8" xfId="0" applyNumberFormat="1" applyFont="1" applyFill="1" applyBorder="1"/>
    <xf numFmtId="1" fontId="0" fillId="5" borderId="0" xfId="0" applyNumberFormat="1" applyFont="1" applyFill="1"/>
    <xf numFmtId="0" fontId="2" fillId="5" borderId="0" xfId="0" applyFont="1" applyFill="1" applyAlignment="1"/>
  </cellXfs>
  <cellStyles count="1">
    <cellStyle name="Normal" xfId="0" builtinId="0"/>
  </cellStyles>
  <dxfs count="0"/>
  <tableStyles count="0" defaultTableStyle="TableStyleMedium2" defaultPivotStyle="PivotStyleLight16"/>
  <colors>
    <mruColors>
      <color rgb="FFB3D34D"/>
      <color rgb="FFB5D14F"/>
      <color rgb="FF99FF33"/>
      <color rgb="FF99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
  <sheetViews>
    <sheetView tabSelected="1" workbookViewId="0">
      <selection activeCell="G168" sqref="G168"/>
    </sheetView>
  </sheetViews>
  <sheetFormatPr defaultRowHeight="12.75" x14ac:dyDescent="0.2"/>
  <cols>
    <col min="1" max="1" width="14.28515625" customWidth="1"/>
    <col min="2" max="2" width="10.42578125" customWidth="1"/>
    <col min="3" max="3" width="11.7109375" customWidth="1"/>
    <col min="4" max="4" width="11.85546875" customWidth="1"/>
    <col min="5" max="5" width="9.85546875" customWidth="1"/>
    <col min="6" max="6" width="11.85546875" customWidth="1"/>
    <col min="7" max="7" width="14.7109375" customWidth="1"/>
    <col min="8" max="8" width="12.5703125" customWidth="1"/>
    <col min="9" max="9" width="14.28515625" customWidth="1"/>
  </cols>
  <sheetData>
    <row r="1" spans="1:12" x14ac:dyDescent="0.2">
      <c r="A1" s="51"/>
      <c r="B1" s="52"/>
      <c r="C1" s="52"/>
      <c r="D1" s="52"/>
      <c r="E1" s="52"/>
      <c r="F1" s="52"/>
      <c r="G1" s="52"/>
      <c r="H1" s="52"/>
      <c r="I1" s="22"/>
    </row>
    <row r="2" spans="1:12" x14ac:dyDescent="0.2">
      <c r="A2" s="47"/>
      <c r="B2" s="48" t="s">
        <v>122</v>
      </c>
      <c r="C2" s="49"/>
      <c r="D2" s="43"/>
      <c r="E2" s="43"/>
      <c r="F2" s="43"/>
      <c r="G2" s="43" t="s">
        <v>161</v>
      </c>
      <c r="H2" s="43"/>
      <c r="I2" s="33"/>
      <c r="J2" s="23"/>
      <c r="K2" s="4" t="s">
        <v>165</v>
      </c>
    </row>
    <row r="3" spans="1:12" ht="13.5" thickBot="1" x14ac:dyDescent="0.25">
      <c r="A3" s="47"/>
      <c r="B3" s="48"/>
      <c r="C3" s="49"/>
      <c r="D3" s="43"/>
      <c r="E3" s="43"/>
      <c r="F3" s="43"/>
      <c r="G3" s="43"/>
      <c r="H3" s="43"/>
      <c r="I3" s="33"/>
      <c r="J3" s="23"/>
      <c r="K3" s="4" t="s">
        <v>164</v>
      </c>
      <c r="L3" s="4"/>
    </row>
    <row r="4" spans="1:12" x14ac:dyDescent="0.2">
      <c r="A4" s="50"/>
      <c r="B4" s="24" t="s">
        <v>92</v>
      </c>
      <c r="C4" s="25"/>
      <c r="D4" s="26" t="s">
        <v>93</v>
      </c>
      <c r="E4" s="27" t="s">
        <v>94</v>
      </c>
      <c r="F4" s="28"/>
      <c r="G4" s="26" t="s">
        <v>102</v>
      </c>
      <c r="H4" s="26" t="s">
        <v>103</v>
      </c>
      <c r="I4" s="26" t="s">
        <v>121</v>
      </c>
      <c r="J4" s="23"/>
      <c r="K4" s="84" t="s">
        <v>166</v>
      </c>
      <c r="L4" s="85"/>
    </row>
    <row r="5" spans="1:12" x14ac:dyDescent="0.2">
      <c r="A5" s="50"/>
      <c r="B5" s="29"/>
      <c r="C5" s="30"/>
      <c r="D5" s="31"/>
      <c r="E5" s="32"/>
      <c r="F5" s="33"/>
      <c r="G5" s="31"/>
      <c r="H5" s="31" t="s">
        <v>120</v>
      </c>
      <c r="I5" s="31" t="s">
        <v>120</v>
      </c>
      <c r="J5" s="23"/>
    </row>
    <row r="6" spans="1:12" x14ac:dyDescent="0.2">
      <c r="A6" s="50"/>
      <c r="B6" s="29"/>
      <c r="C6" s="30"/>
      <c r="D6" s="31"/>
      <c r="E6" s="32"/>
      <c r="F6" s="33"/>
      <c r="G6" s="31"/>
      <c r="H6" s="31"/>
      <c r="I6" s="31"/>
      <c r="J6" s="23"/>
    </row>
    <row r="7" spans="1:12" x14ac:dyDescent="0.2">
      <c r="A7" s="50"/>
      <c r="B7" s="44" t="s">
        <v>55</v>
      </c>
      <c r="C7" s="30" t="s">
        <v>55</v>
      </c>
      <c r="D7" s="34" t="s">
        <v>119</v>
      </c>
      <c r="E7" s="44" t="s">
        <v>56</v>
      </c>
      <c r="F7" s="30" t="s">
        <v>56</v>
      </c>
      <c r="G7" s="34" t="s">
        <v>73</v>
      </c>
      <c r="H7" s="34" t="s">
        <v>73</v>
      </c>
      <c r="I7" s="34" t="s">
        <v>73</v>
      </c>
      <c r="J7" s="23"/>
    </row>
    <row r="8" spans="1:12" x14ac:dyDescent="0.2">
      <c r="A8" s="50"/>
      <c r="B8" s="44" t="s">
        <v>54</v>
      </c>
      <c r="C8" s="30" t="s">
        <v>125</v>
      </c>
      <c r="D8" s="34" t="s">
        <v>54</v>
      </c>
      <c r="E8" s="44" t="s">
        <v>54</v>
      </c>
      <c r="F8" s="30" t="s">
        <v>125</v>
      </c>
      <c r="G8" s="31" t="s">
        <v>124</v>
      </c>
      <c r="H8" s="31" t="s">
        <v>124</v>
      </c>
      <c r="I8" s="31" t="s">
        <v>124</v>
      </c>
      <c r="J8" s="23"/>
    </row>
    <row r="9" spans="1:12" ht="13.5" thickBot="1" x14ac:dyDescent="0.25">
      <c r="A9" s="50"/>
      <c r="B9" s="46"/>
      <c r="C9" s="30"/>
      <c r="D9" s="31"/>
      <c r="E9" s="45"/>
      <c r="F9" s="33"/>
      <c r="G9" s="31"/>
      <c r="H9" s="31"/>
      <c r="I9" s="31"/>
      <c r="J9" s="23"/>
    </row>
    <row r="10" spans="1:12" x14ac:dyDescent="0.2">
      <c r="A10" s="35" t="s">
        <v>4</v>
      </c>
      <c r="B10" s="36">
        <f>IF(Calculations!AY9=0,"",Calculations!AY9)</f>
        <v>102.19530658591977</v>
      </c>
      <c r="C10" s="36">
        <f>IF(Calculations!AZ9=0,"",Calculations!AZ9)</f>
        <v>92.783505154639172</v>
      </c>
      <c r="D10" s="36">
        <f>IF(Calculations!BA9=0,"",Calculations!BA9)</f>
        <v>655.9</v>
      </c>
      <c r="E10" s="36">
        <f>IF(Calculations!BB9=0,"",Calculations!BB9)</f>
        <v>75968.950749464668</v>
      </c>
      <c r="F10" s="36">
        <f>IF(Calculations!BC9=0,"",Calculations!BC9)</f>
        <v>60645.299145299148</v>
      </c>
      <c r="G10" s="36" t="str">
        <f>IF(Calculations!BD9=0,"",Calculations!BD9)</f>
        <v>High</v>
      </c>
      <c r="H10" s="36" t="str">
        <f>IF(Calculations!BE9=0,"",Calculations!BE9)</f>
        <v>High</v>
      </c>
      <c r="I10" s="37" t="str">
        <f>IF(Calculations!BF9=0,"",Calculations!BF9)</f>
        <v>Moderate</v>
      </c>
      <c r="J10" s="23"/>
    </row>
    <row r="11" spans="1:12" x14ac:dyDescent="0.2">
      <c r="A11" s="38" t="s">
        <v>62</v>
      </c>
      <c r="B11" s="36">
        <f>IF(Calculations!AY10=0,"",Calculations!AY10)</f>
        <v>159.8694942903752</v>
      </c>
      <c r="C11" s="36">
        <f>IF(Calculations!AZ10=0,"",Calculations!AZ10)</f>
        <v>133.33333333333334</v>
      </c>
      <c r="D11" s="36">
        <f>IF(Calculations!BA10=0,"",Calculations!BA10)</f>
        <v>119.5</v>
      </c>
      <c r="E11" s="36">
        <f>IF(Calculations!BB10=0,"",Calculations!BB10)</f>
        <v>66984.5971563981</v>
      </c>
      <c r="F11" s="36">
        <f>IF(Calculations!BC10=0,"",Calculations!BC10)</f>
        <v>42348.314606741573</v>
      </c>
      <c r="G11" s="36" t="str">
        <f>IF(Calculations!BD10=0,"",Calculations!BD10)</f>
        <v>Low</v>
      </c>
      <c r="H11" s="36" t="str">
        <f>IF(Calculations!BE10=0,"",Calculations!BE10)</f>
        <v>Moderate</v>
      </c>
      <c r="I11" s="37" t="str">
        <f>IF(Calculations!BF10=0,"",Calculations!BF10)</f>
        <v>Low</v>
      </c>
      <c r="J11" s="23"/>
    </row>
    <row r="12" spans="1:12" x14ac:dyDescent="0.2">
      <c r="A12" s="38" t="s">
        <v>6</v>
      </c>
      <c r="B12" s="36">
        <f>IF(Calculations!AY11=0,"",Calculations!AY11)</f>
        <v>45.902883156297413</v>
      </c>
      <c r="C12" s="36">
        <f>IF(Calculations!AZ11=0,"",Calculations!AZ11)</f>
        <v>50.840336134453779</v>
      </c>
      <c r="D12" s="36">
        <f>IF(Calculations!BA11=0,"",Calculations!BA11)</f>
        <v>50.5</v>
      </c>
      <c r="E12" s="36">
        <f>IF(Calculations!BB11=0,"",Calculations!BB11)</f>
        <v>30230.515916575194</v>
      </c>
      <c r="F12" s="36">
        <f>IF(Calculations!BC11=0,"",Calculations!BC11)</f>
        <v>26104.265402843601</v>
      </c>
      <c r="G12" s="36" t="str">
        <f>IF(Calculations!BD11=0,"",Calculations!BD11)</f>
        <v>High</v>
      </c>
      <c r="H12" s="36" t="str">
        <f>IF(Calculations!BE11=0,"",Calculations!BE11)</f>
        <v>Very High</v>
      </c>
      <c r="I12" s="37" t="str">
        <f>IF(Calculations!BF11=0,"",Calculations!BF11)</f>
        <v>Moderate</v>
      </c>
      <c r="J12" s="23"/>
    </row>
    <row r="13" spans="1:12" x14ac:dyDescent="0.2">
      <c r="A13" s="38" t="s">
        <v>5</v>
      </c>
      <c r="B13" s="36">
        <f>IF(Calculations!AY12=0,"",Calculations!AY12)</f>
        <v>25.274725274725274</v>
      </c>
      <c r="C13" s="36">
        <f>IF(Calculations!AZ12=0,"",Calculations!AZ12)</f>
        <v>28.87029288702929</v>
      </c>
      <c r="D13" s="36">
        <f>IF(Calculations!BA12=0,"",Calculations!BA12)</f>
        <v>28.1</v>
      </c>
      <c r="E13" s="36">
        <f>IF(Calculations!BB12=0,"",Calculations!BB12)</f>
        <v>11924.731182795698</v>
      </c>
      <c r="F13" s="36">
        <f>IF(Calculations!BC12=0,"",Calculations!BC12)</f>
        <v>10316.279069767443</v>
      </c>
      <c r="G13" s="36" t="str">
        <f>IF(Calculations!BD12=0,"",Calculations!BD12)</f>
        <v>High</v>
      </c>
      <c r="H13" s="36" t="str">
        <f>IF(Calculations!BE12=0,"",Calculations!BE12)</f>
        <v>Moderate</v>
      </c>
      <c r="I13" s="37" t="str">
        <f>IF(Calculations!BF12=0,"",Calculations!BF12)</f>
        <v>Moderate</v>
      </c>
      <c r="J13" s="23"/>
    </row>
    <row r="14" spans="1:12" x14ac:dyDescent="0.2">
      <c r="A14" s="38" t="s">
        <v>25</v>
      </c>
      <c r="B14" s="36">
        <f>IF(Calculations!AY13=0,"",Calculations!AY13)</f>
        <v>53.846153846153847</v>
      </c>
      <c r="C14" s="36">
        <f>IF(Calculations!AZ13=0,"",Calculations!AZ13)</f>
        <v>57.766990291262132</v>
      </c>
      <c r="D14" s="36">
        <f>IF(Calculations!BA13=0,"",Calculations!BA13)</f>
        <v>7.3</v>
      </c>
      <c r="E14" s="36" t="str">
        <f>IF(Calculations!BB13=0,"",Calculations!BB13)</f>
        <v/>
      </c>
      <c r="F14" s="36" t="str">
        <f>IF(Calculations!BC13=0,"",Calculations!BC13)</f>
        <v/>
      </c>
      <c r="G14" s="36" t="str">
        <f>IF(Calculations!BD13=0,"",Calculations!BD13)</f>
        <v>Low</v>
      </c>
      <c r="H14" s="36" t="str">
        <f>IF(Calculations!BE13=0,"",Calculations!BE13)</f>
        <v>Very Low</v>
      </c>
      <c r="I14" s="37" t="str">
        <f>IF(Calculations!BF13=0,"",Calculations!BF13)</f>
        <v>Low</v>
      </c>
      <c r="J14" s="23"/>
    </row>
    <row r="15" spans="1:12" x14ac:dyDescent="0.2">
      <c r="A15" s="38" t="s">
        <v>24</v>
      </c>
      <c r="B15" s="36">
        <f>IF(Calculations!AY14=0,"",Calculations!AY14)</f>
        <v>5.8</v>
      </c>
      <c r="C15" s="36">
        <f>IF(Calculations!AZ14=0,"",Calculations!AZ14)</f>
        <v>8.0255813953488371</v>
      </c>
      <c r="D15" s="36">
        <f>IF(Calculations!BA14=0,"",Calculations!BA14)</f>
        <v>1.5</v>
      </c>
      <c r="E15" s="36" t="str">
        <f>IF(Calculations!BB14=0,"",Calculations!BB14)</f>
        <v/>
      </c>
      <c r="F15" s="36" t="str">
        <f>IF(Calculations!BC14=0,"",Calculations!BC14)</f>
        <v/>
      </c>
      <c r="G15" s="36" t="str">
        <f>IF(Calculations!BD14=0,"",Calculations!BD14)</f>
        <v>Very Low</v>
      </c>
      <c r="H15" s="36" t="str">
        <f>IF(Calculations!BE14=0,"",Calculations!BE14)</f>
        <v>Near Zero</v>
      </c>
      <c r="I15" s="37" t="str">
        <f>IF(Calculations!BF14=0,"",Calculations!BF14)</f>
        <v>Very Low</v>
      </c>
      <c r="J15" s="23"/>
    </row>
    <row r="16" spans="1:12" x14ac:dyDescent="0.2">
      <c r="A16" s="38" t="s">
        <v>7</v>
      </c>
      <c r="B16" s="36">
        <f>IF(Calculations!AY15=0,"",Calculations!AY15)</f>
        <v>38.155802861685217</v>
      </c>
      <c r="C16" s="36">
        <f>IF(Calculations!AZ15=0,"",Calculations!AZ15)</f>
        <v>30.967741935483872</v>
      </c>
      <c r="D16" s="36">
        <f>IF(Calculations!BA15=0,"",Calculations!BA15)</f>
        <v>35.9</v>
      </c>
      <c r="E16" s="36">
        <f>IF(Calculations!BB15=0,"",Calculations!BB15)</f>
        <v>12468.152866242039</v>
      </c>
      <c r="F16" s="36">
        <f>IF(Calculations!BC15=0,"",Calculations!BC15)</f>
        <v>10951.048951048951</v>
      </c>
      <c r="G16" s="36" t="str">
        <f>IF(Calculations!BD15=0,"",Calculations!BD15)</f>
        <v>High</v>
      </c>
      <c r="H16" s="36" t="str">
        <f>IF(Calculations!BE15=0,"",Calculations!BE15)</f>
        <v>Moderate</v>
      </c>
      <c r="I16" s="37" t="str">
        <f>IF(Calculations!BF15=0,"",Calculations!BF15)</f>
        <v>Low</v>
      </c>
      <c r="J16" s="23"/>
    </row>
    <row r="17" spans="1:10" x14ac:dyDescent="0.2">
      <c r="A17" s="38" t="s">
        <v>9</v>
      </c>
      <c r="B17" s="36">
        <f>IF(Calculations!AY16=0,"",Calculations!AY16)</f>
        <v>60.317460317460316</v>
      </c>
      <c r="C17" s="36">
        <f>IF(Calculations!AZ16=0,"",Calculations!AZ16)</f>
        <v>31.147540983606557</v>
      </c>
      <c r="D17" s="36">
        <f>IF(Calculations!BA16=0,"",Calculations!BA16)</f>
        <v>34.4</v>
      </c>
      <c r="E17" s="36">
        <f>IF(Calculations!BB16=0,"",Calculations!BB16)</f>
        <v>25269.841269841269</v>
      </c>
      <c r="F17" s="36">
        <f>IF(Calculations!BC16=0,"",Calculations!BC16)</f>
        <v>13049.180327868853</v>
      </c>
      <c r="G17" s="36" t="str">
        <f>IF(Calculations!BD16=0,"",Calculations!BD16)</f>
        <v>High</v>
      </c>
      <c r="H17" s="36" t="str">
        <f>IF(Calculations!BE16=0,"",Calculations!BE16)</f>
        <v>High</v>
      </c>
      <c r="I17" s="37" t="str">
        <f>IF(Calculations!BF16=0,"",Calculations!BF16)</f>
        <v>Low</v>
      </c>
      <c r="J17" s="23"/>
    </row>
    <row r="18" spans="1:10" x14ac:dyDescent="0.2">
      <c r="A18" s="38" t="s">
        <v>10</v>
      </c>
      <c r="B18" s="36">
        <f>IF(Calculations!AY17=0,"",Calculations!AY17)</f>
        <v>54.216867469879517</v>
      </c>
      <c r="C18" s="36">
        <f>IF(Calculations!AZ17=0,"",Calculations!AZ17)</f>
        <v>33.498759305210918</v>
      </c>
      <c r="D18" s="36">
        <f>IF(Calculations!BA17=0,"",Calculations!BA17)</f>
        <v>34.4</v>
      </c>
      <c r="E18" s="36">
        <f>IF(Calculations!BB17=0,"",Calculations!BB17)</f>
        <v>15843.373493975903</v>
      </c>
      <c r="F18" s="36">
        <f>IF(Calculations!BC17=0,"",Calculations!BC17)</f>
        <v>9789.0818858560797</v>
      </c>
      <c r="G18" s="36" t="str">
        <f>IF(Calculations!BD17=0,"",Calculations!BD17)</f>
        <v>High</v>
      </c>
      <c r="H18" s="36" t="str">
        <f>IF(Calculations!BE17=0,"",Calculations!BE17)</f>
        <v>High</v>
      </c>
      <c r="I18" s="37" t="str">
        <f>IF(Calculations!BF17=0,"",Calculations!BF17)</f>
        <v>Low</v>
      </c>
      <c r="J18" s="23"/>
    </row>
    <row r="19" spans="1:10" x14ac:dyDescent="0.2">
      <c r="A19" s="38" t="s">
        <v>8</v>
      </c>
      <c r="B19" s="36">
        <f>IF(Calculations!AY18=0,"",Calculations!AY18)</f>
        <v>41.515151515151508</v>
      </c>
      <c r="C19" s="36">
        <f>IF(Calculations!AZ18=0,"",Calculations!AZ18)</f>
        <v>2.7454909819639277</v>
      </c>
      <c r="D19" s="36" t="str">
        <f>IF(Calculations!BA18=0,"",Calculations!BA18)</f>
        <v/>
      </c>
      <c r="E19" s="36">
        <f>IF(Calculations!BB18=0,"",Calculations!BB18)</f>
        <v>131090.90909090909</v>
      </c>
      <c r="F19" s="36">
        <f>IF(Calculations!BC18=0,"",Calculations!BC18)</f>
        <v>8669.3386773547099</v>
      </c>
      <c r="G19" s="36" t="str">
        <f>IF(Calculations!BD18=0,"",Calculations!BD18)</f>
        <v>High</v>
      </c>
      <c r="H19" s="36" t="str">
        <f>IF(Calculations!BE18=0,"",Calculations!BE18)</f>
        <v>High</v>
      </c>
      <c r="I19" s="37" t="str">
        <f>IF(Calculations!BF18=0,"",Calculations!BF18)</f>
        <v>Low</v>
      </c>
      <c r="J19" s="23"/>
    </row>
    <row r="20" spans="1:10" x14ac:dyDescent="0.2">
      <c r="A20" s="38" t="s">
        <v>95</v>
      </c>
      <c r="B20" s="36">
        <f>IF(Calculations!AY19=0,"",Calculations!AY19)</f>
        <v>9.9778270509977816</v>
      </c>
      <c r="C20" s="36">
        <f>IF(Calculations!AZ19=0,"",Calculations!AZ19)</f>
        <v>7.7586206896551726</v>
      </c>
      <c r="D20" s="36">
        <f>IF(Calculations!BA19=0,"",Calculations!BA19)</f>
        <v>19.899999999999999</v>
      </c>
      <c r="E20" s="36">
        <f>IF(Calculations!BB19=0,"",Calculations!BB19)</f>
        <v>22767.441860465115</v>
      </c>
      <c r="F20" s="36">
        <f>IF(Calculations!BC19=0,"",Calculations!BC19)</f>
        <v>17125.36443148688</v>
      </c>
      <c r="G20" s="36" t="str">
        <f>IF(Calculations!BD19=0,"",Calculations!BD19)</f>
        <v>Low</v>
      </c>
      <c r="H20" s="36" t="str">
        <f>IF(Calculations!BE19=0,"",Calculations!BE19)</f>
        <v>Very Low</v>
      </c>
      <c r="I20" s="37" t="str">
        <f>IF(Calculations!BF19=0,"",Calculations!BF19)</f>
        <v>Very Low</v>
      </c>
      <c r="J20" s="23"/>
    </row>
    <row r="21" spans="1:10" x14ac:dyDescent="0.2">
      <c r="A21" s="38" t="s">
        <v>96</v>
      </c>
      <c r="B21" s="36">
        <f>IF(Calculations!AY20=0,"",Calculations!AY20)</f>
        <v>22.197558268590456</v>
      </c>
      <c r="C21" s="36">
        <f>IF(Calculations!AZ20=0,"",Calculations!AZ20)</f>
        <v>13.986013986013987</v>
      </c>
      <c r="D21" s="36">
        <f>IF(Calculations!BA20=0,"",Calculations!BA20)</f>
        <v>19.899999999999999</v>
      </c>
      <c r="E21" s="36">
        <f>IF(Calculations!BB20=0,"",Calculations!BB20)</f>
        <v>23590.102707749767</v>
      </c>
      <c r="F21" s="36">
        <f>IF(Calculations!BC20=0,"",Calculations!BC20)</f>
        <v>14561.959654178674</v>
      </c>
      <c r="G21" s="36" t="str">
        <f>IF(Calculations!BD20=0,"",Calculations!BD20)</f>
        <v>Low</v>
      </c>
      <c r="H21" s="36" t="str">
        <f>IF(Calculations!BE20=0,"",Calculations!BE20)</f>
        <v>Very Low</v>
      </c>
      <c r="I21" s="37" t="str">
        <f>IF(Calculations!BF20=0,"",Calculations!BF20)</f>
        <v>Very Low</v>
      </c>
      <c r="J21" s="23"/>
    </row>
    <row r="22" spans="1:10" x14ac:dyDescent="0.2">
      <c r="A22" s="38" t="s">
        <v>38</v>
      </c>
      <c r="B22" s="36">
        <f>IF(Calculations!AY21=0,"",Calculations!AY21)</f>
        <v>116.37931034482759</v>
      </c>
      <c r="C22" s="36">
        <f>IF(Calculations!AZ21=0,"",Calculations!AZ21)</f>
        <v>24.107142857142858</v>
      </c>
      <c r="D22" s="36" t="str">
        <f>IF(Calculations!BA21=0,"",Calculations!BA21)</f>
        <v/>
      </c>
      <c r="E22" s="36">
        <f>IF(Calculations!BB21=0,"",Calculations!BB21)</f>
        <v>28960</v>
      </c>
      <c r="F22" s="36">
        <f>IF(Calculations!BC21=0,"",Calculations!BC21)</f>
        <v>6000</v>
      </c>
      <c r="G22" s="36" t="str">
        <f>IF(Calculations!BD21=0,"",Calculations!BD21)</f>
        <v>Low</v>
      </c>
      <c r="H22" s="36" t="str">
        <f>IF(Calculations!BE21=0,"",Calculations!BE21)</f>
        <v>Very Low</v>
      </c>
      <c r="I22" s="37" t="str">
        <f>IF(Calculations!BF21=0,"",Calculations!BF21)</f>
        <v>Very Low</v>
      </c>
      <c r="J22" s="23"/>
    </row>
    <row r="23" spans="1:10" x14ac:dyDescent="0.2">
      <c r="A23" s="38" t="s">
        <v>139</v>
      </c>
      <c r="B23" s="36">
        <f>IF(Calculations!AY22=0,"",Calculations!AY22)</f>
        <v>124.99999999999999</v>
      </c>
      <c r="C23" s="36">
        <f>IF(Calculations!AZ22=0,"",Calculations!AZ22)</f>
        <v>61.111111111111114</v>
      </c>
      <c r="D23" s="36" t="str">
        <f>IF(Calculations!BA22=0,"",Calculations!BA22)</f>
        <v/>
      </c>
      <c r="E23" s="36">
        <f>IF(Calculations!BB22=0,"",Calculations!BB22)</f>
        <v>24318.181818181816</v>
      </c>
      <c r="F23" s="36">
        <f>IF(Calculations!BC22=0,"",Calculations!BC22)</f>
        <v>11888.888888888889</v>
      </c>
      <c r="G23" s="36" t="str">
        <f>IF(Calculations!BD22=0,"",Calculations!BD22)</f>
        <v>Low</v>
      </c>
      <c r="H23" s="36" t="str">
        <f>IF(Calculations!BE22=0,"",Calculations!BE22)</f>
        <v>Very Low</v>
      </c>
      <c r="I23" s="37" t="str">
        <f>IF(Calculations!BF22=0,"",Calculations!BF22)</f>
        <v>Moderate</v>
      </c>
      <c r="J23" s="23"/>
    </row>
    <row r="24" spans="1:10" x14ac:dyDescent="0.2">
      <c r="A24" s="38" t="s">
        <v>138</v>
      </c>
      <c r="B24" s="36">
        <f>IF(Calculations!AY23=0,"",Calculations!AY23)</f>
        <v>155.08021390374333</v>
      </c>
      <c r="C24" s="36">
        <f>IF(Calculations!AZ23=0,"",Calculations!AZ23)</f>
        <v>33.333333333333336</v>
      </c>
      <c r="D24" s="36" t="str">
        <f>IF(Calculations!BA23=0,"",Calculations!BA23)</f>
        <v/>
      </c>
      <c r="E24" s="36">
        <f>IF(Calculations!BB23=0,"",Calculations!BB23)</f>
        <v>14207.920792079209</v>
      </c>
      <c r="F24" s="36">
        <f>IF(Calculations!BC23=0,"",Calculations!BC23)</f>
        <v>3727.2727272727275</v>
      </c>
      <c r="G24" s="36" t="str">
        <f>IF(Calculations!BD23=0,"",Calculations!BD23)</f>
        <v>Low</v>
      </c>
      <c r="H24" s="36" t="str">
        <f>IF(Calculations!BE23=0,"",Calculations!BE23)</f>
        <v>Very Low</v>
      </c>
      <c r="I24" s="37" t="str">
        <f>IF(Calculations!BF23=0,"",Calculations!BF23)</f>
        <v>Very Low</v>
      </c>
      <c r="J24" s="23"/>
    </row>
    <row r="25" spans="1:10" x14ac:dyDescent="0.2">
      <c r="A25" s="38" t="s">
        <v>99</v>
      </c>
      <c r="B25" s="36">
        <f>IF(Calculations!AY24=0,"",Calculations!AY24)</f>
        <v>70.921985815602838</v>
      </c>
      <c r="C25" s="36">
        <f>IF(Calculations!AZ24=0,"",Calculations!AZ24)</f>
        <v>58.823529411764703</v>
      </c>
      <c r="D25" s="36" t="str">
        <f>IF(Calculations!BA24=0,"",Calculations!BA24)</f>
        <v/>
      </c>
      <c r="E25" s="36">
        <f>IF(Calculations!BB24=0,"",Calculations!BB24)</f>
        <v>10106.382978723404</v>
      </c>
      <c r="F25" s="36">
        <f>IF(Calculations!BC24=0,"",Calculations!BC24)</f>
        <v>8382.3529411764703</v>
      </c>
      <c r="G25" s="36" t="str">
        <f>IF(Calculations!BD24=0,"",Calculations!BD24)</f>
        <v>Low</v>
      </c>
      <c r="H25" s="36" t="str">
        <f>IF(Calculations!BE24=0,"",Calculations!BE24)</f>
        <v>Very Low</v>
      </c>
      <c r="I25" s="37" t="str">
        <f>IF(Calculations!BF24=0,"",Calculations!BF24)</f>
        <v>Moderate</v>
      </c>
      <c r="J25" s="23"/>
    </row>
    <row r="26" spans="1:10" x14ac:dyDescent="0.2">
      <c r="A26" s="38" t="s">
        <v>100</v>
      </c>
      <c r="B26" s="36">
        <f>IF(Calculations!AY25=0,"",Calculations!AY25)</f>
        <v>33.333333333333329</v>
      </c>
      <c r="C26" s="36">
        <f>IF(Calculations!AZ25=0,"",Calculations!AZ25)</f>
        <v>7.5609756097560972</v>
      </c>
      <c r="D26" s="36" t="str">
        <f>IF(Calculations!BA25=0,"",Calculations!BA25)</f>
        <v/>
      </c>
      <c r="E26" s="36">
        <f>IF(Calculations!BB25=0,"",Calculations!BB25)</f>
        <v>20967.741935483868</v>
      </c>
      <c r="F26" s="36">
        <f>IF(Calculations!BC25=0,"",Calculations!BC25)</f>
        <v>4756.0975609756097</v>
      </c>
      <c r="G26" s="36" t="str">
        <f>IF(Calculations!BD25=0,"",Calculations!BD25)</f>
        <v>Low</v>
      </c>
      <c r="H26" s="36" t="str">
        <f>IF(Calculations!BE25=0,"",Calculations!BE25)</f>
        <v>Very Low</v>
      </c>
      <c r="I26" s="37" t="str">
        <f>IF(Calculations!BF25=0,"",Calculations!BF25)</f>
        <v>Very Low</v>
      </c>
      <c r="J26" s="23"/>
    </row>
    <row r="27" spans="1:10" x14ac:dyDescent="0.2">
      <c r="A27" s="38" t="s">
        <v>32</v>
      </c>
      <c r="B27" s="36">
        <f>IF(Calculations!AY26=0,"",Calculations!AY26)</f>
        <v>51.428571428571431</v>
      </c>
      <c r="C27" s="36">
        <f>IF(Calculations!AZ26=0,"",Calculations!AZ26)</f>
        <v>7.8260869565217392</v>
      </c>
      <c r="D27" s="36" t="str">
        <f>IF(Calculations!BA26=0,"",Calculations!BA26)</f>
        <v/>
      </c>
      <c r="E27" s="36">
        <f>IF(Calculations!BB26=0,"",Calculations!BB26)</f>
        <v>80000</v>
      </c>
      <c r="F27" s="36">
        <f>IF(Calculations!BC26=0,"",Calculations!BC26)</f>
        <v>12173.91304347826</v>
      </c>
      <c r="G27" s="36" t="str">
        <f>IF(Calculations!BD26=0,"",Calculations!BD26)</f>
        <v>Low</v>
      </c>
      <c r="H27" s="36" t="str">
        <f>IF(Calculations!BE26=0,"",Calculations!BE26)</f>
        <v>Very Low</v>
      </c>
      <c r="I27" s="37" t="str">
        <f>IF(Calculations!BF26=0,"",Calculations!BF26)</f>
        <v>Moderate</v>
      </c>
      <c r="J27" s="23"/>
    </row>
    <row r="28" spans="1:10" x14ac:dyDescent="0.2">
      <c r="A28" s="38" t="s">
        <v>33</v>
      </c>
      <c r="B28" s="36">
        <f>IF(Calculations!AY27=0,"",Calculations!AY27)</f>
        <v>44.954128440366972</v>
      </c>
      <c r="C28" s="36">
        <f>IF(Calculations!AZ27=0,"",Calculations!AZ27)</f>
        <v>5.5056179775280896</v>
      </c>
      <c r="D28" s="36" t="str">
        <f>IF(Calculations!BA27=0,"",Calculations!BA27)</f>
        <v/>
      </c>
      <c r="E28" s="36">
        <f>IF(Calculations!BB27=0,"",Calculations!BB27)</f>
        <v>72477.064220183485</v>
      </c>
      <c r="F28" s="36">
        <f>IF(Calculations!BC27=0,"",Calculations!BC27)</f>
        <v>8876.4044943820227</v>
      </c>
      <c r="G28" s="36" t="str">
        <f>IF(Calculations!BD27=0,"",Calculations!BD27)</f>
        <v>Low</v>
      </c>
      <c r="H28" s="36" t="str">
        <f>IF(Calculations!BE27=0,"",Calculations!BE27)</f>
        <v>Very Low</v>
      </c>
      <c r="I28" s="37" t="str">
        <f>IF(Calculations!BF27=0,"",Calculations!BF27)</f>
        <v>High</v>
      </c>
      <c r="J28" s="23"/>
    </row>
    <row r="29" spans="1:10" x14ac:dyDescent="0.2">
      <c r="A29" s="38" t="s">
        <v>34</v>
      </c>
      <c r="B29" s="36">
        <f>IF(Calculations!AY28=0,"",Calculations!AY28)</f>
        <v>45.054945054945065</v>
      </c>
      <c r="C29" s="36">
        <f>IF(Calculations!AZ28=0,"",Calculations!AZ28)</f>
        <v>10.512820512820513</v>
      </c>
      <c r="D29" s="36" t="str">
        <f>IF(Calculations!BA28=0,"",Calculations!BA28)</f>
        <v/>
      </c>
      <c r="E29" s="36">
        <f>IF(Calculations!BB28=0,"",Calculations!BB28)</f>
        <v>100000</v>
      </c>
      <c r="F29" s="36">
        <f>IF(Calculations!BC28=0,"",Calculations!BC28)</f>
        <v>23333.333333333332</v>
      </c>
      <c r="G29" s="36" t="str">
        <f>IF(Calculations!BD28=0,"",Calculations!BD28)</f>
        <v>Low</v>
      </c>
      <c r="H29" s="36" t="str">
        <f>IF(Calculations!BE28=0,"",Calculations!BE28)</f>
        <v>Very Low</v>
      </c>
      <c r="I29" s="37" t="str">
        <f>IF(Calculations!BF28=0,"",Calculations!BF28)</f>
        <v>Moderate</v>
      </c>
      <c r="J29" s="23"/>
    </row>
    <row r="30" spans="1:10" x14ac:dyDescent="0.2">
      <c r="A30" s="38" t="s">
        <v>35</v>
      </c>
      <c r="B30" s="36">
        <f>IF(Calculations!AY29=0,"",Calculations!AY29)</f>
        <v>74.626865671641795</v>
      </c>
      <c r="C30" s="36">
        <f>IF(Calculations!AZ29=0,"",Calculations!AZ29)</f>
        <v>15.625</v>
      </c>
      <c r="D30" s="36" t="str">
        <f>IF(Calculations!BA29=0,"",Calculations!BA29)</f>
        <v/>
      </c>
      <c r="E30" s="36">
        <f>IF(Calculations!BB29=0,"",Calculations!BB29)</f>
        <v>51791.044776119401</v>
      </c>
      <c r="F30" s="36">
        <f>IF(Calculations!BC29=0,"",Calculations!BC29)</f>
        <v>10843.75</v>
      </c>
      <c r="G30" s="36" t="str">
        <f>IF(Calculations!BD29=0,"",Calculations!BD29)</f>
        <v>Low</v>
      </c>
      <c r="H30" s="36" t="str">
        <f>IF(Calculations!BE29=0,"",Calculations!BE29)</f>
        <v>Very Low</v>
      </c>
      <c r="I30" s="37" t="str">
        <f>IF(Calculations!BF29=0,"",Calculations!BF29)</f>
        <v>Very High</v>
      </c>
      <c r="J30" s="23"/>
    </row>
    <row r="31" spans="1:10" x14ac:dyDescent="0.2">
      <c r="A31" s="38" t="s">
        <v>36</v>
      </c>
      <c r="B31" s="36">
        <f>IF(Calculations!AY30=0,"",Calculations!AY30)</f>
        <v>63.492063492063494</v>
      </c>
      <c r="C31" s="36">
        <f>IF(Calculations!AZ30=0,"",Calculations!AZ30)</f>
        <v>5.9701492537313436</v>
      </c>
      <c r="D31" s="36" t="str">
        <f>IF(Calculations!BA30=0,"",Calculations!BA30)</f>
        <v/>
      </c>
      <c r="E31" s="36">
        <f>IF(Calculations!BB30=0,"",Calculations!BB30)</f>
        <v>96507.936507936509</v>
      </c>
      <c r="F31" s="36">
        <f>IF(Calculations!BC30=0,"",Calculations!BC30)</f>
        <v>9074.626865671642</v>
      </c>
      <c r="G31" s="36" t="str">
        <f>IF(Calculations!BD30=0,"",Calculations!BD30)</f>
        <v>Low</v>
      </c>
      <c r="H31" s="36" t="str">
        <f>IF(Calculations!BE30=0,"",Calculations!BE30)</f>
        <v>Very Low</v>
      </c>
      <c r="I31" s="37" t="str">
        <f>IF(Calculations!BF30=0,"",Calculations!BF30)</f>
        <v>High</v>
      </c>
      <c r="J31" s="23"/>
    </row>
    <row r="32" spans="1:10" x14ac:dyDescent="0.2">
      <c r="A32" s="38" t="s">
        <v>37</v>
      </c>
      <c r="B32" s="36">
        <f>IF(Calculations!AY31=0,"",Calculations!AY31)</f>
        <v>134.61538461538461</v>
      </c>
      <c r="C32" s="36">
        <f>IF(Calculations!AZ31=0,"",Calculations!AZ31)</f>
        <v>6.7307692307692308</v>
      </c>
      <c r="D32" s="36" t="str">
        <f>IF(Calculations!BA31=0,"",Calculations!BA31)</f>
        <v/>
      </c>
      <c r="E32" s="36">
        <f>IF(Calculations!BB31=0,"",Calculations!BB31)</f>
        <v>316153.84615384613</v>
      </c>
      <c r="F32" s="36">
        <f>IF(Calculations!BC31=0,"",Calculations!BC31)</f>
        <v>15807.692307692309</v>
      </c>
      <c r="G32" s="36" t="str">
        <f>IF(Calculations!BD31=0,"",Calculations!BD31)</f>
        <v>Low</v>
      </c>
      <c r="H32" s="36" t="str">
        <f>IF(Calculations!BE31=0,"",Calculations!BE31)</f>
        <v>Very Low</v>
      </c>
      <c r="I32" s="37" t="str">
        <f>IF(Calculations!BF31=0,"",Calculations!BF31)</f>
        <v>Moderate</v>
      </c>
      <c r="J32" s="23"/>
    </row>
    <row r="33" spans="1:10" x14ac:dyDescent="0.2">
      <c r="A33" s="38" t="s">
        <v>39</v>
      </c>
      <c r="B33" s="36">
        <f>IF(Calculations!AY32=0,"",Calculations!AY32)</f>
        <v>10.638297872340425</v>
      </c>
      <c r="C33" s="36">
        <f>IF(Calculations!AZ32=0,"",Calculations!AZ32)</f>
        <v>3.8860103626943006</v>
      </c>
      <c r="D33" s="36" t="str">
        <f>IF(Calculations!BA32=0,"",Calculations!BA32)</f>
        <v/>
      </c>
      <c r="E33" s="36">
        <f>IF(Calculations!BB32=0,"",Calculations!BB32)</f>
        <v>76099.290780141848</v>
      </c>
      <c r="F33" s="36">
        <f>IF(Calculations!BC32=0,"",Calculations!BC32)</f>
        <v>27797.927461139898</v>
      </c>
      <c r="G33" s="36" t="str">
        <f>IF(Calculations!BD32=0,"",Calculations!BD32)</f>
        <v>Low</v>
      </c>
      <c r="H33" s="36" t="str">
        <f>IF(Calculations!BE32=0,"",Calculations!BE32)</f>
        <v>Very Low</v>
      </c>
      <c r="I33" s="37" t="str">
        <f>IF(Calculations!BF32=0,"",Calculations!BF32)</f>
        <v>Low</v>
      </c>
      <c r="J33" s="23"/>
    </row>
    <row r="34" spans="1:10" x14ac:dyDescent="0.2">
      <c r="A34" s="38" t="s">
        <v>40</v>
      </c>
      <c r="B34" s="36">
        <f>IF(Calculations!AY33=0,"",Calculations!AY33)</f>
        <v>4.8062015503875966</v>
      </c>
      <c r="C34" s="36">
        <f>IF(Calculations!AZ33=0,"",Calculations!AZ33)</f>
        <v>2.1869488536155202</v>
      </c>
      <c r="D34" s="36" t="str">
        <f>IF(Calculations!BA33=0,"",Calculations!BA33)</f>
        <v/>
      </c>
      <c r="E34" s="36">
        <f>IF(Calculations!BB33=0,"",Calculations!BB33)</f>
        <v>15403.100775193798</v>
      </c>
      <c r="F34" s="36">
        <f>IF(Calculations!BC33=0,"",Calculations!BC33)</f>
        <v>7008.8183421516751</v>
      </c>
      <c r="G34" s="36" t="str">
        <f>IF(Calculations!BD33=0,"",Calculations!BD33)</f>
        <v>Low</v>
      </c>
      <c r="H34" s="36" t="str">
        <f>IF(Calculations!BE33=0,"",Calculations!BE33)</f>
        <v>Very Low</v>
      </c>
      <c r="I34" s="37" t="str">
        <f>IF(Calculations!BF33=0,"",Calculations!BF33)</f>
        <v>Very Low</v>
      </c>
      <c r="J34" s="23"/>
    </row>
    <row r="35" spans="1:10" x14ac:dyDescent="0.2">
      <c r="A35" s="38" t="s">
        <v>112</v>
      </c>
      <c r="B35" s="36">
        <f>IF(Calculations!AY34=0,"",Calculations!AY34)</f>
        <v>25</v>
      </c>
      <c r="C35" s="36">
        <f>IF(Calculations!AZ34=0,"",Calculations!AZ34)</f>
        <v>12.8</v>
      </c>
      <c r="D35" s="36" t="str">
        <f>IF(Calculations!BA34=0,"",Calculations!BA34)</f>
        <v/>
      </c>
      <c r="E35" s="36">
        <f>IF(Calculations!BB34=0,"",Calculations!BB34)</f>
        <v>21875</v>
      </c>
      <c r="F35" s="36">
        <f>IF(Calculations!BC34=0,"",Calculations!BC34)</f>
        <v>11200</v>
      </c>
      <c r="G35" s="36" t="str">
        <f>IF(Calculations!BD34=0,"",Calculations!BD34)</f>
        <v>Low</v>
      </c>
      <c r="H35" s="36" t="str">
        <f>IF(Calculations!BE34=0,"",Calculations!BE34)</f>
        <v>Very Low</v>
      </c>
      <c r="I35" s="37" t="str">
        <f>IF(Calculations!BF34=0,"",Calculations!BF34)</f>
        <v>Low</v>
      </c>
      <c r="J35" s="23"/>
    </row>
    <row r="36" spans="1:10" ht="13.5" thickBot="1" x14ac:dyDescent="0.25">
      <c r="A36" s="39" t="s">
        <v>101</v>
      </c>
      <c r="B36" s="40">
        <f>IF(Calculations!AY35=0,"",Calculations!AY35)</f>
        <v>25</v>
      </c>
      <c r="C36" s="40">
        <f>IF(Calculations!AZ35=0,"",Calculations!AZ35)</f>
        <v>22.666666666666671</v>
      </c>
      <c r="D36" s="40" t="str">
        <f>IF(Calculations!BA35=0,"",Calculations!BA35)</f>
        <v/>
      </c>
      <c r="E36" s="40">
        <f>IF(Calculations!BB35=0,"",Calculations!BB35)</f>
        <v>17426.470588235294</v>
      </c>
      <c r="F36" s="40">
        <f>IF(Calculations!BC35=0,"",Calculations!BC35)</f>
        <v>15800</v>
      </c>
      <c r="G36" s="40" t="str">
        <f>IF(Calculations!BD35=0,"",Calculations!BD35)</f>
        <v>Low</v>
      </c>
      <c r="H36" s="40" t="str">
        <f>IF(Calculations!BE35=0,"",Calculations!BE35)</f>
        <v>Very Low</v>
      </c>
      <c r="I36" s="41" t="str">
        <f>IF(Calculations!BF35=0,"",Calculations!BF35)</f>
        <v>Low</v>
      </c>
      <c r="J36" s="23"/>
    </row>
    <row r="37" spans="1:10" x14ac:dyDescent="0.2">
      <c r="A37" s="23"/>
      <c r="B37" s="23"/>
      <c r="C37" s="23"/>
      <c r="D37" s="23"/>
      <c r="E37" s="23"/>
      <c r="F37" s="23"/>
      <c r="G37" s="23"/>
      <c r="H37" s="23"/>
      <c r="I37" s="23"/>
      <c r="J37" s="23"/>
    </row>
    <row r="38" spans="1:10" x14ac:dyDescent="0.2">
      <c r="A38" s="23"/>
      <c r="B38" s="42"/>
      <c r="C38" s="42"/>
      <c r="D38" s="23"/>
      <c r="E38" s="23"/>
      <c r="F38" s="23"/>
      <c r="G38" s="23"/>
      <c r="H38" s="23"/>
      <c r="I38" s="23"/>
      <c r="J38" s="23"/>
    </row>
    <row r="39" spans="1:10" x14ac:dyDescent="0.2">
      <c r="B39" s="5"/>
      <c r="C39" s="5"/>
    </row>
    <row r="40" spans="1:10" ht="13.5" thickBot="1" x14ac:dyDescent="0.25">
      <c r="B40" s="5"/>
      <c r="C40" s="5"/>
    </row>
    <row r="41" spans="1:10" x14ac:dyDescent="0.2">
      <c r="A41" s="51"/>
      <c r="B41" s="53"/>
      <c r="C41" s="53"/>
      <c r="D41" s="52"/>
      <c r="E41" s="52"/>
      <c r="F41" s="52"/>
      <c r="G41" s="52"/>
      <c r="H41" s="52"/>
      <c r="I41" s="22"/>
    </row>
    <row r="42" spans="1:10" x14ac:dyDescent="0.2">
      <c r="A42" s="88" t="s">
        <v>160</v>
      </c>
      <c r="B42" s="89"/>
      <c r="C42" s="49"/>
      <c r="D42" s="43"/>
      <c r="E42" s="43"/>
      <c r="F42" s="43"/>
      <c r="G42" s="43" t="s">
        <v>161</v>
      </c>
      <c r="H42" s="43"/>
      <c r="I42" s="33"/>
      <c r="J42" s="23"/>
    </row>
    <row r="43" spans="1:10" ht="13.5" thickBot="1" x14ac:dyDescent="0.25">
      <c r="A43" s="47"/>
      <c r="B43" s="48"/>
      <c r="C43" s="49"/>
      <c r="D43" s="43"/>
      <c r="E43" s="43"/>
      <c r="F43" s="43"/>
      <c r="G43" s="43"/>
      <c r="H43" s="43"/>
      <c r="I43" s="33"/>
      <c r="J43" s="23"/>
    </row>
    <row r="44" spans="1:10" x14ac:dyDescent="0.2">
      <c r="A44" s="50"/>
      <c r="B44" s="24" t="s">
        <v>159</v>
      </c>
      <c r="C44" s="25"/>
      <c r="D44" s="26" t="s">
        <v>93</v>
      </c>
      <c r="E44" s="27" t="s">
        <v>94</v>
      </c>
      <c r="F44" s="28"/>
      <c r="G44" s="26" t="s">
        <v>102</v>
      </c>
      <c r="H44" s="26" t="s">
        <v>103</v>
      </c>
      <c r="I44" s="26" t="s">
        <v>121</v>
      </c>
      <c r="J44" s="23"/>
    </row>
    <row r="45" spans="1:10" x14ac:dyDescent="0.2">
      <c r="A45" s="50"/>
      <c r="B45" s="29"/>
      <c r="C45" s="30"/>
      <c r="D45" s="31"/>
      <c r="E45" s="32"/>
      <c r="F45" s="33"/>
      <c r="G45" s="31"/>
      <c r="H45" s="31" t="s">
        <v>120</v>
      </c>
      <c r="I45" s="31" t="s">
        <v>120</v>
      </c>
      <c r="J45" s="23"/>
    </row>
    <row r="46" spans="1:10" x14ac:dyDescent="0.2">
      <c r="A46" s="50"/>
      <c r="B46" s="29"/>
      <c r="C46" s="30"/>
      <c r="D46" s="31"/>
      <c r="E46" s="32"/>
      <c r="F46" s="33"/>
      <c r="G46" s="31"/>
      <c r="H46" s="31"/>
      <c r="I46" s="31"/>
      <c r="J46" s="23"/>
    </row>
    <row r="47" spans="1:10" x14ac:dyDescent="0.2">
      <c r="A47" s="50"/>
      <c r="B47" s="44" t="s">
        <v>55</v>
      </c>
      <c r="C47" s="30" t="s">
        <v>55</v>
      </c>
      <c r="D47" s="34" t="s">
        <v>119</v>
      </c>
      <c r="E47" s="44" t="s">
        <v>56</v>
      </c>
      <c r="F47" s="30" t="s">
        <v>56</v>
      </c>
      <c r="G47" s="31" t="s">
        <v>73</v>
      </c>
      <c r="H47" s="31" t="s">
        <v>73</v>
      </c>
      <c r="I47" s="31" t="s">
        <v>73</v>
      </c>
      <c r="J47" s="23"/>
    </row>
    <row r="48" spans="1:10" x14ac:dyDescent="0.2">
      <c r="A48" s="50"/>
      <c r="B48" s="44" t="s">
        <v>54</v>
      </c>
      <c r="C48" s="30" t="s">
        <v>125</v>
      </c>
      <c r="D48" s="34" t="s">
        <v>54</v>
      </c>
      <c r="E48" s="44" t="s">
        <v>54</v>
      </c>
      <c r="F48" s="30" t="s">
        <v>125</v>
      </c>
      <c r="G48" s="34" t="s">
        <v>124</v>
      </c>
      <c r="H48" s="34" t="s">
        <v>124</v>
      </c>
      <c r="I48" s="34" t="s">
        <v>124</v>
      </c>
      <c r="J48" s="23"/>
    </row>
    <row r="49" spans="1:11" ht="13.5" thickBot="1" x14ac:dyDescent="0.25">
      <c r="A49" s="50"/>
      <c r="B49" s="44"/>
      <c r="C49" s="30"/>
      <c r="D49" s="31"/>
      <c r="E49" s="95"/>
      <c r="F49" s="33"/>
      <c r="G49" s="31"/>
      <c r="H49" s="31"/>
      <c r="I49" s="31"/>
      <c r="J49" s="23"/>
    </row>
    <row r="50" spans="1:11" x14ac:dyDescent="0.2">
      <c r="A50" s="92" t="s">
        <v>4</v>
      </c>
      <c r="B50" s="96">
        <f>B10</f>
        <v>102.19530658591977</v>
      </c>
      <c r="C50" s="101">
        <f t="shared" ref="C50:F50" si="0">C10</f>
        <v>92.783505154639172</v>
      </c>
      <c r="D50" s="102">
        <f t="shared" si="0"/>
        <v>655.9</v>
      </c>
      <c r="E50" s="96">
        <f t="shared" si="0"/>
        <v>75968.950749464668</v>
      </c>
      <c r="F50" s="101">
        <f t="shared" si="0"/>
        <v>60645.299145299148</v>
      </c>
      <c r="G50" s="109">
        <f>IF(G10="Near Zero", 0, IF(G10="Very Low",1,IF(G10="Low",2,IF(G10="Moderate",4,IF(G10="High", 6,8)))))</f>
        <v>6</v>
      </c>
      <c r="H50" s="110">
        <f>IF(H10="Near Zero", 0, IF(H10="Very Low",1,IF(H10="Low",2,IF(H10="Moderate",4,IF(H10="High", 6,8)))))</f>
        <v>6</v>
      </c>
      <c r="I50" s="109">
        <f>IF(I10="Near Zero", 0, IF(I10="Very Low",1,IF(I10="Low",2,IF(I10="Moderate",4,IF(I10="High", 6,8)))))</f>
        <v>4</v>
      </c>
      <c r="J50" s="23"/>
    </row>
    <row r="51" spans="1:11" x14ac:dyDescent="0.2">
      <c r="A51" s="93" t="s">
        <v>62</v>
      </c>
      <c r="B51" s="103">
        <f t="shared" ref="B51:F51" si="1">B11</f>
        <v>159.8694942903752</v>
      </c>
      <c r="C51" s="104">
        <f t="shared" si="1"/>
        <v>133.33333333333334</v>
      </c>
      <c r="D51" s="105">
        <f t="shared" si="1"/>
        <v>119.5</v>
      </c>
      <c r="E51" s="103">
        <f t="shared" si="1"/>
        <v>66984.5971563981</v>
      </c>
      <c r="F51" s="104">
        <f t="shared" si="1"/>
        <v>42348.314606741573</v>
      </c>
      <c r="G51" s="111">
        <f t="shared" ref="G51:G76" si="2">IF(G11="Near Zero", 0, IF(G11="Very Low",1,IF(G11="Low",2,IF(G11="Moderate",4,IF(G11="High", 6,8)))))</f>
        <v>2</v>
      </c>
      <c r="H51" s="99">
        <f t="shared" ref="H51:I51" si="3">IF(H11="Near Zero", 0, IF(H11="Very Low",1,IF(H11="Low",2,IF(H11="Moderate",4,IF(H11="High", 6,8)))))</f>
        <v>4</v>
      </c>
      <c r="I51" s="111">
        <f t="shared" si="3"/>
        <v>2</v>
      </c>
      <c r="J51" s="23"/>
    </row>
    <row r="52" spans="1:11" x14ac:dyDescent="0.2">
      <c r="A52" s="93" t="s">
        <v>6</v>
      </c>
      <c r="B52" s="103">
        <f t="shared" ref="B52:F52" si="4">B12</f>
        <v>45.902883156297413</v>
      </c>
      <c r="C52" s="104">
        <f t="shared" si="4"/>
        <v>50.840336134453779</v>
      </c>
      <c r="D52" s="105">
        <f t="shared" si="4"/>
        <v>50.5</v>
      </c>
      <c r="E52" s="103">
        <f t="shared" si="4"/>
        <v>30230.515916575194</v>
      </c>
      <c r="F52" s="104">
        <f t="shared" si="4"/>
        <v>26104.265402843601</v>
      </c>
      <c r="G52" s="111">
        <f t="shared" si="2"/>
        <v>6</v>
      </c>
      <c r="H52" s="99">
        <f t="shared" ref="H52:I52" si="5">IF(H12="Near Zero", 0, IF(H12="Very Low",1,IF(H12="Low",2,IF(H12="Moderate",4,IF(H12="High", 6,8)))))</f>
        <v>8</v>
      </c>
      <c r="I52" s="111">
        <f t="shared" si="5"/>
        <v>4</v>
      </c>
      <c r="J52" s="23"/>
    </row>
    <row r="53" spans="1:11" x14ac:dyDescent="0.2">
      <c r="A53" s="93" t="s">
        <v>5</v>
      </c>
      <c r="B53" s="103">
        <f t="shared" ref="B53:F53" si="6">B13</f>
        <v>25.274725274725274</v>
      </c>
      <c r="C53" s="104">
        <f t="shared" si="6"/>
        <v>28.87029288702929</v>
      </c>
      <c r="D53" s="105">
        <f t="shared" si="6"/>
        <v>28.1</v>
      </c>
      <c r="E53" s="103">
        <f t="shared" si="6"/>
        <v>11924.731182795698</v>
      </c>
      <c r="F53" s="104">
        <f t="shared" si="6"/>
        <v>10316.279069767443</v>
      </c>
      <c r="G53" s="111">
        <f t="shared" si="2"/>
        <v>6</v>
      </c>
      <c r="H53" s="99">
        <f t="shared" ref="H53:I53" si="7">IF(H13="Near Zero", 0, IF(H13="Very Low",1,IF(H13="Low",2,IF(H13="Moderate",4,IF(H13="High", 6,8)))))</f>
        <v>4</v>
      </c>
      <c r="I53" s="111">
        <f t="shared" si="7"/>
        <v>4</v>
      </c>
      <c r="J53" s="23"/>
    </row>
    <row r="54" spans="1:11" x14ac:dyDescent="0.2">
      <c r="A54" s="93" t="s">
        <v>25</v>
      </c>
      <c r="B54" s="103">
        <f t="shared" ref="B54:D54" si="8">B14</f>
        <v>53.846153846153847</v>
      </c>
      <c r="C54" s="104">
        <f t="shared" si="8"/>
        <v>57.766990291262132</v>
      </c>
      <c r="D54" s="105">
        <f t="shared" si="8"/>
        <v>7.3</v>
      </c>
      <c r="E54" s="97">
        <f>K58</f>
        <v>5000</v>
      </c>
      <c r="F54" s="98">
        <f>K58</f>
        <v>5000</v>
      </c>
      <c r="G54" s="111">
        <f t="shared" si="2"/>
        <v>2</v>
      </c>
      <c r="H54" s="99">
        <f t="shared" ref="H54:I54" si="9">IF(H14="Near Zero", 0, IF(H14="Very Low",1,IF(H14="Low",2,IF(H14="Moderate",4,IF(H14="High", 6,8)))))</f>
        <v>1</v>
      </c>
      <c r="I54" s="111">
        <f t="shared" si="9"/>
        <v>2</v>
      </c>
      <c r="J54" s="23"/>
    </row>
    <row r="55" spans="1:11" x14ac:dyDescent="0.2">
      <c r="A55" s="93" t="s">
        <v>24</v>
      </c>
      <c r="B55" s="103">
        <f t="shared" ref="B55:D55" si="10">B15</f>
        <v>5.8</v>
      </c>
      <c r="C55" s="104">
        <f t="shared" si="10"/>
        <v>8.0255813953488371</v>
      </c>
      <c r="D55" s="105">
        <f t="shared" si="10"/>
        <v>1.5</v>
      </c>
      <c r="E55" s="97">
        <f>K57</f>
        <v>100</v>
      </c>
      <c r="F55" s="98">
        <f>K57</f>
        <v>100</v>
      </c>
      <c r="G55" s="111">
        <f t="shared" si="2"/>
        <v>1</v>
      </c>
      <c r="H55" s="99">
        <f t="shared" ref="H55:I55" si="11">IF(H15="Near Zero", 0, IF(H15="Very Low",1,IF(H15="Low",2,IF(H15="Moderate",4,IF(H15="High", 6,8)))))</f>
        <v>0</v>
      </c>
      <c r="I55" s="111">
        <f t="shared" si="11"/>
        <v>1</v>
      </c>
      <c r="J55" s="23"/>
    </row>
    <row r="56" spans="1:11" x14ac:dyDescent="0.2">
      <c r="A56" s="93" t="s">
        <v>7</v>
      </c>
      <c r="B56" s="103">
        <f t="shared" ref="B56:F56" si="12">B16</f>
        <v>38.155802861685217</v>
      </c>
      <c r="C56" s="104">
        <f t="shared" si="12"/>
        <v>30.967741935483872</v>
      </c>
      <c r="D56" s="105">
        <f t="shared" si="12"/>
        <v>35.9</v>
      </c>
      <c r="E56" s="103">
        <f t="shared" si="12"/>
        <v>12468.152866242039</v>
      </c>
      <c r="F56" s="104">
        <f t="shared" si="12"/>
        <v>10951.048951048951</v>
      </c>
      <c r="G56" s="111">
        <f t="shared" si="2"/>
        <v>6</v>
      </c>
      <c r="H56" s="99">
        <f t="shared" ref="H56:I56" si="13">IF(H16="Near Zero", 0, IF(H16="Very Low",1,IF(H16="Low",2,IF(H16="Moderate",4,IF(H16="High", 6,8)))))</f>
        <v>4</v>
      </c>
      <c r="I56" s="111">
        <f t="shared" si="13"/>
        <v>2</v>
      </c>
      <c r="J56" s="23"/>
    </row>
    <row r="57" spans="1:11" x14ac:dyDescent="0.2">
      <c r="A57" s="93" t="s">
        <v>9</v>
      </c>
      <c r="B57" s="103">
        <f t="shared" ref="B57:F57" si="14">B17</f>
        <v>60.317460317460316</v>
      </c>
      <c r="C57" s="104">
        <f t="shared" si="14"/>
        <v>31.147540983606557</v>
      </c>
      <c r="D57" s="105">
        <f t="shared" si="14"/>
        <v>34.4</v>
      </c>
      <c r="E57" s="103">
        <f t="shared" si="14"/>
        <v>25269.841269841269</v>
      </c>
      <c r="F57" s="104">
        <f t="shared" si="14"/>
        <v>13049.180327868853</v>
      </c>
      <c r="G57" s="111">
        <f t="shared" si="2"/>
        <v>6</v>
      </c>
      <c r="H57" s="99">
        <f t="shared" ref="H57:I57" si="15">IF(H17="Near Zero", 0, IF(H17="Very Low",1,IF(H17="Low",2,IF(H17="Moderate",4,IF(H17="High", 6,8)))))</f>
        <v>6</v>
      </c>
      <c r="I57" s="111">
        <f t="shared" si="15"/>
        <v>2</v>
      </c>
      <c r="J57" s="23"/>
      <c r="K57" s="108">
        <v>100</v>
      </c>
    </row>
    <row r="58" spans="1:11" x14ac:dyDescent="0.2">
      <c r="A58" s="93" t="s">
        <v>10</v>
      </c>
      <c r="B58" s="103">
        <f t="shared" ref="B58:F58" si="16">B18</f>
        <v>54.216867469879517</v>
      </c>
      <c r="C58" s="104">
        <f t="shared" si="16"/>
        <v>33.498759305210918</v>
      </c>
      <c r="D58" s="105">
        <f t="shared" si="16"/>
        <v>34.4</v>
      </c>
      <c r="E58" s="103">
        <f t="shared" si="16"/>
        <v>15843.373493975903</v>
      </c>
      <c r="F58" s="104">
        <f t="shared" si="16"/>
        <v>9789.0818858560797</v>
      </c>
      <c r="G58" s="111">
        <f t="shared" si="2"/>
        <v>6</v>
      </c>
      <c r="H58" s="99">
        <f t="shared" ref="H58:I58" si="17">IF(H18="Near Zero", 0, IF(H18="Very Low",1,IF(H18="Low",2,IF(H18="Moderate",4,IF(H18="High", 6,8)))))</f>
        <v>6</v>
      </c>
      <c r="I58" s="111">
        <f t="shared" si="17"/>
        <v>2</v>
      </c>
      <c r="J58" s="23"/>
      <c r="K58" s="108">
        <v>5000</v>
      </c>
    </row>
    <row r="59" spans="1:11" x14ac:dyDescent="0.2">
      <c r="A59" s="93" t="s">
        <v>8</v>
      </c>
      <c r="B59" s="103">
        <f t="shared" ref="B59:F59" si="18">B19</f>
        <v>41.515151515151508</v>
      </c>
      <c r="C59" s="104">
        <f t="shared" si="18"/>
        <v>2.7454909819639277</v>
      </c>
      <c r="D59" s="99">
        <f>D58</f>
        <v>34.4</v>
      </c>
      <c r="E59" s="103">
        <f t="shared" si="18"/>
        <v>131090.90909090909</v>
      </c>
      <c r="F59" s="104">
        <f t="shared" si="18"/>
        <v>8669.3386773547099</v>
      </c>
      <c r="G59" s="111">
        <f t="shared" si="2"/>
        <v>6</v>
      </c>
      <c r="H59" s="99">
        <f t="shared" ref="H59:I59" si="19">IF(H19="Near Zero", 0, IF(H19="Very Low",1,IF(H19="Low",2,IF(H19="Moderate",4,IF(H19="High", 6,8)))))</f>
        <v>6</v>
      </c>
      <c r="I59" s="111">
        <f t="shared" si="19"/>
        <v>2</v>
      </c>
      <c r="J59" s="23"/>
      <c r="K59" s="108">
        <v>1.5</v>
      </c>
    </row>
    <row r="60" spans="1:11" x14ac:dyDescent="0.2">
      <c r="A60" s="93" t="s">
        <v>95</v>
      </c>
      <c r="B60" s="103">
        <f t="shared" ref="B60:F60" si="20">B20</f>
        <v>9.9778270509977816</v>
      </c>
      <c r="C60" s="104">
        <f t="shared" si="20"/>
        <v>7.7586206896551726</v>
      </c>
      <c r="D60" s="105">
        <f t="shared" si="20"/>
        <v>19.899999999999999</v>
      </c>
      <c r="E60" s="103">
        <f t="shared" si="20"/>
        <v>22767.441860465115</v>
      </c>
      <c r="F60" s="104">
        <f t="shared" si="20"/>
        <v>17125.36443148688</v>
      </c>
      <c r="G60" s="111">
        <f t="shared" si="2"/>
        <v>2</v>
      </c>
      <c r="H60" s="99">
        <f t="shared" ref="H60:I60" si="21">IF(H20="Near Zero", 0, IF(H20="Very Low",1,IF(H20="Low",2,IF(H20="Moderate",4,IF(H20="High", 6,8)))))</f>
        <v>1</v>
      </c>
      <c r="I60" s="111">
        <f t="shared" si="21"/>
        <v>1</v>
      </c>
      <c r="J60" s="23"/>
      <c r="K60" s="108"/>
    </row>
    <row r="61" spans="1:11" x14ac:dyDescent="0.2">
      <c r="A61" s="93" t="s">
        <v>96</v>
      </c>
      <c r="B61" s="103">
        <f t="shared" ref="B61:F61" si="22">B21</f>
        <v>22.197558268590456</v>
      </c>
      <c r="C61" s="104">
        <f t="shared" si="22"/>
        <v>13.986013986013987</v>
      </c>
      <c r="D61" s="105">
        <f t="shared" si="22"/>
        <v>19.899999999999999</v>
      </c>
      <c r="E61" s="103">
        <f t="shared" si="22"/>
        <v>23590.102707749767</v>
      </c>
      <c r="F61" s="104">
        <f t="shared" si="22"/>
        <v>14561.959654178674</v>
      </c>
      <c r="G61" s="111">
        <f t="shared" si="2"/>
        <v>2</v>
      </c>
      <c r="H61" s="99">
        <f t="shared" ref="H61:I61" si="23">IF(H21="Near Zero", 0, IF(H21="Very Low",1,IF(H21="Low",2,IF(H21="Moderate",4,IF(H21="High", 6,8)))))</f>
        <v>1</v>
      </c>
      <c r="I61" s="111">
        <f t="shared" si="23"/>
        <v>1</v>
      </c>
      <c r="J61" s="23"/>
    </row>
    <row r="62" spans="1:11" x14ac:dyDescent="0.2">
      <c r="A62" s="93" t="s">
        <v>38</v>
      </c>
      <c r="B62" s="103">
        <f t="shared" ref="B62:F62" si="24">B22</f>
        <v>116.37931034482759</v>
      </c>
      <c r="C62" s="104">
        <f t="shared" si="24"/>
        <v>24.107142857142858</v>
      </c>
      <c r="D62" s="99">
        <f>D61</f>
        <v>19.899999999999999</v>
      </c>
      <c r="E62" s="103">
        <f t="shared" si="24"/>
        <v>28960</v>
      </c>
      <c r="F62" s="104">
        <f t="shared" si="24"/>
        <v>6000</v>
      </c>
      <c r="G62" s="111">
        <f t="shared" si="2"/>
        <v>2</v>
      </c>
      <c r="H62" s="99">
        <f t="shared" ref="H62:I62" si="25">IF(H22="Near Zero", 0, IF(H22="Very Low",1,IF(H22="Low",2,IF(H22="Moderate",4,IF(H22="High", 6,8)))))</f>
        <v>1</v>
      </c>
      <c r="I62" s="111">
        <f t="shared" si="25"/>
        <v>1</v>
      </c>
      <c r="J62" s="23"/>
    </row>
    <row r="63" spans="1:11" x14ac:dyDescent="0.2">
      <c r="A63" s="93" t="s">
        <v>97</v>
      </c>
      <c r="B63" s="103">
        <f t="shared" ref="B63:F63" si="26">B23</f>
        <v>124.99999999999999</v>
      </c>
      <c r="C63" s="104">
        <f t="shared" si="26"/>
        <v>61.111111111111114</v>
      </c>
      <c r="D63" s="99">
        <f t="shared" ref="D63:D76" si="27">D62</f>
        <v>19.899999999999999</v>
      </c>
      <c r="E63" s="103">
        <f t="shared" si="26"/>
        <v>24318.181818181816</v>
      </c>
      <c r="F63" s="104">
        <f t="shared" si="26"/>
        <v>11888.888888888889</v>
      </c>
      <c r="G63" s="111">
        <f t="shared" si="2"/>
        <v>2</v>
      </c>
      <c r="H63" s="99">
        <f t="shared" ref="H63:I63" si="28">IF(H23="Near Zero", 0, IF(H23="Very Low",1,IF(H23="Low",2,IF(H23="Moderate",4,IF(H23="High", 6,8)))))</f>
        <v>1</v>
      </c>
      <c r="I63" s="111">
        <f t="shared" si="28"/>
        <v>4</v>
      </c>
      <c r="J63" s="23"/>
    </row>
    <row r="64" spans="1:11" x14ac:dyDescent="0.2">
      <c r="A64" s="93" t="s">
        <v>98</v>
      </c>
      <c r="B64" s="103">
        <f t="shared" ref="B64:F64" si="29">B24</f>
        <v>155.08021390374333</v>
      </c>
      <c r="C64" s="104">
        <f t="shared" si="29"/>
        <v>33.333333333333336</v>
      </c>
      <c r="D64" s="99">
        <f t="shared" si="27"/>
        <v>19.899999999999999</v>
      </c>
      <c r="E64" s="103">
        <f t="shared" si="29"/>
        <v>14207.920792079209</v>
      </c>
      <c r="F64" s="104">
        <f t="shared" si="29"/>
        <v>3727.2727272727275</v>
      </c>
      <c r="G64" s="111">
        <f t="shared" si="2"/>
        <v>2</v>
      </c>
      <c r="H64" s="99">
        <f t="shared" ref="H64:I64" si="30">IF(H24="Near Zero", 0, IF(H24="Very Low",1,IF(H24="Low",2,IF(H24="Moderate",4,IF(H24="High", 6,8)))))</f>
        <v>1</v>
      </c>
      <c r="I64" s="111">
        <f t="shared" si="30"/>
        <v>1</v>
      </c>
      <c r="J64" s="23"/>
    </row>
    <row r="65" spans="1:10" x14ac:dyDescent="0.2">
      <c r="A65" s="93" t="s">
        <v>99</v>
      </c>
      <c r="B65" s="103">
        <f t="shared" ref="B65:F65" si="31">B25</f>
        <v>70.921985815602838</v>
      </c>
      <c r="C65" s="104">
        <f t="shared" si="31"/>
        <v>58.823529411764703</v>
      </c>
      <c r="D65" s="99">
        <f t="shared" si="27"/>
        <v>19.899999999999999</v>
      </c>
      <c r="E65" s="103">
        <f t="shared" si="31"/>
        <v>10106.382978723404</v>
      </c>
      <c r="F65" s="104">
        <f t="shared" si="31"/>
        <v>8382.3529411764703</v>
      </c>
      <c r="G65" s="111">
        <f t="shared" si="2"/>
        <v>2</v>
      </c>
      <c r="H65" s="99">
        <f t="shared" ref="H65:I65" si="32">IF(H25="Near Zero", 0, IF(H25="Very Low",1,IF(H25="Low",2,IF(H25="Moderate",4,IF(H25="High", 6,8)))))</f>
        <v>1</v>
      </c>
      <c r="I65" s="111">
        <f t="shared" si="32"/>
        <v>4</v>
      </c>
      <c r="J65" s="23"/>
    </row>
    <row r="66" spans="1:10" x14ac:dyDescent="0.2">
      <c r="A66" s="93" t="s">
        <v>100</v>
      </c>
      <c r="B66" s="103">
        <f t="shared" ref="B66:F66" si="33">B26</f>
        <v>33.333333333333329</v>
      </c>
      <c r="C66" s="104">
        <f t="shared" si="33"/>
        <v>7.5609756097560972</v>
      </c>
      <c r="D66" s="99">
        <f t="shared" si="27"/>
        <v>19.899999999999999</v>
      </c>
      <c r="E66" s="103">
        <f t="shared" si="33"/>
        <v>20967.741935483868</v>
      </c>
      <c r="F66" s="104">
        <f t="shared" si="33"/>
        <v>4756.0975609756097</v>
      </c>
      <c r="G66" s="111">
        <f t="shared" si="2"/>
        <v>2</v>
      </c>
      <c r="H66" s="99">
        <f t="shared" ref="H66:I66" si="34">IF(H26="Near Zero", 0, IF(H26="Very Low",1,IF(H26="Low",2,IF(H26="Moderate",4,IF(H26="High", 6,8)))))</f>
        <v>1</v>
      </c>
      <c r="I66" s="111">
        <f t="shared" si="34"/>
        <v>1</v>
      </c>
      <c r="J66" s="23"/>
    </row>
    <row r="67" spans="1:10" x14ac:dyDescent="0.2">
      <c r="A67" s="93" t="s">
        <v>32</v>
      </c>
      <c r="B67" s="103">
        <f t="shared" ref="B67:F67" si="35">B27</f>
        <v>51.428571428571431</v>
      </c>
      <c r="C67" s="104">
        <f t="shared" si="35"/>
        <v>7.8260869565217392</v>
      </c>
      <c r="D67" s="99">
        <f t="shared" si="27"/>
        <v>19.899999999999999</v>
      </c>
      <c r="E67" s="103">
        <f t="shared" si="35"/>
        <v>80000</v>
      </c>
      <c r="F67" s="104">
        <f t="shared" si="35"/>
        <v>12173.91304347826</v>
      </c>
      <c r="G67" s="111">
        <f t="shared" si="2"/>
        <v>2</v>
      </c>
      <c r="H67" s="99">
        <f t="shared" ref="H67:I67" si="36">IF(H27="Near Zero", 0, IF(H27="Very Low",1,IF(H27="Low",2,IF(H27="Moderate",4,IF(H27="High", 6,8)))))</f>
        <v>1</v>
      </c>
      <c r="I67" s="111">
        <f t="shared" si="36"/>
        <v>4</v>
      </c>
      <c r="J67" s="23"/>
    </row>
    <row r="68" spans="1:10" x14ac:dyDescent="0.2">
      <c r="A68" s="93" t="s">
        <v>33</v>
      </c>
      <c r="B68" s="103">
        <f t="shared" ref="B68:F68" si="37">B28</f>
        <v>44.954128440366972</v>
      </c>
      <c r="C68" s="104">
        <f t="shared" si="37"/>
        <v>5.5056179775280896</v>
      </c>
      <c r="D68" s="99">
        <f t="shared" si="27"/>
        <v>19.899999999999999</v>
      </c>
      <c r="E68" s="103">
        <f t="shared" si="37"/>
        <v>72477.064220183485</v>
      </c>
      <c r="F68" s="104">
        <f t="shared" si="37"/>
        <v>8876.4044943820227</v>
      </c>
      <c r="G68" s="111">
        <f t="shared" si="2"/>
        <v>2</v>
      </c>
      <c r="H68" s="99">
        <f t="shared" ref="H68:I68" si="38">IF(H28="Near Zero", 0, IF(H28="Very Low",1,IF(H28="Low",2,IF(H28="Moderate",4,IF(H28="High", 6,8)))))</f>
        <v>1</v>
      </c>
      <c r="I68" s="111">
        <f t="shared" si="38"/>
        <v>6</v>
      </c>
      <c r="J68" s="23"/>
    </row>
    <row r="69" spans="1:10" x14ac:dyDescent="0.2">
      <c r="A69" s="93" t="s">
        <v>34</v>
      </c>
      <c r="B69" s="103">
        <f t="shared" ref="B69:F69" si="39">B29</f>
        <v>45.054945054945065</v>
      </c>
      <c r="C69" s="104">
        <f t="shared" si="39"/>
        <v>10.512820512820513</v>
      </c>
      <c r="D69" s="99">
        <f t="shared" si="27"/>
        <v>19.899999999999999</v>
      </c>
      <c r="E69" s="103">
        <f t="shared" si="39"/>
        <v>100000</v>
      </c>
      <c r="F69" s="104">
        <f t="shared" si="39"/>
        <v>23333.333333333332</v>
      </c>
      <c r="G69" s="111">
        <f t="shared" si="2"/>
        <v>2</v>
      </c>
      <c r="H69" s="99">
        <f t="shared" ref="H69:I69" si="40">IF(H29="Near Zero", 0, IF(H29="Very Low",1,IF(H29="Low",2,IF(H29="Moderate",4,IF(H29="High", 6,8)))))</f>
        <v>1</v>
      </c>
      <c r="I69" s="111">
        <f t="shared" si="40"/>
        <v>4</v>
      </c>
      <c r="J69" s="23"/>
    </row>
    <row r="70" spans="1:10" x14ac:dyDescent="0.2">
      <c r="A70" s="93" t="s">
        <v>35</v>
      </c>
      <c r="B70" s="103">
        <f t="shared" ref="B70:F70" si="41">B30</f>
        <v>74.626865671641795</v>
      </c>
      <c r="C70" s="104">
        <f t="shared" si="41"/>
        <v>15.625</v>
      </c>
      <c r="D70" s="99">
        <f t="shared" si="27"/>
        <v>19.899999999999999</v>
      </c>
      <c r="E70" s="103">
        <f t="shared" si="41"/>
        <v>51791.044776119401</v>
      </c>
      <c r="F70" s="104">
        <f t="shared" si="41"/>
        <v>10843.75</v>
      </c>
      <c r="G70" s="111">
        <f t="shared" si="2"/>
        <v>2</v>
      </c>
      <c r="H70" s="99">
        <f t="shared" ref="H70:I70" si="42">IF(H30="Near Zero", 0, IF(H30="Very Low",1,IF(H30="Low",2,IF(H30="Moderate",4,IF(H30="High", 6,8)))))</f>
        <v>1</v>
      </c>
      <c r="I70" s="111">
        <f t="shared" si="42"/>
        <v>8</v>
      </c>
      <c r="J70" s="23"/>
    </row>
    <row r="71" spans="1:10" x14ac:dyDescent="0.2">
      <c r="A71" s="93" t="s">
        <v>36</v>
      </c>
      <c r="B71" s="103">
        <f t="shared" ref="B71:F71" si="43">B31</f>
        <v>63.492063492063494</v>
      </c>
      <c r="C71" s="104">
        <f t="shared" si="43"/>
        <v>5.9701492537313436</v>
      </c>
      <c r="D71" s="99">
        <f t="shared" si="27"/>
        <v>19.899999999999999</v>
      </c>
      <c r="E71" s="103">
        <f t="shared" si="43"/>
        <v>96507.936507936509</v>
      </c>
      <c r="F71" s="104">
        <f t="shared" si="43"/>
        <v>9074.626865671642</v>
      </c>
      <c r="G71" s="111">
        <f t="shared" si="2"/>
        <v>2</v>
      </c>
      <c r="H71" s="99">
        <f t="shared" ref="H71:I71" si="44">IF(H31="Near Zero", 0, IF(H31="Very Low",1,IF(H31="Low",2,IF(H31="Moderate",4,IF(H31="High", 6,8)))))</f>
        <v>1</v>
      </c>
      <c r="I71" s="111">
        <f t="shared" si="44"/>
        <v>6</v>
      </c>
      <c r="J71" s="23"/>
    </row>
    <row r="72" spans="1:10" x14ac:dyDescent="0.2">
      <c r="A72" s="93" t="s">
        <v>37</v>
      </c>
      <c r="B72" s="103">
        <f t="shared" ref="B72:F72" si="45">B32</f>
        <v>134.61538461538461</v>
      </c>
      <c r="C72" s="104">
        <f t="shared" si="45"/>
        <v>6.7307692307692308</v>
      </c>
      <c r="D72" s="99">
        <f t="shared" si="27"/>
        <v>19.899999999999999</v>
      </c>
      <c r="E72" s="103">
        <f t="shared" si="45"/>
        <v>316153.84615384613</v>
      </c>
      <c r="F72" s="104">
        <f t="shared" si="45"/>
        <v>15807.692307692309</v>
      </c>
      <c r="G72" s="111">
        <f t="shared" si="2"/>
        <v>2</v>
      </c>
      <c r="H72" s="99">
        <f t="shared" ref="H72:I72" si="46">IF(H32="Near Zero", 0, IF(H32="Very Low",1,IF(H32="Low",2,IF(H32="Moderate",4,IF(H32="High", 6,8)))))</f>
        <v>1</v>
      </c>
      <c r="I72" s="111">
        <f t="shared" si="46"/>
        <v>4</v>
      </c>
      <c r="J72" s="23"/>
    </row>
    <row r="73" spans="1:10" x14ac:dyDescent="0.2">
      <c r="A73" s="93" t="s">
        <v>39</v>
      </c>
      <c r="B73" s="103">
        <f t="shared" ref="B73:F73" si="47">B33</f>
        <v>10.638297872340425</v>
      </c>
      <c r="C73" s="104">
        <f t="shared" si="47"/>
        <v>3.8860103626943006</v>
      </c>
      <c r="D73" s="99">
        <f t="shared" si="27"/>
        <v>19.899999999999999</v>
      </c>
      <c r="E73" s="103">
        <f t="shared" si="47"/>
        <v>76099.290780141848</v>
      </c>
      <c r="F73" s="104">
        <f t="shared" si="47"/>
        <v>27797.927461139898</v>
      </c>
      <c r="G73" s="111">
        <f t="shared" si="2"/>
        <v>2</v>
      </c>
      <c r="H73" s="99">
        <f t="shared" ref="H73:I73" si="48">IF(H33="Near Zero", 0, IF(H33="Very Low",1,IF(H33="Low",2,IF(H33="Moderate",4,IF(H33="High", 6,8)))))</f>
        <v>1</v>
      </c>
      <c r="I73" s="111">
        <f t="shared" si="48"/>
        <v>2</v>
      </c>
      <c r="J73" s="23"/>
    </row>
    <row r="74" spans="1:10" x14ac:dyDescent="0.2">
      <c r="A74" s="93" t="s">
        <v>40</v>
      </c>
      <c r="B74" s="103">
        <f t="shared" ref="B74:F74" si="49">B34</f>
        <v>4.8062015503875966</v>
      </c>
      <c r="C74" s="104">
        <f t="shared" si="49"/>
        <v>2.1869488536155202</v>
      </c>
      <c r="D74" s="99">
        <f t="shared" si="27"/>
        <v>19.899999999999999</v>
      </c>
      <c r="E74" s="103">
        <f t="shared" si="49"/>
        <v>15403.100775193798</v>
      </c>
      <c r="F74" s="104">
        <f t="shared" si="49"/>
        <v>7008.8183421516751</v>
      </c>
      <c r="G74" s="111">
        <f t="shared" si="2"/>
        <v>2</v>
      </c>
      <c r="H74" s="99">
        <f t="shared" ref="H74:I74" si="50">IF(H34="Near Zero", 0, IF(H34="Very Low",1,IF(H34="Low",2,IF(H34="Moderate",4,IF(H34="High", 6,8)))))</f>
        <v>1</v>
      </c>
      <c r="I74" s="111">
        <f t="shared" si="50"/>
        <v>1</v>
      </c>
      <c r="J74" s="23"/>
    </row>
    <row r="75" spans="1:10" x14ac:dyDescent="0.2">
      <c r="A75" s="93" t="s">
        <v>112</v>
      </c>
      <c r="B75" s="103">
        <f t="shared" ref="B75:F75" si="51">B35</f>
        <v>25</v>
      </c>
      <c r="C75" s="104">
        <f t="shared" si="51"/>
        <v>12.8</v>
      </c>
      <c r="D75" s="99">
        <f t="shared" si="27"/>
        <v>19.899999999999999</v>
      </c>
      <c r="E75" s="103">
        <f t="shared" si="51"/>
        <v>21875</v>
      </c>
      <c r="F75" s="104">
        <f t="shared" si="51"/>
        <v>11200</v>
      </c>
      <c r="G75" s="111">
        <f t="shared" si="2"/>
        <v>2</v>
      </c>
      <c r="H75" s="99">
        <f t="shared" ref="H75:I75" si="52">IF(H35="Near Zero", 0, IF(H35="Very Low",1,IF(H35="Low",2,IF(H35="Moderate",4,IF(H35="High", 6,8)))))</f>
        <v>1</v>
      </c>
      <c r="I75" s="111">
        <f t="shared" si="52"/>
        <v>2</v>
      </c>
      <c r="J75" s="23"/>
    </row>
    <row r="76" spans="1:10" ht="13.5" thickBot="1" x14ac:dyDescent="0.25">
      <c r="A76" s="94" t="s">
        <v>101</v>
      </c>
      <c r="B76" s="106">
        <f t="shared" ref="B76:F76" si="53">B36</f>
        <v>25</v>
      </c>
      <c r="C76" s="107">
        <f t="shared" si="53"/>
        <v>22.666666666666671</v>
      </c>
      <c r="D76" s="100">
        <f t="shared" si="27"/>
        <v>19.899999999999999</v>
      </c>
      <c r="E76" s="106">
        <f t="shared" si="53"/>
        <v>17426.470588235294</v>
      </c>
      <c r="F76" s="107">
        <f t="shared" si="53"/>
        <v>15800</v>
      </c>
      <c r="G76" s="112">
        <f t="shared" si="2"/>
        <v>2</v>
      </c>
      <c r="H76" s="100">
        <f t="shared" ref="H76:I76" si="54">IF(H36="Near Zero", 0, IF(H36="Very Low",1,IF(H36="Low",2,IF(H36="Moderate",4,IF(H36="High", 6,8)))))</f>
        <v>1</v>
      </c>
      <c r="I76" s="112">
        <f t="shared" si="54"/>
        <v>2</v>
      </c>
      <c r="J76" s="23"/>
    </row>
    <row r="77" spans="1:10" x14ac:dyDescent="0.2">
      <c r="A77" s="23"/>
      <c r="B77" s="23"/>
      <c r="C77" s="23"/>
      <c r="D77" s="23"/>
      <c r="E77" s="23"/>
      <c r="F77" s="23"/>
      <c r="G77" s="23"/>
      <c r="H77" s="23"/>
      <c r="I77" s="23"/>
      <c r="J77" s="23"/>
    </row>
    <row r="80" spans="1:10" ht="13.5" thickBot="1" x14ac:dyDescent="0.25"/>
    <row r="81" spans="1:10" x14ac:dyDescent="0.2">
      <c r="A81" s="51"/>
      <c r="B81" s="52"/>
      <c r="C81" s="52"/>
      <c r="D81" s="52"/>
      <c r="E81" s="52"/>
      <c r="F81" s="52"/>
      <c r="G81" s="52"/>
      <c r="H81" s="52"/>
      <c r="I81" s="22"/>
    </row>
    <row r="82" spans="1:10" x14ac:dyDescent="0.2">
      <c r="A82" s="47"/>
      <c r="B82" s="48" t="s">
        <v>122</v>
      </c>
      <c r="C82" s="49"/>
      <c r="D82" s="43"/>
      <c r="E82" s="43"/>
      <c r="F82" s="43"/>
      <c r="G82" s="43" t="s">
        <v>161</v>
      </c>
      <c r="H82" s="43"/>
      <c r="I82" s="33"/>
      <c r="J82" s="23"/>
    </row>
    <row r="83" spans="1:10" ht="13.5" thickBot="1" x14ac:dyDescent="0.25">
      <c r="A83" s="47"/>
      <c r="B83" s="48"/>
      <c r="C83" s="49"/>
      <c r="D83" s="43"/>
      <c r="E83" s="43"/>
      <c r="F83" s="43"/>
      <c r="G83" s="43"/>
      <c r="H83" s="43"/>
      <c r="I83" s="33"/>
      <c r="J83" s="23"/>
    </row>
    <row r="84" spans="1:10" x14ac:dyDescent="0.2">
      <c r="A84" s="50"/>
      <c r="B84" s="24" t="s">
        <v>92</v>
      </c>
      <c r="C84" s="25"/>
      <c r="D84" s="26" t="s">
        <v>93</v>
      </c>
      <c r="E84" s="27" t="s">
        <v>94</v>
      </c>
      <c r="F84" s="28"/>
      <c r="G84" s="26" t="s">
        <v>102</v>
      </c>
      <c r="H84" s="26" t="s">
        <v>103</v>
      </c>
      <c r="I84" s="26" t="s">
        <v>121</v>
      </c>
      <c r="J84" s="23"/>
    </row>
    <row r="85" spans="1:10" x14ac:dyDescent="0.2">
      <c r="A85" s="50"/>
      <c r="B85" s="29"/>
      <c r="C85" s="30"/>
      <c r="D85" s="31"/>
      <c r="E85" s="32"/>
      <c r="F85" s="33"/>
      <c r="G85" s="31"/>
      <c r="H85" s="31" t="s">
        <v>120</v>
      </c>
      <c r="I85" s="31" t="s">
        <v>120</v>
      </c>
      <c r="J85" s="23"/>
    </row>
    <row r="86" spans="1:10" x14ac:dyDescent="0.2">
      <c r="A86" s="50"/>
      <c r="B86" s="29"/>
      <c r="C86" s="30"/>
      <c r="D86" s="31"/>
      <c r="E86" s="32"/>
      <c r="F86" s="33"/>
      <c r="G86" s="31"/>
      <c r="H86" s="31"/>
      <c r="I86" s="31"/>
      <c r="J86" s="23"/>
    </row>
    <row r="87" spans="1:10" x14ac:dyDescent="0.2">
      <c r="A87" s="50"/>
      <c r="B87" s="44" t="s">
        <v>55</v>
      </c>
      <c r="C87" s="30" t="s">
        <v>55</v>
      </c>
      <c r="D87" s="34" t="s">
        <v>119</v>
      </c>
      <c r="E87" s="44" t="s">
        <v>56</v>
      </c>
      <c r="F87" s="30" t="s">
        <v>56</v>
      </c>
      <c r="G87" s="34" t="s">
        <v>73</v>
      </c>
      <c r="H87" s="34" t="s">
        <v>73</v>
      </c>
      <c r="I87" s="34"/>
      <c r="J87" s="23"/>
    </row>
    <row r="88" spans="1:10" x14ac:dyDescent="0.2">
      <c r="A88" s="50"/>
      <c r="B88" s="44" t="s">
        <v>54</v>
      </c>
      <c r="C88" s="30" t="s">
        <v>125</v>
      </c>
      <c r="D88" s="34" t="s">
        <v>54</v>
      </c>
      <c r="E88" s="44" t="s">
        <v>54</v>
      </c>
      <c r="F88" s="30" t="s">
        <v>125</v>
      </c>
      <c r="G88" s="31" t="s">
        <v>124</v>
      </c>
      <c r="H88" s="31" t="s">
        <v>124</v>
      </c>
      <c r="I88" s="31" t="s">
        <v>73</v>
      </c>
      <c r="J88" s="23"/>
    </row>
    <row r="89" spans="1:10" ht="13.5" thickBot="1" x14ac:dyDescent="0.25">
      <c r="A89" s="50"/>
      <c r="B89" s="46"/>
      <c r="C89" s="30"/>
      <c r="D89" s="31"/>
      <c r="E89" s="45"/>
      <c r="F89" s="33"/>
      <c r="G89" s="31"/>
      <c r="H89" s="31"/>
      <c r="I89" s="31"/>
      <c r="J89" s="23"/>
    </row>
    <row r="90" spans="1:10" x14ac:dyDescent="0.2">
      <c r="A90" s="35" t="s">
        <v>4</v>
      </c>
      <c r="B90" s="36">
        <f>B50</f>
        <v>102.19530658591977</v>
      </c>
      <c r="C90" s="36">
        <f t="shared" ref="C90:I90" si="55">C50</f>
        <v>92.783505154639172</v>
      </c>
      <c r="D90" s="36">
        <f t="shared" si="55"/>
        <v>655.9</v>
      </c>
      <c r="E90" s="36">
        <f t="shared" si="55"/>
        <v>75968.950749464668</v>
      </c>
      <c r="F90" s="36">
        <f t="shared" si="55"/>
        <v>60645.299145299148</v>
      </c>
      <c r="G90" s="36">
        <f t="shared" si="55"/>
        <v>6</v>
      </c>
      <c r="H90" s="36">
        <f t="shared" si="55"/>
        <v>6</v>
      </c>
      <c r="I90" s="37">
        <f t="shared" si="55"/>
        <v>4</v>
      </c>
      <c r="J90" s="23"/>
    </row>
    <row r="91" spans="1:10" x14ac:dyDescent="0.2">
      <c r="A91" s="38" t="s">
        <v>62</v>
      </c>
      <c r="B91" s="36">
        <f t="shared" ref="B91:I91" si="56">B51</f>
        <v>159.8694942903752</v>
      </c>
      <c r="C91" s="36">
        <f t="shared" si="56"/>
        <v>133.33333333333334</v>
      </c>
      <c r="D91" s="36">
        <f t="shared" si="56"/>
        <v>119.5</v>
      </c>
      <c r="E91" s="36">
        <f t="shared" si="56"/>
        <v>66984.5971563981</v>
      </c>
      <c r="F91" s="36">
        <f t="shared" si="56"/>
        <v>42348.314606741573</v>
      </c>
      <c r="G91" s="36">
        <f t="shared" si="56"/>
        <v>2</v>
      </c>
      <c r="H91" s="36">
        <f t="shared" si="56"/>
        <v>4</v>
      </c>
      <c r="I91" s="37">
        <f t="shared" si="56"/>
        <v>2</v>
      </c>
      <c r="J91" s="23"/>
    </row>
    <row r="92" spans="1:10" x14ac:dyDescent="0.2">
      <c r="A92" s="38" t="s">
        <v>6</v>
      </c>
      <c r="B92" s="36">
        <f t="shared" ref="B92:I92" si="57">B52</f>
        <v>45.902883156297413</v>
      </c>
      <c r="C92" s="36">
        <f t="shared" si="57"/>
        <v>50.840336134453779</v>
      </c>
      <c r="D92" s="36">
        <f t="shared" si="57"/>
        <v>50.5</v>
      </c>
      <c r="E92" s="36">
        <f t="shared" si="57"/>
        <v>30230.515916575194</v>
      </c>
      <c r="F92" s="36">
        <f t="shared" si="57"/>
        <v>26104.265402843601</v>
      </c>
      <c r="G92" s="36">
        <f t="shared" si="57"/>
        <v>6</v>
      </c>
      <c r="H92" s="36">
        <f t="shared" si="57"/>
        <v>8</v>
      </c>
      <c r="I92" s="37">
        <f t="shared" si="57"/>
        <v>4</v>
      </c>
      <c r="J92" s="23"/>
    </row>
    <row r="93" spans="1:10" x14ac:dyDescent="0.2">
      <c r="A93" s="38" t="s">
        <v>5</v>
      </c>
      <c r="B93" s="36">
        <f t="shared" ref="B93:I93" si="58">B53</f>
        <v>25.274725274725274</v>
      </c>
      <c r="C93" s="36">
        <f t="shared" si="58"/>
        <v>28.87029288702929</v>
      </c>
      <c r="D93" s="36">
        <f t="shared" si="58"/>
        <v>28.1</v>
      </c>
      <c r="E93" s="36">
        <f t="shared" si="58"/>
        <v>11924.731182795698</v>
      </c>
      <c r="F93" s="36">
        <f t="shared" si="58"/>
        <v>10316.279069767443</v>
      </c>
      <c r="G93" s="36">
        <f t="shared" si="58"/>
        <v>6</v>
      </c>
      <c r="H93" s="36">
        <f t="shared" si="58"/>
        <v>4</v>
      </c>
      <c r="I93" s="37">
        <f t="shared" si="58"/>
        <v>4</v>
      </c>
      <c r="J93" s="23"/>
    </row>
    <row r="94" spans="1:10" x14ac:dyDescent="0.2">
      <c r="A94" s="38" t="s">
        <v>25</v>
      </c>
      <c r="B94" s="36">
        <f t="shared" ref="B94:I94" si="59">B54</f>
        <v>53.846153846153847</v>
      </c>
      <c r="C94" s="36">
        <f t="shared" si="59"/>
        <v>57.766990291262132</v>
      </c>
      <c r="D94" s="36">
        <f t="shared" si="59"/>
        <v>7.3</v>
      </c>
      <c r="E94" s="113">
        <f t="shared" si="59"/>
        <v>5000</v>
      </c>
      <c r="F94" s="113">
        <f t="shared" si="59"/>
        <v>5000</v>
      </c>
      <c r="G94" s="36">
        <f t="shared" si="59"/>
        <v>2</v>
      </c>
      <c r="H94" s="36">
        <f t="shared" si="59"/>
        <v>1</v>
      </c>
      <c r="I94" s="37">
        <f t="shared" si="59"/>
        <v>2</v>
      </c>
      <c r="J94" s="23"/>
    </row>
    <row r="95" spans="1:10" x14ac:dyDescent="0.2">
      <c r="A95" s="38" t="s">
        <v>24</v>
      </c>
      <c r="B95" s="36">
        <f t="shared" ref="B95:I95" si="60">B55</f>
        <v>5.8</v>
      </c>
      <c r="C95" s="36">
        <f t="shared" si="60"/>
        <v>8.0255813953488371</v>
      </c>
      <c r="D95" s="36">
        <f t="shared" si="60"/>
        <v>1.5</v>
      </c>
      <c r="E95" s="114">
        <f t="shared" si="60"/>
        <v>100</v>
      </c>
      <c r="F95" s="114">
        <f t="shared" si="60"/>
        <v>100</v>
      </c>
      <c r="G95" s="36">
        <f t="shared" si="60"/>
        <v>1</v>
      </c>
      <c r="H95" s="36">
        <f t="shared" si="60"/>
        <v>0</v>
      </c>
      <c r="I95" s="37">
        <f t="shared" si="60"/>
        <v>1</v>
      </c>
      <c r="J95" s="23"/>
    </row>
    <row r="96" spans="1:10" x14ac:dyDescent="0.2">
      <c r="A96" s="38" t="s">
        <v>7</v>
      </c>
      <c r="B96" s="36">
        <f t="shared" ref="B96:I96" si="61">B56</f>
        <v>38.155802861685217</v>
      </c>
      <c r="C96" s="36">
        <f t="shared" si="61"/>
        <v>30.967741935483872</v>
      </c>
      <c r="D96" s="36">
        <f t="shared" si="61"/>
        <v>35.9</v>
      </c>
      <c r="E96" s="36">
        <f t="shared" si="61"/>
        <v>12468.152866242039</v>
      </c>
      <c r="F96" s="36">
        <f t="shared" si="61"/>
        <v>10951.048951048951</v>
      </c>
      <c r="G96" s="36">
        <f t="shared" si="61"/>
        <v>6</v>
      </c>
      <c r="H96" s="36">
        <f t="shared" si="61"/>
        <v>4</v>
      </c>
      <c r="I96" s="37">
        <f t="shared" si="61"/>
        <v>2</v>
      </c>
      <c r="J96" s="23"/>
    </row>
    <row r="97" spans="1:10" x14ac:dyDescent="0.2">
      <c r="A97" s="38" t="s">
        <v>9</v>
      </c>
      <c r="B97" s="36">
        <f t="shared" ref="B97:I97" si="62">B57</f>
        <v>60.317460317460316</v>
      </c>
      <c r="C97" s="36">
        <f t="shared" si="62"/>
        <v>31.147540983606557</v>
      </c>
      <c r="D97" s="36">
        <f t="shared" si="62"/>
        <v>34.4</v>
      </c>
      <c r="E97" s="36">
        <f t="shared" si="62"/>
        <v>25269.841269841269</v>
      </c>
      <c r="F97" s="36">
        <f t="shared" si="62"/>
        <v>13049.180327868853</v>
      </c>
      <c r="G97" s="36">
        <f t="shared" si="62"/>
        <v>6</v>
      </c>
      <c r="H97" s="36">
        <f t="shared" si="62"/>
        <v>6</v>
      </c>
      <c r="I97" s="37">
        <f t="shared" si="62"/>
        <v>2</v>
      </c>
      <c r="J97" s="23"/>
    </row>
    <row r="98" spans="1:10" x14ac:dyDescent="0.2">
      <c r="A98" s="38" t="s">
        <v>10</v>
      </c>
      <c r="B98" s="36">
        <f t="shared" ref="B98:I98" si="63">B58</f>
        <v>54.216867469879517</v>
      </c>
      <c r="C98" s="36">
        <f t="shared" si="63"/>
        <v>33.498759305210918</v>
      </c>
      <c r="D98" s="36">
        <f t="shared" si="63"/>
        <v>34.4</v>
      </c>
      <c r="E98" s="36">
        <f t="shared" si="63"/>
        <v>15843.373493975903</v>
      </c>
      <c r="F98" s="36">
        <f t="shared" si="63"/>
        <v>9789.0818858560797</v>
      </c>
      <c r="G98" s="36">
        <f t="shared" si="63"/>
        <v>6</v>
      </c>
      <c r="H98" s="36">
        <f t="shared" si="63"/>
        <v>6</v>
      </c>
      <c r="I98" s="37">
        <f t="shared" si="63"/>
        <v>2</v>
      </c>
      <c r="J98" s="23"/>
    </row>
    <row r="99" spans="1:10" x14ac:dyDescent="0.2">
      <c r="A99" s="38" t="s">
        <v>8</v>
      </c>
      <c r="B99" s="36">
        <f t="shared" ref="B99:I99" si="64">B59</f>
        <v>41.515151515151508</v>
      </c>
      <c r="C99" s="36">
        <f t="shared" si="64"/>
        <v>2.7454909819639277</v>
      </c>
      <c r="D99" s="36">
        <f t="shared" si="64"/>
        <v>34.4</v>
      </c>
      <c r="E99" s="36">
        <f t="shared" si="64"/>
        <v>131090.90909090909</v>
      </c>
      <c r="F99" s="36">
        <f t="shared" si="64"/>
        <v>8669.3386773547099</v>
      </c>
      <c r="G99" s="36">
        <f t="shared" si="64"/>
        <v>6</v>
      </c>
      <c r="H99" s="36">
        <f t="shared" si="64"/>
        <v>6</v>
      </c>
      <c r="I99" s="37">
        <f t="shared" si="64"/>
        <v>2</v>
      </c>
      <c r="J99" s="23"/>
    </row>
    <row r="100" spans="1:10" x14ac:dyDescent="0.2">
      <c r="A100" s="38" t="s">
        <v>95</v>
      </c>
      <c r="B100" s="36">
        <f t="shared" ref="B100:I100" si="65">B60</f>
        <v>9.9778270509977816</v>
      </c>
      <c r="C100" s="36">
        <f t="shared" si="65"/>
        <v>7.7586206896551726</v>
      </c>
      <c r="D100" s="36">
        <f t="shared" si="65"/>
        <v>19.899999999999999</v>
      </c>
      <c r="E100" s="36">
        <f t="shared" si="65"/>
        <v>22767.441860465115</v>
      </c>
      <c r="F100" s="36">
        <f t="shared" si="65"/>
        <v>17125.36443148688</v>
      </c>
      <c r="G100" s="36">
        <f t="shared" si="65"/>
        <v>2</v>
      </c>
      <c r="H100" s="36">
        <f t="shared" si="65"/>
        <v>1</v>
      </c>
      <c r="I100" s="37">
        <f t="shared" si="65"/>
        <v>1</v>
      </c>
      <c r="J100" s="23"/>
    </row>
    <row r="101" spans="1:10" x14ac:dyDescent="0.2">
      <c r="A101" s="38" t="s">
        <v>96</v>
      </c>
      <c r="B101" s="36">
        <f t="shared" ref="B101:I101" si="66">B61</f>
        <v>22.197558268590456</v>
      </c>
      <c r="C101" s="36">
        <f t="shared" si="66"/>
        <v>13.986013986013987</v>
      </c>
      <c r="D101" s="36">
        <f t="shared" si="66"/>
        <v>19.899999999999999</v>
      </c>
      <c r="E101" s="36">
        <f t="shared" si="66"/>
        <v>23590.102707749767</v>
      </c>
      <c r="F101" s="36">
        <f t="shared" si="66"/>
        <v>14561.959654178674</v>
      </c>
      <c r="G101" s="36">
        <f t="shared" si="66"/>
        <v>2</v>
      </c>
      <c r="H101" s="36">
        <f t="shared" si="66"/>
        <v>1</v>
      </c>
      <c r="I101" s="37">
        <f t="shared" si="66"/>
        <v>1</v>
      </c>
      <c r="J101" s="23"/>
    </row>
    <row r="102" spans="1:10" x14ac:dyDescent="0.2">
      <c r="A102" s="38" t="s">
        <v>38</v>
      </c>
      <c r="B102" s="36">
        <f t="shared" ref="B102:I102" si="67">B62</f>
        <v>116.37931034482759</v>
      </c>
      <c r="C102" s="36">
        <f t="shared" si="67"/>
        <v>24.107142857142858</v>
      </c>
      <c r="D102" s="114">
        <f t="shared" si="67"/>
        <v>19.899999999999999</v>
      </c>
      <c r="E102" s="36">
        <f t="shared" si="67"/>
        <v>28960</v>
      </c>
      <c r="F102" s="36">
        <f t="shared" si="67"/>
        <v>6000</v>
      </c>
      <c r="G102" s="36">
        <f t="shared" si="67"/>
        <v>2</v>
      </c>
      <c r="H102" s="36">
        <f t="shared" si="67"/>
        <v>1</v>
      </c>
      <c r="I102" s="37">
        <f t="shared" si="67"/>
        <v>1</v>
      </c>
      <c r="J102" s="23"/>
    </row>
    <row r="103" spans="1:10" x14ac:dyDescent="0.2">
      <c r="A103" s="38" t="s">
        <v>97</v>
      </c>
      <c r="B103" s="36">
        <f t="shared" ref="B103:I103" si="68">B63</f>
        <v>124.99999999999999</v>
      </c>
      <c r="C103" s="36">
        <f t="shared" si="68"/>
        <v>61.111111111111114</v>
      </c>
      <c r="D103" s="114">
        <f t="shared" si="68"/>
        <v>19.899999999999999</v>
      </c>
      <c r="E103" s="36">
        <f t="shared" si="68"/>
        <v>24318.181818181816</v>
      </c>
      <c r="F103" s="36">
        <f t="shared" si="68"/>
        <v>11888.888888888889</v>
      </c>
      <c r="G103" s="36">
        <f t="shared" si="68"/>
        <v>2</v>
      </c>
      <c r="H103" s="36">
        <f t="shared" si="68"/>
        <v>1</v>
      </c>
      <c r="I103" s="37">
        <f t="shared" si="68"/>
        <v>4</v>
      </c>
      <c r="J103" s="23"/>
    </row>
    <row r="104" spans="1:10" x14ac:dyDescent="0.2">
      <c r="A104" s="38" t="s">
        <v>98</v>
      </c>
      <c r="B104" s="36">
        <f t="shared" ref="B104:I104" si="69">B64</f>
        <v>155.08021390374333</v>
      </c>
      <c r="C104" s="36">
        <f t="shared" si="69"/>
        <v>33.333333333333336</v>
      </c>
      <c r="D104" s="114">
        <f t="shared" si="69"/>
        <v>19.899999999999999</v>
      </c>
      <c r="E104" s="36">
        <f t="shared" si="69"/>
        <v>14207.920792079209</v>
      </c>
      <c r="F104" s="36">
        <f t="shared" si="69"/>
        <v>3727.2727272727275</v>
      </c>
      <c r="G104" s="36">
        <f t="shared" si="69"/>
        <v>2</v>
      </c>
      <c r="H104" s="36">
        <f t="shared" si="69"/>
        <v>1</v>
      </c>
      <c r="I104" s="37">
        <f t="shared" si="69"/>
        <v>1</v>
      </c>
      <c r="J104" s="23"/>
    </row>
    <row r="105" spans="1:10" x14ac:dyDescent="0.2">
      <c r="A105" s="38" t="s">
        <v>99</v>
      </c>
      <c r="B105" s="36">
        <f t="shared" ref="B105:I105" si="70">B65</f>
        <v>70.921985815602838</v>
      </c>
      <c r="C105" s="36">
        <f t="shared" si="70"/>
        <v>58.823529411764703</v>
      </c>
      <c r="D105" s="114">
        <f t="shared" si="70"/>
        <v>19.899999999999999</v>
      </c>
      <c r="E105" s="36">
        <f t="shared" si="70"/>
        <v>10106.382978723404</v>
      </c>
      <c r="F105" s="36">
        <f t="shared" si="70"/>
        <v>8382.3529411764703</v>
      </c>
      <c r="G105" s="36">
        <f t="shared" si="70"/>
        <v>2</v>
      </c>
      <c r="H105" s="36">
        <f t="shared" si="70"/>
        <v>1</v>
      </c>
      <c r="I105" s="37">
        <f t="shared" si="70"/>
        <v>4</v>
      </c>
      <c r="J105" s="23"/>
    </row>
    <row r="106" spans="1:10" x14ac:dyDescent="0.2">
      <c r="A106" s="38" t="s">
        <v>100</v>
      </c>
      <c r="B106" s="36">
        <f t="shared" ref="B106:I106" si="71">B66</f>
        <v>33.333333333333329</v>
      </c>
      <c r="C106" s="36">
        <f t="shared" si="71"/>
        <v>7.5609756097560972</v>
      </c>
      <c r="D106" s="114">
        <f t="shared" si="71"/>
        <v>19.899999999999999</v>
      </c>
      <c r="E106" s="36">
        <f t="shared" si="71"/>
        <v>20967.741935483868</v>
      </c>
      <c r="F106" s="36">
        <f t="shared" si="71"/>
        <v>4756.0975609756097</v>
      </c>
      <c r="G106" s="36">
        <f t="shared" si="71"/>
        <v>2</v>
      </c>
      <c r="H106" s="36">
        <f t="shared" si="71"/>
        <v>1</v>
      </c>
      <c r="I106" s="37">
        <f t="shared" si="71"/>
        <v>1</v>
      </c>
      <c r="J106" s="23"/>
    </row>
    <row r="107" spans="1:10" x14ac:dyDescent="0.2">
      <c r="A107" s="38" t="s">
        <v>32</v>
      </c>
      <c r="B107" s="36">
        <f t="shared" ref="B107:I107" si="72">B67</f>
        <v>51.428571428571431</v>
      </c>
      <c r="C107" s="36">
        <f t="shared" si="72"/>
        <v>7.8260869565217392</v>
      </c>
      <c r="D107" s="114">
        <f t="shared" si="72"/>
        <v>19.899999999999999</v>
      </c>
      <c r="E107" s="36">
        <f t="shared" si="72"/>
        <v>80000</v>
      </c>
      <c r="F107" s="36">
        <f t="shared" si="72"/>
        <v>12173.91304347826</v>
      </c>
      <c r="G107" s="36">
        <f t="shared" si="72"/>
        <v>2</v>
      </c>
      <c r="H107" s="36">
        <f t="shared" si="72"/>
        <v>1</v>
      </c>
      <c r="I107" s="37">
        <f t="shared" si="72"/>
        <v>4</v>
      </c>
      <c r="J107" s="23"/>
    </row>
    <row r="108" spans="1:10" x14ac:dyDescent="0.2">
      <c r="A108" s="38" t="s">
        <v>33</v>
      </c>
      <c r="B108" s="36">
        <f t="shared" ref="B108:I108" si="73">B68</f>
        <v>44.954128440366972</v>
      </c>
      <c r="C108" s="36">
        <f t="shared" si="73"/>
        <v>5.5056179775280896</v>
      </c>
      <c r="D108" s="114">
        <f t="shared" si="73"/>
        <v>19.899999999999999</v>
      </c>
      <c r="E108" s="36">
        <f t="shared" si="73"/>
        <v>72477.064220183485</v>
      </c>
      <c r="F108" s="36">
        <f t="shared" si="73"/>
        <v>8876.4044943820227</v>
      </c>
      <c r="G108" s="36">
        <f t="shared" si="73"/>
        <v>2</v>
      </c>
      <c r="H108" s="36">
        <f t="shared" si="73"/>
        <v>1</v>
      </c>
      <c r="I108" s="37">
        <f t="shared" si="73"/>
        <v>6</v>
      </c>
      <c r="J108" s="23"/>
    </row>
    <row r="109" spans="1:10" x14ac:dyDescent="0.2">
      <c r="A109" s="38" t="s">
        <v>34</v>
      </c>
      <c r="B109" s="36">
        <f t="shared" ref="B109:I109" si="74">B69</f>
        <v>45.054945054945065</v>
      </c>
      <c r="C109" s="36">
        <f t="shared" si="74"/>
        <v>10.512820512820513</v>
      </c>
      <c r="D109" s="114">
        <f t="shared" si="74"/>
        <v>19.899999999999999</v>
      </c>
      <c r="E109" s="36">
        <f t="shared" si="74"/>
        <v>100000</v>
      </c>
      <c r="F109" s="36">
        <f t="shared" si="74"/>
        <v>23333.333333333332</v>
      </c>
      <c r="G109" s="36">
        <f t="shared" si="74"/>
        <v>2</v>
      </c>
      <c r="H109" s="36">
        <f t="shared" si="74"/>
        <v>1</v>
      </c>
      <c r="I109" s="37">
        <f t="shared" si="74"/>
        <v>4</v>
      </c>
      <c r="J109" s="23"/>
    </row>
    <row r="110" spans="1:10" x14ac:dyDescent="0.2">
      <c r="A110" s="38" t="s">
        <v>35</v>
      </c>
      <c r="B110" s="36">
        <f t="shared" ref="B110:I110" si="75">B70</f>
        <v>74.626865671641795</v>
      </c>
      <c r="C110" s="36">
        <f t="shared" si="75"/>
        <v>15.625</v>
      </c>
      <c r="D110" s="114">
        <f t="shared" si="75"/>
        <v>19.899999999999999</v>
      </c>
      <c r="E110" s="36">
        <f t="shared" si="75"/>
        <v>51791.044776119401</v>
      </c>
      <c r="F110" s="36">
        <f t="shared" si="75"/>
        <v>10843.75</v>
      </c>
      <c r="G110" s="36">
        <f t="shared" si="75"/>
        <v>2</v>
      </c>
      <c r="H110" s="36">
        <f t="shared" si="75"/>
        <v>1</v>
      </c>
      <c r="I110" s="37">
        <f t="shared" si="75"/>
        <v>8</v>
      </c>
      <c r="J110" s="23"/>
    </row>
    <row r="111" spans="1:10" x14ac:dyDescent="0.2">
      <c r="A111" s="38" t="s">
        <v>36</v>
      </c>
      <c r="B111" s="36">
        <f t="shared" ref="B111:I111" si="76">B71</f>
        <v>63.492063492063494</v>
      </c>
      <c r="C111" s="36">
        <f t="shared" si="76"/>
        <v>5.9701492537313436</v>
      </c>
      <c r="D111" s="114">
        <f t="shared" si="76"/>
        <v>19.899999999999999</v>
      </c>
      <c r="E111" s="36">
        <f t="shared" si="76"/>
        <v>96507.936507936509</v>
      </c>
      <c r="F111" s="36">
        <f t="shared" si="76"/>
        <v>9074.626865671642</v>
      </c>
      <c r="G111" s="36">
        <f t="shared" si="76"/>
        <v>2</v>
      </c>
      <c r="H111" s="36">
        <f t="shared" si="76"/>
        <v>1</v>
      </c>
      <c r="I111" s="37">
        <f t="shared" si="76"/>
        <v>6</v>
      </c>
      <c r="J111" s="23"/>
    </row>
    <row r="112" spans="1:10" x14ac:dyDescent="0.2">
      <c r="A112" s="38" t="s">
        <v>37</v>
      </c>
      <c r="B112" s="36">
        <f t="shared" ref="B112:I112" si="77">B72</f>
        <v>134.61538461538461</v>
      </c>
      <c r="C112" s="36">
        <f t="shared" si="77"/>
        <v>6.7307692307692308</v>
      </c>
      <c r="D112" s="114">
        <f t="shared" si="77"/>
        <v>19.899999999999999</v>
      </c>
      <c r="E112" s="36">
        <f t="shared" si="77"/>
        <v>316153.84615384613</v>
      </c>
      <c r="F112" s="36">
        <f t="shared" si="77"/>
        <v>15807.692307692309</v>
      </c>
      <c r="G112" s="36">
        <f t="shared" si="77"/>
        <v>2</v>
      </c>
      <c r="H112" s="36">
        <f t="shared" si="77"/>
        <v>1</v>
      </c>
      <c r="I112" s="37">
        <f t="shared" si="77"/>
        <v>4</v>
      </c>
      <c r="J112" s="23"/>
    </row>
    <row r="113" spans="1:10" x14ac:dyDescent="0.2">
      <c r="A113" s="38" t="s">
        <v>39</v>
      </c>
      <c r="B113" s="36">
        <f t="shared" ref="B113:I113" si="78">B73</f>
        <v>10.638297872340425</v>
      </c>
      <c r="C113" s="36">
        <f t="shared" si="78"/>
        <v>3.8860103626943006</v>
      </c>
      <c r="D113" s="114">
        <f t="shared" si="78"/>
        <v>19.899999999999999</v>
      </c>
      <c r="E113" s="36">
        <f t="shared" si="78"/>
        <v>76099.290780141848</v>
      </c>
      <c r="F113" s="36">
        <f t="shared" si="78"/>
        <v>27797.927461139898</v>
      </c>
      <c r="G113" s="36">
        <f t="shared" si="78"/>
        <v>2</v>
      </c>
      <c r="H113" s="36">
        <f t="shared" si="78"/>
        <v>1</v>
      </c>
      <c r="I113" s="37">
        <f t="shared" si="78"/>
        <v>2</v>
      </c>
      <c r="J113" s="23"/>
    </row>
    <row r="114" spans="1:10" x14ac:dyDescent="0.2">
      <c r="A114" s="38" t="s">
        <v>40</v>
      </c>
      <c r="B114" s="36">
        <f t="shared" ref="B114:I114" si="79">B74</f>
        <v>4.8062015503875966</v>
      </c>
      <c r="C114" s="36">
        <f t="shared" si="79"/>
        <v>2.1869488536155202</v>
      </c>
      <c r="D114" s="114">
        <f t="shared" si="79"/>
        <v>19.899999999999999</v>
      </c>
      <c r="E114" s="36">
        <f t="shared" si="79"/>
        <v>15403.100775193798</v>
      </c>
      <c r="F114" s="36">
        <f t="shared" si="79"/>
        <v>7008.8183421516751</v>
      </c>
      <c r="G114" s="36">
        <f t="shared" si="79"/>
        <v>2</v>
      </c>
      <c r="H114" s="36">
        <f t="shared" si="79"/>
        <v>1</v>
      </c>
      <c r="I114" s="37">
        <f t="shared" si="79"/>
        <v>1</v>
      </c>
      <c r="J114" s="23"/>
    </row>
    <row r="115" spans="1:10" x14ac:dyDescent="0.2">
      <c r="A115" s="38" t="s">
        <v>112</v>
      </c>
      <c r="B115" s="36">
        <f t="shared" ref="B115:I115" si="80">B75</f>
        <v>25</v>
      </c>
      <c r="C115" s="36">
        <f t="shared" si="80"/>
        <v>12.8</v>
      </c>
      <c r="D115" s="114">
        <f t="shared" si="80"/>
        <v>19.899999999999999</v>
      </c>
      <c r="E115" s="36">
        <f t="shared" si="80"/>
        <v>21875</v>
      </c>
      <c r="F115" s="36">
        <f t="shared" si="80"/>
        <v>11200</v>
      </c>
      <c r="G115" s="36">
        <f t="shared" si="80"/>
        <v>2</v>
      </c>
      <c r="H115" s="36">
        <f t="shared" si="80"/>
        <v>1</v>
      </c>
      <c r="I115" s="37">
        <f t="shared" si="80"/>
        <v>2</v>
      </c>
      <c r="J115" s="23"/>
    </row>
    <row r="116" spans="1:10" ht="13.5" thickBot="1" x14ac:dyDescent="0.25">
      <c r="A116" s="39" t="s">
        <v>101</v>
      </c>
      <c r="B116" s="40">
        <f t="shared" ref="B116:I116" si="81">B76</f>
        <v>25</v>
      </c>
      <c r="C116" s="40">
        <f t="shared" si="81"/>
        <v>22.666666666666671</v>
      </c>
      <c r="D116" s="115">
        <f t="shared" si="81"/>
        <v>19.899999999999999</v>
      </c>
      <c r="E116" s="40">
        <f t="shared" si="81"/>
        <v>17426.470588235294</v>
      </c>
      <c r="F116" s="40">
        <f t="shared" si="81"/>
        <v>15800</v>
      </c>
      <c r="G116" s="40">
        <f t="shared" si="81"/>
        <v>2</v>
      </c>
      <c r="H116" s="40">
        <f t="shared" si="81"/>
        <v>1</v>
      </c>
      <c r="I116" s="41">
        <f t="shared" si="81"/>
        <v>2</v>
      </c>
      <c r="J116" s="23"/>
    </row>
    <row r="117" spans="1:10" x14ac:dyDescent="0.2">
      <c r="A117" s="23"/>
      <c r="B117" s="23"/>
      <c r="C117" s="23"/>
      <c r="D117" s="23"/>
      <c r="E117" s="23"/>
      <c r="F117" s="23"/>
      <c r="G117" s="23"/>
      <c r="H117" s="23"/>
      <c r="I117" s="23"/>
      <c r="J117" s="23"/>
    </row>
    <row r="121" spans="1:10" ht="13.5" thickBot="1" x14ac:dyDescent="0.25"/>
    <row r="122" spans="1:10" x14ac:dyDescent="0.2">
      <c r="A122" s="51"/>
      <c r="B122" s="52"/>
      <c r="C122" s="52"/>
      <c r="D122" s="52"/>
      <c r="E122" s="52"/>
      <c r="F122" s="52"/>
      <c r="G122" s="52"/>
      <c r="H122" s="52"/>
      <c r="I122" s="22"/>
    </row>
    <row r="123" spans="1:10" x14ac:dyDescent="0.2">
      <c r="A123" s="47"/>
      <c r="B123" s="48" t="s">
        <v>122</v>
      </c>
      <c r="C123" s="49"/>
      <c r="D123" s="43"/>
      <c r="E123" s="43"/>
      <c r="F123" s="43"/>
      <c r="G123" s="43" t="s">
        <v>161</v>
      </c>
      <c r="H123" s="43"/>
      <c r="I123" s="33"/>
    </row>
    <row r="124" spans="1:10" ht="13.5" thickBot="1" x14ac:dyDescent="0.25">
      <c r="A124" s="47"/>
      <c r="B124" s="48"/>
      <c r="C124" s="49"/>
      <c r="D124" s="43"/>
      <c r="E124" s="43"/>
      <c r="F124" s="43"/>
      <c r="G124" s="43"/>
      <c r="H124" s="43"/>
      <c r="I124" s="33"/>
    </row>
    <row r="125" spans="1:10" x14ac:dyDescent="0.2">
      <c r="A125" s="50"/>
      <c r="B125" s="24" t="s">
        <v>92</v>
      </c>
      <c r="C125" s="25"/>
      <c r="D125" s="26" t="s">
        <v>93</v>
      </c>
      <c r="E125" s="27" t="s">
        <v>94</v>
      </c>
      <c r="F125" s="28"/>
      <c r="G125" s="26" t="s">
        <v>102</v>
      </c>
      <c r="H125" s="26" t="s">
        <v>103</v>
      </c>
      <c r="I125" s="26" t="s">
        <v>121</v>
      </c>
    </row>
    <row r="126" spans="1:10" x14ac:dyDescent="0.2">
      <c r="A126" s="50"/>
      <c r="B126" s="29"/>
      <c r="C126" s="30"/>
      <c r="D126" s="31"/>
      <c r="E126" s="32"/>
      <c r="F126" s="33"/>
      <c r="G126" s="31"/>
      <c r="H126" s="31" t="s">
        <v>120</v>
      </c>
      <c r="I126" s="31" t="s">
        <v>120</v>
      </c>
    </row>
    <row r="127" spans="1:10" x14ac:dyDescent="0.2">
      <c r="A127" s="50"/>
      <c r="B127" s="29"/>
      <c r="C127" s="30"/>
      <c r="D127" s="31"/>
      <c r="E127" s="32"/>
      <c r="F127" s="33"/>
      <c r="G127" s="31"/>
      <c r="H127" s="31"/>
      <c r="I127" s="31"/>
    </row>
    <row r="128" spans="1:10" x14ac:dyDescent="0.2">
      <c r="A128" s="50"/>
      <c r="B128" s="44" t="s">
        <v>55</v>
      </c>
      <c r="C128" s="30" t="s">
        <v>55</v>
      </c>
      <c r="D128" s="34" t="s">
        <v>119</v>
      </c>
      <c r="E128" s="44" t="s">
        <v>56</v>
      </c>
      <c r="F128" s="30" t="s">
        <v>56</v>
      </c>
      <c r="G128" s="34" t="s">
        <v>73</v>
      </c>
      <c r="H128" s="34" t="s">
        <v>73</v>
      </c>
      <c r="I128" s="34" t="s">
        <v>73</v>
      </c>
    </row>
    <row r="129" spans="1:9" x14ac:dyDescent="0.2">
      <c r="A129" s="50"/>
      <c r="B129" s="44" t="s">
        <v>54</v>
      </c>
      <c r="C129" s="30" t="s">
        <v>125</v>
      </c>
      <c r="D129" s="34" t="s">
        <v>54</v>
      </c>
      <c r="E129" s="44" t="s">
        <v>54</v>
      </c>
      <c r="F129" s="30" t="s">
        <v>125</v>
      </c>
      <c r="G129" s="31" t="s">
        <v>124</v>
      </c>
      <c r="H129" s="31" t="s">
        <v>124</v>
      </c>
      <c r="I129" s="31" t="s">
        <v>124</v>
      </c>
    </row>
    <row r="130" spans="1:9" ht="13.5" thickBot="1" x14ac:dyDescent="0.25">
      <c r="A130" s="50"/>
      <c r="B130" s="46"/>
      <c r="C130" s="30"/>
      <c r="D130" s="31"/>
      <c r="E130" s="45"/>
      <c r="F130" s="33"/>
      <c r="G130" s="31"/>
      <c r="H130" s="31"/>
      <c r="I130" s="31"/>
    </row>
    <row r="131" spans="1:9" x14ac:dyDescent="0.2">
      <c r="A131" s="35" t="s">
        <v>4</v>
      </c>
      <c r="B131" s="36">
        <f>B50</f>
        <v>102.19530658591977</v>
      </c>
      <c r="C131" s="36">
        <f t="shared" ref="C131:I131" si="82">C50</f>
        <v>92.783505154639172</v>
      </c>
      <c r="D131" s="36">
        <f t="shared" si="82"/>
        <v>655.9</v>
      </c>
      <c r="E131" s="36">
        <f t="shared" si="82"/>
        <v>75968.950749464668</v>
      </c>
      <c r="F131" s="36">
        <f t="shared" si="82"/>
        <v>60645.299145299148</v>
      </c>
      <c r="G131" s="36">
        <f t="shared" si="82"/>
        <v>6</v>
      </c>
      <c r="H131" s="36">
        <f t="shared" si="82"/>
        <v>6</v>
      </c>
      <c r="I131" s="36">
        <f t="shared" si="82"/>
        <v>4</v>
      </c>
    </row>
    <row r="132" spans="1:9" x14ac:dyDescent="0.2">
      <c r="A132" s="38" t="s">
        <v>62</v>
      </c>
      <c r="B132" s="36">
        <f t="shared" ref="B132:I132" si="83">B51</f>
        <v>159.8694942903752</v>
      </c>
      <c r="C132" s="36">
        <f t="shared" si="83"/>
        <v>133.33333333333334</v>
      </c>
      <c r="D132" s="36">
        <f t="shared" si="83"/>
        <v>119.5</v>
      </c>
      <c r="E132" s="36">
        <f t="shared" si="83"/>
        <v>66984.5971563981</v>
      </c>
      <c r="F132" s="36">
        <f t="shared" si="83"/>
        <v>42348.314606741573</v>
      </c>
      <c r="G132" s="36">
        <f t="shared" si="83"/>
        <v>2</v>
      </c>
      <c r="H132" s="36">
        <f t="shared" si="83"/>
        <v>4</v>
      </c>
      <c r="I132" s="36">
        <f t="shared" si="83"/>
        <v>2</v>
      </c>
    </row>
    <row r="133" spans="1:9" x14ac:dyDescent="0.2">
      <c r="A133" s="38" t="s">
        <v>6</v>
      </c>
      <c r="B133" s="36">
        <f t="shared" ref="B133:I133" si="84">B52</f>
        <v>45.902883156297413</v>
      </c>
      <c r="C133" s="36">
        <f t="shared" si="84"/>
        <v>50.840336134453779</v>
      </c>
      <c r="D133" s="36">
        <f t="shared" si="84"/>
        <v>50.5</v>
      </c>
      <c r="E133" s="36">
        <f t="shared" si="84"/>
        <v>30230.515916575194</v>
      </c>
      <c r="F133" s="36">
        <f t="shared" si="84"/>
        <v>26104.265402843601</v>
      </c>
      <c r="G133" s="36">
        <f t="shared" si="84"/>
        <v>6</v>
      </c>
      <c r="H133" s="36">
        <f t="shared" si="84"/>
        <v>8</v>
      </c>
      <c r="I133" s="36">
        <f t="shared" si="84"/>
        <v>4</v>
      </c>
    </row>
    <row r="134" spans="1:9" x14ac:dyDescent="0.2">
      <c r="A134" s="38" t="s">
        <v>5</v>
      </c>
      <c r="B134" s="36">
        <f t="shared" ref="B134:I134" si="85">B53</f>
        <v>25.274725274725274</v>
      </c>
      <c r="C134" s="36">
        <f t="shared" si="85"/>
        <v>28.87029288702929</v>
      </c>
      <c r="D134" s="36">
        <f t="shared" si="85"/>
        <v>28.1</v>
      </c>
      <c r="E134" s="36">
        <f t="shared" si="85"/>
        <v>11924.731182795698</v>
      </c>
      <c r="F134" s="36">
        <f t="shared" si="85"/>
        <v>10316.279069767443</v>
      </c>
      <c r="G134" s="36">
        <f t="shared" si="85"/>
        <v>6</v>
      </c>
      <c r="H134" s="36">
        <f t="shared" si="85"/>
        <v>4</v>
      </c>
      <c r="I134" s="36">
        <f t="shared" si="85"/>
        <v>4</v>
      </c>
    </row>
    <row r="135" spans="1:9" x14ac:dyDescent="0.2">
      <c r="A135" s="38" t="s">
        <v>25</v>
      </c>
      <c r="B135" s="36">
        <f t="shared" ref="B135:I135" si="86">B54</f>
        <v>53.846153846153847</v>
      </c>
      <c r="C135" s="36">
        <f t="shared" si="86"/>
        <v>57.766990291262132</v>
      </c>
      <c r="D135" s="36">
        <f t="shared" si="86"/>
        <v>7.3</v>
      </c>
      <c r="E135" s="113">
        <f t="shared" si="86"/>
        <v>5000</v>
      </c>
      <c r="F135" s="113">
        <f t="shared" si="86"/>
        <v>5000</v>
      </c>
      <c r="G135" s="36">
        <f t="shared" si="86"/>
        <v>2</v>
      </c>
      <c r="H135" s="36">
        <f t="shared" si="86"/>
        <v>1</v>
      </c>
      <c r="I135" s="36">
        <f t="shared" si="86"/>
        <v>2</v>
      </c>
    </row>
    <row r="136" spans="1:9" x14ac:dyDescent="0.2">
      <c r="A136" s="38" t="s">
        <v>24</v>
      </c>
      <c r="B136" s="36">
        <f t="shared" ref="B136:I136" si="87">B55</f>
        <v>5.8</v>
      </c>
      <c r="C136" s="36">
        <f t="shared" si="87"/>
        <v>8.0255813953488371</v>
      </c>
      <c r="D136" s="36">
        <f t="shared" si="87"/>
        <v>1.5</v>
      </c>
      <c r="E136" s="113">
        <f t="shared" si="87"/>
        <v>100</v>
      </c>
      <c r="F136" s="113">
        <f t="shared" si="87"/>
        <v>100</v>
      </c>
      <c r="G136" s="36">
        <f t="shared" si="87"/>
        <v>1</v>
      </c>
      <c r="H136" s="36">
        <f t="shared" si="87"/>
        <v>0</v>
      </c>
      <c r="I136" s="36">
        <f t="shared" si="87"/>
        <v>1</v>
      </c>
    </row>
    <row r="137" spans="1:9" x14ac:dyDescent="0.2">
      <c r="A137" s="38" t="s">
        <v>7</v>
      </c>
      <c r="B137" s="36">
        <f t="shared" ref="B137:I137" si="88">B56</f>
        <v>38.155802861685217</v>
      </c>
      <c r="C137" s="36">
        <f t="shared" si="88"/>
        <v>30.967741935483872</v>
      </c>
      <c r="D137" s="36">
        <f t="shared" si="88"/>
        <v>35.9</v>
      </c>
      <c r="E137" s="36">
        <f t="shared" si="88"/>
        <v>12468.152866242039</v>
      </c>
      <c r="F137" s="36">
        <f t="shared" si="88"/>
        <v>10951.048951048951</v>
      </c>
      <c r="G137" s="36">
        <f t="shared" si="88"/>
        <v>6</v>
      </c>
      <c r="H137" s="36">
        <f t="shared" si="88"/>
        <v>4</v>
      </c>
      <c r="I137" s="36">
        <f t="shared" si="88"/>
        <v>2</v>
      </c>
    </row>
    <row r="138" spans="1:9" x14ac:dyDescent="0.2">
      <c r="A138" s="38" t="s">
        <v>9</v>
      </c>
      <c r="B138" s="36">
        <f t="shared" ref="B138:I138" si="89">B57</f>
        <v>60.317460317460316</v>
      </c>
      <c r="C138" s="36">
        <f t="shared" si="89"/>
        <v>31.147540983606557</v>
      </c>
      <c r="D138" s="36">
        <f t="shared" si="89"/>
        <v>34.4</v>
      </c>
      <c r="E138" s="36">
        <f t="shared" si="89"/>
        <v>25269.841269841269</v>
      </c>
      <c r="F138" s="36">
        <f t="shared" si="89"/>
        <v>13049.180327868853</v>
      </c>
      <c r="G138" s="36">
        <f t="shared" si="89"/>
        <v>6</v>
      </c>
      <c r="H138" s="36">
        <f t="shared" si="89"/>
        <v>6</v>
      </c>
      <c r="I138" s="36">
        <f t="shared" si="89"/>
        <v>2</v>
      </c>
    </row>
    <row r="139" spans="1:9" x14ac:dyDescent="0.2">
      <c r="A139" s="38" t="s">
        <v>10</v>
      </c>
      <c r="B139" s="36">
        <f t="shared" ref="B139:I139" si="90">B58</f>
        <v>54.216867469879517</v>
      </c>
      <c r="C139" s="36">
        <f t="shared" si="90"/>
        <v>33.498759305210918</v>
      </c>
      <c r="D139" s="36">
        <f t="shared" si="90"/>
        <v>34.4</v>
      </c>
      <c r="E139" s="36">
        <f t="shared" si="90"/>
        <v>15843.373493975903</v>
      </c>
      <c r="F139" s="36">
        <f t="shared" si="90"/>
        <v>9789.0818858560797</v>
      </c>
      <c r="G139" s="36">
        <f t="shared" si="90"/>
        <v>6</v>
      </c>
      <c r="H139" s="36">
        <f t="shared" si="90"/>
        <v>6</v>
      </c>
      <c r="I139" s="36">
        <f t="shared" si="90"/>
        <v>2</v>
      </c>
    </row>
    <row r="140" spans="1:9" x14ac:dyDescent="0.2">
      <c r="A140" s="38" t="s">
        <v>8</v>
      </c>
      <c r="B140" s="36">
        <f t="shared" ref="B140:I140" si="91">B59</f>
        <v>41.515151515151508</v>
      </c>
      <c r="C140" s="36">
        <f t="shared" si="91"/>
        <v>2.7454909819639277</v>
      </c>
      <c r="D140" s="36">
        <f t="shared" si="91"/>
        <v>34.4</v>
      </c>
      <c r="E140" s="36">
        <f t="shared" si="91"/>
        <v>131090.90909090909</v>
      </c>
      <c r="F140" s="36">
        <f t="shared" si="91"/>
        <v>8669.3386773547099</v>
      </c>
      <c r="G140" s="36">
        <f t="shared" si="91"/>
        <v>6</v>
      </c>
      <c r="H140" s="36">
        <f t="shared" si="91"/>
        <v>6</v>
      </c>
      <c r="I140" s="36">
        <f t="shared" si="91"/>
        <v>2</v>
      </c>
    </row>
    <row r="141" spans="1:9" x14ac:dyDescent="0.2">
      <c r="A141" s="38" t="s">
        <v>95</v>
      </c>
      <c r="B141" s="36">
        <f t="shared" ref="B141:I141" si="92">B60</f>
        <v>9.9778270509977816</v>
      </c>
      <c r="C141" s="36">
        <f t="shared" si="92"/>
        <v>7.7586206896551726</v>
      </c>
      <c r="D141" s="36">
        <f t="shared" si="92"/>
        <v>19.899999999999999</v>
      </c>
      <c r="E141" s="36">
        <f t="shared" si="92"/>
        <v>22767.441860465115</v>
      </c>
      <c r="F141" s="36">
        <f t="shared" si="92"/>
        <v>17125.36443148688</v>
      </c>
      <c r="G141" s="36">
        <f t="shared" si="92"/>
        <v>2</v>
      </c>
      <c r="H141" s="36">
        <f t="shared" si="92"/>
        <v>1</v>
      </c>
      <c r="I141" s="36">
        <f t="shared" si="92"/>
        <v>1</v>
      </c>
    </row>
    <row r="142" spans="1:9" x14ac:dyDescent="0.2">
      <c r="A142" s="38" t="s">
        <v>96</v>
      </c>
      <c r="B142" s="36">
        <f t="shared" ref="B142:I142" si="93">B61</f>
        <v>22.197558268590456</v>
      </c>
      <c r="C142" s="36">
        <f t="shared" si="93"/>
        <v>13.986013986013987</v>
      </c>
      <c r="D142" s="36">
        <f t="shared" si="93"/>
        <v>19.899999999999999</v>
      </c>
      <c r="E142" s="36">
        <f t="shared" si="93"/>
        <v>23590.102707749767</v>
      </c>
      <c r="F142" s="36">
        <f t="shared" si="93"/>
        <v>14561.959654178674</v>
      </c>
      <c r="G142" s="36">
        <f t="shared" si="93"/>
        <v>2</v>
      </c>
      <c r="H142" s="36">
        <f t="shared" si="93"/>
        <v>1</v>
      </c>
      <c r="I142" s="36">
        <f t="shared" si="93"/>
        <v>1</v>
      </c>
    </row>
    <row r="143" spans="1:9" x14ac:dyDescent="0.2">
      <c r="A143" s="38" t="s">
        <v>38</v>
      </c>
      <c r="B143" s="36">
        <f t="shared" ref="B143:I143" si="94">B62</f>
        <v>116.37931034482759</v>
      </c>
      <c r="C143" s="36">
        <f t="shared" si="94"/>
        <v>24.107142857142858</v>
      </c>
      <c r="D143" s="113">
        <f t="shared" si="94"/>
        <v>19.899999999999999</v>
      </c>
      <c r="E143" s="36">
        <f t="shared" si="94"/>
        <v>28960</v>
      </c>
      <c r="F143" s="36">
        <f t="shared" si="94"/>
        <v>6000</v>
      </c>
      <c r="G143" s="36">
        <f t="shared" si="94"/>
        <v>2</v>
      </c>
      <c r="H143" s="36">
        <f t="shared" si="94"/>
        <v>1</v>
      </c>
      <c r="I143" s="36">
        <f t="shared" si="94"/>
        <v>1</v>
      </c>
    </row>
    <row r="144" spans="1:9" x14ac:dyDescent="0.2">
      <c r="A144" s="38" t="s">
        <v>97</v>
      </c>
      <c r="B144" s="36">
        <f t="shared" ref="B144:I144" si="95">B63</f>
        <v>124.99999999999999</v>
      </c>
      <c r="C144" s="36">
        <f t="shared" si="95"/>
        <v>61.111111111111114</v>
      </c>
      <c r="D144" s="113">
        <f t="shared" si="95"/>
        <v>19.899999999999999</v>
      </c>
      <c r="E144" s="36">
        <f t="shared" si="95"/>
        <v>24318.181818181816</v>
      </c>
      <c r="F144" s="36">
        <f t="shared" si="95"/>
        <v>11888.888888888889</v>
      </c>
      <c r="G144" s="36">
        <f t="shared" si="95"/>
        <v>2</v>
      </c>
      <c r="H144" s="36">
        <f t="shared" si="95"/>
        <v>1</v>
      </c>
      <c r="I144" s="36">
        <f t="shared" si="95"/>
        <v>4</v>
      </c>
    </row>
    <row r="145" spans="1:9" x14ac:dyDescent="0.2">
      <c r="A145" s="38" t="s">
        <v>98</v>
      </c>
      <c r="B145" s="36">
        <f t="shared" ref="B145:I145" si="96">B64</f>
        <v>155.08021390374333</v>
      </c>
      <c r="C145" s="36">
        <f t="shared" si="96"/>
        <v>33.333333333333336</v>
      </c>
      <c r="D145" s="113">
        <f t="shared" si="96"/>
        <v>19.899999999999999</v>
      </c>
      <c r="E145" s="36">
        <f t="shared" si="96"/>
        <v>14207.920792079209</v>
      </c>
      <c r="F145" s="36">
        <f t="shared" si="96"/>
        <v>3727.2727272727275</v>
      </c>
      <c r="G145" s="36">
        <f t="shared" si="96"/>
        <v>2</v>
      </c>
      <c r="H145" s="36">
        <f t="shared" si="96"/>
        <v>1</v>
      </c>
      <c r="I145" s="36">
        <f t="shared" si="96"/>
        <v>1</v>
      </c>
    </row>
    <row r="146" spans="1:9" x14ac:dyDescent="0.2">
      <c r="A146" s="38" t="s">
        <v>99</v>
      </c>
      <c r="B146" s="36">
        <f t="shared" ref="B146:I146" si="97">B65</f>
        <v>70.921985815602838</v>
      </c>
      <c r="C146" s="36">
        <f t="shared" si="97"/>
        <v>58.823529411764703</v>
      </c>
      <c r="D146" s="113">
        <f t="shared" si="97"/>
        <v>19.899999999999999</v>
      </c>
      <c r="E146" s="36">
        <f t="shared" si="97"/>
        <v>10106.382978723404</v>
      </c>
      <c r="F146" s="36">
        <f t="shared" si="97"/>
        <v>8382.3529411764703</v>
      </c>
      <c r="G146" s="36">
        <f t="shared" si="97"/>
        <v>2</v>
      </c>
      <c r="H146" s="36">
        <f t="shared" si="97"/>
        <v>1</v>
      </c>
      <c r="I146" s="36">
        <f t="shared" si="97"/>
        <v>4</v>
      </c>
    </row>
    <row r="147" spans="1:9" x14ac:dyDescent="0.2">
      <c r="A147" s="38" t="s">
        <v>100</v>
      </c>
      <c r="B147" s="36">
        <f t="shared" ref="B147:I147" si="98">B66</f>
        <v>33.333333333333329</v>
      </c>
      <c r="C147" s="36">
        <f t="shared" si="98"/>
        <v>7.5609756097560972</v>
      </c>
      <c r="D147" s="113">
        <f t="shared" si="98"/>
        <v>19.899999999999999</v>
      </c>
      <c r="E147" s="36">
        <f t="shared" si="98"/>
        <v>20967.741935483868</v>
      </c>
      <c r="F147" s="36">
        <f t="shared" si="98"/>
        <v>4756.0975609756097</v>
      </c>
      <c r="G147" s="36">
        <f t="shared" si="98"/>
        <v>2</v>
      </c>
      <c r="H147" s="36">
        <f t="shared" si="98"/>
        <v>1</v>
      </c>
      <c r="I147" s="36">
        <f t="shared" si="98"/>
        <v>1</v>
      </c>
    </row>
    <row r="148" spans="1:9" x14ac:dyDescent="0.2">
      <c r="A148" s="38" t="s">
        <v>32</v>
      </c>
      <c r="B148" s="36">
        <f t="shared" ref="B148:I148" si="99">B67</f>
        <v>51.428571428571431</v>
      </c>
      <c r="C148" s="36">
        <f t="shared" si="99"/>
        <v>7.8260869565217392</v>
      </c>
      <c r="D148" s="113">
        <f t="shared" si="99"/>
        <v>19.899999999999999</v>
      </c>
      <c r="E148" s="36">
        <f t="shared" si="99"/>
        <v>80000</v>
      </c>
      <c r="F148" s="36">
        <f t="shared" si="99"/>
        <v>12173.91304347826</v>
      </c>
      <c r="G148" s="36">
        <f t="shared" si="99"/>
        <v>2</v>
      </c>
      <c r="H148" s="36">
        <f t="shared" si="99"/>
        <v>1</v>
      </c>
      <c r="I148" s="36">
        <f t="shared" si="99"/>
        <v>4</v>
      </c>
    </row>
    <row r="149" spans="1:9" x14ac:dyDescent="0.2">
      <c r="A149" s="38" t="s">
        <v>33</v>
      </c>
      <c r="B149" s="36">
        <f t="shared" ref="B149:I149" si="100">B68</f>
        <v>44.954128440366972</v>
      </c>
      <c r="C149" s="36">
        <f t="shared" si="100"/>
        <v>5.5056179775280896</v>
      </c>
      <c r="D149" s="113">
        <f t="shared" si="100"/>
        <v>19.899999999999999</v>
      </c>
      <c r="E149" s="36">
        <f t="shared" si="100"/>
        <v>72477.064220183485</v>
      </c>
      <c r="F149" s="36">
        <f t="shared" si="100"/>
        <v>8876.4044943820227</v>
      </c>
      <c r="G149" s="36">
        <f t="shared" si="100"/>
        <v>2</v>
      </c>
      <c r="H149" s="36">
        <f t="shared" si="100"/>
        <v>1</v>
      </c>
      <c r="I149" s="36">
        <f t="shared" si="100"/>
        <v>6</v>
      </c>
    </row>
    <row r="150" spans="1:9" x14ac:dyDescent="0.2">
      <c r="A150" s="38" t="s">
        <v>34</v>
      </c>
      <c r="B150" s="36">
        <f t="shared" ref="B150:I150" si="101">B69</f>
        <v>45.054945054945065</v>
      </c>
      <c r="C150" s="36">
        <f t="shared" si="101"/>
        <v>10.512820512820513</v>
      </c>
      <c r="D150" s="113">
        <f t="shared" si="101"/>
        <v>19.899999999999999</v>
      </c>
      <c r="E150" s="36">
        <f t="shared" si="101"/>
        <v>100000</v>
      </c>
      <c r="F150" s="36">
        <f t="shared" si="101"/>
        <v>23333.333333333332</v>
      </c>
      <c r="G150" s="36">
        <f t="shared" si="101"/>
        <v>2</v>
      </c>
      <c r="H150" s="36">
        <f t="shared" si="101"/>
        <v>1</v>
      </c>
      <c r="I150" s="36">
        <f t="shared" si="101"/>
        <v>4</v>
      </c>
    </row>
    <row r="151" spans="1:9" x14ac:dyDescent="0.2">
      <c r="A151" s="38" t="s">
        <v>35</v>
      </c>
      <c r="B151" s="36">
        <f t="shared" ref="B151:I151" si="102">B70</f>
        <v>74.626865671641795</v>
      </c>
      <c r="C151" s="36">
        <f t="shared" si="102"/>
        <v>15.625</v>
      </c>
      <c r="D151" s="113">
        <f t="shared" si="102"/>
        <v>19.899999999999999</v>
      </c>
      <c r="E151" s="36">
        <f t="shared" si="102"/>
        <v>51791.044776119401</v>
      </c>
      <c r="F151" s="36">
        <f t="shared" si="102"/>
        <v>10843.75</v>
      </c>
      <c r="G151" s="36">
        <f t="shared" si="102"/>
        <v>2</v>
      </c>
      <c r="H151" s="36">
        <f t="shared" si="102"/>
        <v>1</v>
      </c>
      <c r="I151" s="36">
        <f t="shared" si="102"/>
        <v>8</v>
      </c>
    </row>
    <row r="152" spans="1:9" x14ac:dyDescent="0.2">
      <c r="A152" s="38" t="s">
        <v>36</v>
      </c>
      <c r="B152" s="36">
        <f t="shared" ref="B152:I152" si="103">B71</f>
        <v>63.492063492063494</v>
      </c>
      <c r="C152" s="36">
        <f t="shared" si="103"/>
        <v>5.9701492537313436</v>
      </c>
      <c r="D152" s="113">
        <f t="shared" si="103"/>
        <v>19.899999999999999</v>
      </c>
      <c r="E152" s="36">
        <f t="shared" si="103"/>
        <v>96507.936507936509</v>
      </c>
      <c r="F152" s="36">
        <f t="shared" si="103"/>
        <v>9074.626865671642</v>
      </c>
      <c r="G152" s="36">
        <f t="shared" si="103"/>
        <v>2</v>
      </c>
      <c r="H152" s="36">
        <f t="shared" si="103"/>
        <v>1</v>
      </c>
      <c r="I152" s="36">
        <f t="shared" si="103"/>
        <v>6</v>
      </c>
    </row>
    <row r="153" spans="1:9" x14ac:dyDescent="0.2">
      <c r="A153" s="38" t="s">
        <v>37</v>
      </c>
      <c r="B153" s="36">
        <f t="shared" ref="B153:I153" si="104">B72</f>
        <v>134.61538461538461</v>
      </c>
      <c r="C153" s="36">
        <f t="shared" si="104"/>
        <v>6.7307692307692308</v>
      </c>
      <c r="D153" s="113">
        <f t="shared" si="104"/>
        <v>19.899999999999999</v>
      </c>
      <c r="E153" s="36">
        <f t="shared" si="104"/>
        <v>316153.84615384613</v>
      </c>
      <c r="F153" s="36">
        <f t="shared" si="104"/>
        <v>15807.692307692309</v>
      </c>
      <c r="G153" s="36">
        <f t="shared" si="104"/>
        <v>2</v>
      </c>
      <c r="H153" s="36">
        <f t="shared" si="104"/>
        <v>1</v>
      </c>
      <c r="I153" s="36">
        <f t="shared" si="104"/>
        <v>4</v>
      </c>
    </row>
    <row r="154" spans="1:9" x14ac:dyDescent="0.2">
      <c r="A154" s="38" t="s">
        <v>39</v>
      </c>
      <c r="B154" s="36">
        <f t="shared" ref="B154:I154" si="105">B73</f>
        <v>10.638297872340425</v>
      </c>
      <c r="C154" s="36">
        <f t="shared" si="105"/>
        <v>3.8860103626943006</v>
      </c>
      <c r="D154" s="113">
        <f t="shared" si="105"/>
        <v>19.899999999999999</v>
      </c>
      <c r="E154" s="36">
        <f t="shared" si="105"/>
        <v>76099.290780141848</v>
      </c>
      <c r="F154" s="36">
        <f t="shared" si="105"/>
        <v>27797.927461139898</v>
      </c>
      <c r="G154" s="36">
        <f t="shared" si="105"/>
        <v>2</v>
      </c>
      <c r="H154" s="36">
        <f t="shared" si="105"/>
        <v>1</v>
      </c>
      <c r="I154" s="36">
        <f t="shared" si="105"/>
        <v>2</v>
      </c>
    </row>
    <row r="155" spans="1:9" x14ac:dyDescent="0.2">
      <c r="A155" s="38" t="s">
        <v>40</v>
      </c>
      <c r="B155" s="36">
        <f t="shared" ref="B155:I155" si="106">B74</f>
        <v>4.8062015503875966</v>
      </c>
      <c r="C155" s="36">
        <f t="shared" si="106"/>
        <v>2.1869488536155202</v>
      </c>
      <c r="D155" s="113">
        <f t="shared" si="106"/>
        <v>19.899999999999999</v>
      </c>
      <c r="E155" s="36">
        <f t="shared" si="106"/>
        <v>15403.100775193798</v>
      </c>
      <c r="F155" s="36">
        <f t="shared" si="106"/>
        <v>7008.8183421516751</v>
      </c>
      <c r="G155" s="36">
        <f t="shared" si="106"/>
        <v>2</v>
      </c>
      <c r="H155" s="36">
        <f t="shared" si="106"/>
        <v>1</v>
      </c>
      <c r="I155" s="36">
        <f t="shared" si="106"/>
        <v>1</v>
      </c>
    </row>
    <row r="156" spans="1:9" x14ac:dyDescent="0.2">
      <c r="A156" s="38" t="s">
        <v>112</v>
      </c>
      <c r="B156" s="36">
        <f t="shared" ref="B156:I156" si="107">B75</f>
        <v>25</v>
      </c>
      <c r="C156" s="36">
        <f t="shared" si="107"/>
        <v>12.8</v>
      </c>
      <c r="D156" s="113">
        <f t="shared" si="107"/>
        <v>19.899999999999999</v>
      </c>
      <c r="E156" s="36">
        <f t="shared" si="107"/>
        <v>21875</v>
      </c>
      <c r="F156" s="36">
        <f t="shared" si="107"/>
        <v>11200</v>
      </c>
      <c r="G156" s="36">
        <f t="shared" si="107"/>
        <v>2</v>
      </c>
      <c r="H156" s="36">
        <f t="shared" si="107"/>
        <v>1</v>
      </c>
      <c r="I156" s="36">
        <f t="shared" si="107"/>
        <v>2</v>
      </c>
    </row>
    <row r="157" spans="1:9" ht="13.5" thickBot="1" x14ac:dyDescent="0.25">
      <c r="A157" s="39" t="s">
        <v>101</v>
      </c>
      <c r="B157" s="36">
        <f t="shared" ref="B157:I157" si="108">B76</f>
        <v>25</v>
      </c>
      <c r="C157" s="36">
        <f t="shared" si="108"/>
        <v>22.666666666666671</v>
      </c>
      <c r="D157" s="113">
        <f t="shared" si="108"/>
        <v>19.899999999999999</v>
      </c>
      <c r="E157" s="36">
        <f t="shared" si="108"/>
        <v>17426.470588235294</v>
      </c>
      <c r="F157" s="36">
        <f t="shared" si="108"/>
        <v>15800</v>
      </c>
      <c r="G157" s="36">
        <f t="shared" si="108"/>
        <v>2</v>
      </c>
      <c r="H157" s="36">
        <f t="shared" si="108"/>
        <v>1</v>
      </c>
      <c r="I157" s="36">
        <f t="shared" si="108"/>
        <v>2</v>
      </c>
    </row>
  </sheetData>
  <conditionalFormatting sqref="G90:I116">
    <cfRule type="colorScale" priority="1">
      <colorScale>
        <cfvo type="min"/>
        <cfvo type="max"/>
        <color rgb="FF92D050"/>
        <color rgb="FFFF0000"/>
      </colorScale>
    </cfRule>
    <cfRule type="colorScale" priority="2">
      <colorScale>
        <cfvo type="min"/>
        <cfvo type="max"/>
        <color rgb="FF00B050"/>
        <color rgb="FFFF0000"/>
      </colorScale>
    </cfRule>
    <cfRule type="colorScale" priority="41">
      <colorScale>
        <cfvo type="min"/>
        <cfvo type="max"/>
        <color rgb="FF92D050"/>
        <color rgb="FFFF0000"/>
      </colorScale>
    </cfRule>
  </conditionalFormatting>
  <conditionalFormatting sqref="B90:B116">
    <cfRule type="colorScale" priority="40">
      <colorScale>
        <cfvo type="min"/>
        <cfvo type="max"/>
        <color rgb="FF92D050"/>
        <color rgb="FFFF0000"/>
      </colorScale>
    </cfRule>
  </conditionalFormatting>
  <conditionalFormatting sqref="C90:C116">
    <cfRule type="colorScale" priority="39">
      <colorScale>
        <cfvo type="min"/>
        <cfvo type="max"/>
        <color rgb="FF92D050"/>
        <color rgb="FFFF0000"/>
      </colorScale>
    </cfRule>
  </conditionalFormatting>
  <conditionalFormatting sqref="D90:D116">
    <cfRule type="colorScale" priority="38">
      <colorScale>
        <cfvo type="min"/>
        <cfvo type="max"/>
        <color rgb="FF92D050"/>
        <color rgb="FFFF0000"/>
      </colorScale>
    </cfRule>
  </conditionalFormatting>
  <conditionalFormatting sqref="E90:E116">
    <cfRule type="colorScale" priority="37">
      <colorScale>
        <cfvo type="min"/>
        <cfvo type="max"/>
        <color rgb="FF92D050"/>
        <color rgb="FFFF0000"/>
      </colorScale>
    </cfRule>
  </conditionalFormatting>
  <conditionalFormatting sqref="F90:F116">
    <cfRule type="colorScale" priority="36">
      <colorScale>
        <cfvo type="min"/>
        <cfvo type="max"/>
        <color rgb="FF92D050"/>
        <color rgb="FFFF0000"/>
      </colorScale>
    </cfRule>
  </conditionalFormatting>
  <conditionalFormatting sqref="G131:I157">
    <cfRule type="colorScale" priority="29">
      <colorScale>
        <cfvo type="min"/>
        <cfvo type="percentile" val="50"/>
        <cfvo type="max"/>
        <color rgb="FF00B050"/>
        <color rgb="FFFFFF00"/>
        <color rgb="FFFF0000"/>
      </colorScale>
    </cfRule>
    <cfRule type="colorScale" priority="35">
      <colorScale>
        <cfvo type="min"/>
        <cfvo type="max"/>
        <color rgb="FFFFFF00"/>
        <color rgb="FFFF0000"/>
      </colorScale>
    </cfRule>
  </conditionalFormatting>
  <conditionalFormatting sqref="F131:F157">
    <cfRule type="colorScale" priority="13">
      <colorScale>
        <cfvo type="min"/>
        <cfvo type="max"/>
        <color rgb="FFFCFCFF"/>
        <color rgb="FFF8696B"/>
      </colorScale>
    </cfRule>
    <cfRule type="colorScale" priority="27">
      <colorScale>
        <cfvo type="min"/>
        <cfvo type="percentile" val="50"/>
        <cfvo type="max"/>
        <color rgb="FF00B050"/>
        <color rgb="FFFFFF00"/>
        <color rgb="FFFF0000"/>
      </colorScale>
    </cfRule>
  </conditionalFormatting>
  <conditionalFormatting sqref="E131:E157">
    <cfRule type="colorScale" priority="12">
      <colorScale>
        <cfvo type="min"/>
        <cfvo type="max"/>
        <color rgb="FFFCFCFF"/>
        <color rgb="FFF8696B"/>
      </colorScale>
    </cfRule>
    <cfRule type="colorScale" priority="26">
      <colorScale>
        <cfvo type="min"/>
        <cfvo type="percentile" val="50"/>
        <cfvo type="max"/>
        <color rgb="FF00B050"/>
        <color rgb="FFFFFF00"/>
        <color rgb="FFFF0000"/>
      </colorScale>
    </cfRule>
  </conditionalFormatting>
  <conditionalFormatting sqref="D131:D157">
    <cfRule type="colorScale" priority="11">
      <colorScale>
        <cfvo type="min"/>
        <cfvo type="max"/>
        <color rgb="FFFCFCFF"/>
        <color rgb="FFF8696B"/>
      </colorScale>
    </cfRule>
    <cfRule type="colorScale" priority="25">
      <colorScale>
        <cfvo type="min"/>
        <cfvo type="percentile" val="50"/>
        <cfvo type="max"/>
        <color rgb="FF00B050"/>
        <color rgb="FFFFFF00"/>
        <color rgb="FFFF0000"/>
      </colorScale>
    </cfRule>
  </conditionalFormatting>
  <conditionalFormatting sqref="C131:C157">
    <cfRule type="colorScale" priority="10">
      <colorScale>
        <cfvo type="min"/>
        <cfvo type="max"/>
        <color rgb="FFFCFCFF"/>
        <color rgb="FFF8696B"/>
      </colorScale>
    </cfRule>
    <cfRule type="colorScale" priority="24">
      <colorScale>
        <cfvo type="min"/>
        <cfvo type="percentile" val="50"/>
        <cfvo type="max"/>
        <color rgb="FF00B050"/>
        <color rgb="FFFFFF00"/>
        <color rgb="FFFF0000"/>
      </colorScale>
    </cfRule>
  </conditionalFormatting>
  <conditionalFormatting sqref="B131:B157">
    <cfRule type="colorScale" priority="9">
      <colorScale>
        <cfvo type="min"/>
        <cfvo type="max"/>
        <color rgb="FFFCFCFF"/>
        <color rgb="FFF8696B"/>
      </colorScale>
    </cfRule>
    <cfRule type="colorScale" priority="23">
      <colorScale>
        <cfvo type="min"/>
        <cfvo type="percentile" val="50"/>
        <cfvo type="max"/>
        <color rgb="FF00B050"/>
        <color rgb="FFFFFF00"/>
        <color rgb="FFFF0000"/>
      </colorScale>
    </cfRule>
  </conditionalFormatting>
  <conditionalFormatting sqref="G131:G157">
    <cfRule type="colorScale" priority="14">
      <colorScale>
        <cfvo type="min"/>
        <cfvo type="max"/>
        <color rgb="FFFCFCFF"/>
        <color rgb="FFF8696B"/>
      </colorScale>
    </cfRule>
    <cfRule type="colorScale" priority="28">
      <colorScale>
        <cfvo type="min"/>
        <cfvo type="percentile" val="50"/>
        <cfvo type="max"/>
        <color rgb="FF00B050"/>
        <color rgb="FFFFFF00"/>
        <color rgb="FFFF0000"/>
      </colorScale>
    </cfRule>
  </conditionalFormatting>
  <conditionalFormatting sqref="I90:I116">
    <cfRule type="colorScale" priority="18">
      <colorScale>
        <cfvo type="min"/>
        <cfvo type="max"/>
        <color rgb="FF92D050"/>
        <color rgb="FFFF0000"/>
      </colorScale>
    </cfRule>
  </conditionalFormatting>
  <conditionalFormatting sqref="G90:G116">
    <cfRule type="colorScale" priority="17">
      <colorScale>
        <cfvo type="min"/>
        <cfvo type="max"/>
        <color rgb="FF92D050"/>
        <color rgb="FFFF0000"/>
      </colorScale>
    </cfRule>
  </conditionalFormatting>
  <conditionalFormatting sqref="I131:I157">
    <cfRule type="colorScale" priority="16">
      <colorScale>
        <cfvo type="min"/>
        <cfvo type="max"/>
        <color rgb="FFFCFCFF"/>
        <color rgb="FFF8696B"/>
      </colorScale>
    </cfRule>
  </conditionalFormatting>
  <conditionalFormatting sqref="H131:H157">
    <cfRule type="colorScale" priority="15">
      <colorScale>
        <cfvo type="min"/>
        <cfvo type="max"/>
        <color rgb="FFFCFCFF"/>
        <color rgb="FFF8696B"/>
      </colorScale>
    </cfRule>
  </conditionalFormatting>
  <conditionalFormatting sqref="G50:I76">
    <cfRule type="colorScale" priority="6">
      <colorScale>
        <cfvo type="min"/>
        <cfvo type="percentile" val="50"/>
        <cfvo type="max"/>
        <color rgb="FF00B050"/>
        <color rgb="FFFFFF00"/>
        <color rgb="FFFF0000"/>
      </colorScale>
    </cfRule>
  </conditionalFormatting>
  <conditionalFormatting sqref="B50:C76">
    <cfRule type="colorScale" priority="5">
      <colorScale>
        <cfvo type="min"/>
        <cfvo type="percentile" val="50"/>
        <cfvo type="max"/>
        <color rgb="FF00B050"/>
        <color rgb="FFFFFF00"/>
        <color rgb="FFFF0000"/>
      </colorScale>
    </cfRule>
  </conditionalFormatting>
  <conditionalFormatting sqref="D50:D76">
    <cfRule type="colorScale" priority="4">
      <colorScale>
        <cfvo type="min"/>
        <cfvo type="percentile" val="50"/>
        <cfvo type="max"/>
        <color rgb="FF00B050"/>
        <color rgb="FFFFFF00"/>
        <color rgb="FFFF0000"/>
      </colorScale>
    </cfRule>
  </conditionalFormatting>
  <conditionalFormatting sqref="E50:F76">
    <cfRule type="colorScale" priority="3">
      <colorScale>
        <cfvo type="min"/>
        <cfvo type="percentile" val="50"/>
        <cfvo type="max"/>
        <color rgb="FF00B050"/>
        <color rgb="FFFFFF00"/>
        <color rgb="FFFF0000"/>
      </colorScale>
    </cfRule>
  </conditionalFormatting>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2"/>
  <sheetViews>
    <sheetView workbookViewId="0">
      <selection activeCell="B1" sqref="B1"/>
    </sheetView>
  </sheetViews>
  <sheetFormatPr defaultRowHeight="12.75" x14ac:dyDescent="0.2"/>
  <cols>
    <col min="2" max="2" width="17.5703125" customWidth="1"/>
  </cols>
  <sheetData>
    <row r="1" spans="2:4" x14ac:dyDescent="0.2">
      <c r="B1" s="62" t="s">
        <v>153</v>
      </c>
      <c r="D1" t="str">
        <f>Summary!K2</f>
        <v>Food Footprints Spreadsheet, Mark Bryant Budolfson</v>
      </c>
    </row>
    <row r="2" spans="2:4" x14ac:dyDescent="0.2">
      <c r="B2" s="55"/>
      <c r="D2" t="str">
        <f>Summary!K3</f>
        <v>Version 1.4</v>
      </c>
    </row>
    <row r="3" spans="2:4" x14ac:dyDescent="0.2">
      <c r="B3" s="55"/>
      <c r="D3" t="str">
        <f>Summary!K4</f>
        <v>Date: 7 March 2015</v>
      </c>
    </row>
    <row r="5" spans="2:4" x14ac:dyDescent="0.2">
      <c r="B5" s="4" t="s">
        <v>186</v>
      </c>
    </row>
    <row r="7" spans="2:4" x14ac:dyDescent="0.2">
      <c r="B7" s="4" t="s">
        <v>176</v>
      </c>
    </row>
    <row r="9" spans="2:4" x14ac:dyDescent="0.2">
      <c r="B9" s="4" t="s">
        <v>152</v>
      </c>
    </row>
    <row r="11" spans="2:4" x14ac:dyDescent="0.2">
      <c r="B11" s="4" t="s">
        <v>177</v>
      </c>
    </row>
    <row r="13" spans="2:4" x14ac:dyDescent="0.2">
      <c r="B13" s="4" t="s">
        <v>188</v>
      </c>
    </row>
    <row r="15" spans="2:4" x14ac:dyDescent="0.2">
      <c r="B15" s="4" t="s">
        <v>178</v>
      </c>
    </row>
    <row r="17" spans="2:52" x14ac:dyDescent="0.2">
      <c r="B17" s="4" t="s">
        <v>179</v>
      </c>
    </row>
    <row r="18" spans="2:52" x14ac:dyDescent="0.2">
      <c r="B18" s="4"/>
    </row>
    <row r="19" spans="2:52" x14ac:dyDescent="0.2">
      <c r="B19" s="4" t="s">
        <v>180</v>
      </c>
    </row>
    <row r="20" spans="2:52" x14ac:dyDescent="0.2">
      <c r="B20" s="4"/>
    </row>
    <row r="21" spans="2:52" x14ac:dyDescent="0.2">
      <c r="B21" s="4" t="s">
        <v>185</v>
      </c>
    </row>
    <row r="23" spans="2:52" x14ac:dyDescent="0.2">
      <c r="B23" s="4" t="s">
        <v>181</v>
      </c>
    </row>
    <row r="25" spans="2:52" x14ac:dyDescent="0.2">
      <c r="B25" s="4" t="s">
        <v>167</v>
      </c>
    </row>
    <row r="26" spans="2:52" x14ac:dyDescent="0.2">
      <c r="B26" s="2"/>
    </row>
    <row r="27" spans="2:52" x14ac:dyDescent="0.2">
      <c r="B27" s="91" t="s">
        <v>150</v>
      </c>
      <c r="D27" s="4" t="s">
        <v>173</v>
      </c>
    </row>
    <row r="28" spans="2:52" x14ac:dyDescent="0.2">
      <c r="B28" s="2"/>
    </row>
    <row r="29" spans="2:52" x14ac:dyDescent="0.2">
      <c r="B29" s="68" t="s">
        <v>171</v>
      </c>
      <c r="C29" s="69"/>
      <c r="D29" s="69"/>
      <c r="E29" s="69"/>
      <c r="F29" s="69"/>
      <c r="G29" s="69"/>
      <c r="H29" s="69"/>
      <c r="I29" s="69"/>
      <c r="J29" s="69"/>
      <c r="K29" s="69"/>
      <c r="L29" s="69"/>
      <c r="M29" s="69"/>
      <c r="N29" s="69"/>
      <c r="O29" s="69"/>
      <c r="P29" s="69"/>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2:52" x14ac:dyDescent="0.2">
      <c r="B30" s="76" t="s">
        <v>172</v>
      </c>
      <c r="C30" s="69"/>
      <c r="D30" s="69"/>
      <c r="E30" s="69"/>
      <c r="F30" s="69"/>
      <c r="G30" s="69"/>
      <c r="H30" s="69"/>
      <c r="I30" s="69"/>
      <c r="J30" s="69"/>
      <c r="K30" s="69"/>
      <c r="L30" s="69"/>
      <c r="M30" s="69"/>
      <c r="N30" s="69"/>
      <c r="O30" s="69"/>
      <c r="P30" s="69"/>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2:52" x14ac:dyDescent="0.2">
      <c r="B31" s="76" t="s">
        <v>175</v>
      </c>
      <c r="C31" s="69"/>
      <c r="D31" s="69"/>
      <c r="E31" s="69"/>
      <c r="F31" s="69"/>
      <c r="G31" s="69"/>
      <c r="H31" s="69"/>
      <c r="I31" s="69"/>
      <c r="J31" s="69"/>
      <c r="K31" s="69"/>
      <c r="L31" s="69"/>
      <c r="M31" s="69"/>
      <c r="N31" s="69"/>
      <c r="O31" s="69"/>
      <c r="P31" s="69"/>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2:52" x14ac:dyDescent="0.2">
      <c r="B32" s="69"/>
      <c r="C32" s="69"/>
      <c r="D32" s="69"/>
      <c r="E32" s="69"/>
      <c r="F32" s="69"/>
      <c r="G32" s="69"/>
      <c r="H32" s="69"/>
      <c r="I32" s="69"/>
      <c r="J32" s="69"/>
      <c r="K32" s="69"/>
      <c r="L32" s="69"/>
      <c r="M32" s="69"/>
      <c r="N32" s="69"/>
      <c r="O32" s="69"/>
      <c r="P32" s="69"/>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2:52" x14ac:dyDescent="0.2">
      <c r="B33" s="116" t="s">
        <v>168</v>
      </c>
      <c r="C33" s="69"/>
      <c r="D33" s="69"/>
      <c r="E33" s="69"/>
      <c r="F33" s="69"/>
      <c r="G33" s="69"/>
      <c r="H33" s="69"/>
      <c r="I33" s="69"/>
      <c r="J33" s="69"/>
      <c r="K33" s="69"/>
      <c r="L33" s="69"/>
      <c r="M33" s="69"/>
      <c r="N33" s="69"/>
      <c r="O33" s="69"/>
      <c r="P33" s="69"/>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2:52" x14ac:dyDescent="0.2">
      <c r="B34" s="82" t="s">
        <v>154</v>
      </c>
      <c r="C34" s="69"/>
      <c r="D34" s="69"/>
      <c r="E34" s="69"/>
      <c r="F34" s="69"/>
      <c r="G34" s="69"/>
      <c r="H34" s="69"/>
      <c r="I34" s="69"/>
      <c r="J34" s="69"/>
      <c r="K34" s="69"/>
      <c r="L34" s="69"/>
      <c r="M34" s="69"/>
      <c r="N34" s="69"/>
      <c r="O34" s="69"/>
      <c r="P34" s="69"/>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2:52" x14ac:dyDescent="0.2">
      <c r="B35" s="69"/>
      <c r="C35" s="69"/>
      <c r="D35" s="69"/>
      <c r="E35" s="69"/>
      <c r="F35" s="69"/>
      <c r="G35" s="69"/>
      <c r="H35" s="69"/>
      <c r="I35" s="69"/>
      <c r="J35" s="69"/>
      <c r="K35" s="69"/>
      <c r="L35" s="69"/>
      <c r="M35" s="69"/>
      <c r="N35" s="69"/>
      <c r="O35" s="69"/>
      <c r="P35" s="69"/>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2:52" x14ac:dyDescent="0.2">
      <c r="B36" s="116" t="s">
        <v>169</v>
      </c>
      <c r="C36" s="69"/>
      <c r="D36" s="69"/>
      <c r="E36" s="69"/>
      <c r="F36" s="69"/>
      <c r="G36" s="69"/>
      <c r="H36" s="69"/>
      <c r="I36" s="69"/>
      <c r="J36" s="69"/>
      <c r="K36" s="69"/>
      <c r="L36" s="69"/>
      <c r="M36" s="69"/>
      <c r="N36" s="69"/>
      <c r="O36" s="69"/>
      <c r="P36" s="69"/>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2:52" x14ac:dyDescent="0.2">
      <c r="B37" s="76" t="s">
        <v>156</v>
      </c>
      <c r="C37" s="69"/>
      <c r="D37" s="69"/>
      <c r="E37" s="69"/>
      <c r="F37" s="69"/>
      <c r="G37" s="69"/>
      <c r="H37" s="69"/>
      <c r="I37" s="69"/>
      <c r="J37" s="69"/>
      <c r="K37" s="69"/>
      <c r="L37" s="69"/>
      <c r="M37" s="69"/>
      <c r="N37" s="69"/>
      <c r="O37" s="69"/>
      <c r="P37" s="69"/>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2:52" x14ac:dyDescent="0.2">
      <c r="B38" s="87" t="s">
        <v>157</v>
      </c>
      <c r="C38" s="69"/>
      <c r="D38" s="69"/>
      <c r="E38" s="69"/>
      <c r="F38" s="69"/>
      <c r="G38" s="69"/>
      <c r="H38" s="69"/>
      <c r="I38" s="69"/>
      <c r="J38" s="69"/>
      <c r="K38" s="69"/>
      <c r="L38" s="69"/>
      <c r="M38" s="69"/>
      <c r="N38" s="69"/>
      <c r="O38" s="69"/>
      <c r="P38" s="69"/>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2:52" x14ac:dyDescent="0.2">
      <c r="B39" s="69"/>
      <c r="C39" s="69"/>
      <c r="D39" s="69"/>
      <c r="E39" s="69"/>
      <c r="F39" s="69"/>
      <c r="G39" s="69"/>
      <c r="H39" s="69"/>
      <c r="I39" s="69"/>
      <c r="J39" s="69"/>
      <c r="K39" s="69"/>
      <c r="L39" s="69"/>
      <c r="M39" s="69"/>
      <c r="N39" s="69"/>
      <c r="O39" s="69"/>
      <c r="P39" s="69"/>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row>
    <row r="40" spans="2:52" x14ac:dyDescent="0.2">
      <c r="B40" s="68" t="s">
        <v>170</v>
      </c>
      <c r="C40" s="69"/>
      <c r="D40" s="69"/>
      <c r="E40" s="69"/>
      <c r="F40" s="69"/>
      <c r="G40" s="69"/>
      <c r="H40" s="69"/>
      <c r="I40" s="69"/>
      <c r="J40" s="69"/>
      <c r="K40" s="69"/>
      <c r="L40" s="69"/>
      <c r="M40" s="69"/>
      <c r="N40" s="69"/>
      <c r="O40" s="69"/>
      <c r="P40" s="69"/>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2:52" x14ac:dyDescent="0.2">
      <c r="B41" s="76" t="s">
        <v>174</v>
      </c>
      <c r="C41" s="69"/>
      <c r="D41" s="69"/>
      <c r="E41" s="69"/>
      <c r="F41" s="69"/>
      <c r="G41" s="69"/>
      <c r="H41" s="69"/>
      <c r="I41" s="69"/>
      <c r="J41" s="69"/>
      <c r="K41" s="69"/>
      <c r="L41" s="69"/>
      <c r="M41" s="69"/>
      <c r="N41" s="69"/>
      <c r="O41" s="69"/>
      <c r="P41" s="69"/>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2:52" x14ac:dyDescent="0.2">
      <c r="B42" s="76" t="s">
        <v>155</v>
      </c>
      <c r="C42" s="69"/>
      <c r="D42" s="69"/>
      <c r="E42" s="69"/>
      <c r="F42" s="69"/>
      <c r="G42" s="69"/>
      <c r="H42" s="69"/>
      <c r="I42" s="69"/>
      <c r="J42" s="69"/>
      <c r="K42" s="69"/>
      <c r="L42" s="69"/>
      <c r="M42" s="69"/>
      <c r="N42" s="69"/>
      <c r="O42" s="69"/>
      <c r="P42" s="69"/>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BF74"/>
  <sheetViews>
    <sheetView topLeftCell="A41" workbookViewId="0">
      <selection activeCell="A77" sqref="A77"/>
    </sheetView>
  </sheetViews>
  <sheetFormatPr defaultRowHeight="12.75" x14ac:dyDescent="0.2"/>
  <cols>
    <col min="1" max="1" width="22.5703125" style="2" customWidth="1"/>
    <col min="2" max="2" width="10.28515625" style="11" customWidth="1"/>
    <col min="3" max="4" width="13.140625" style="11" customWidth="1"/>
    <col min="5" max="5" width="10.28515625" style="11" customWidth="1"/>
    <col min="6" max="8" width="11.140625" style="11" customWidth="1"/>
    <col min="9" max="9" width="9" style="2" customWidth="1"/>
    <col min="10" max="12" width="9.42578125" style="2" customWidth="1"/>
    <col min="13" max="13" width="8.7109375" style="5" customWidth="1"/>
    <col min="14" max="15" width="9.42578125" customWidth="1"/>
    <col min="16" max="16" width="11.5703125" customWidth="1"/>
    <col min="17" max="17" width="12.42578125" customWidth="1"/>
    <col min="18" max="18" width="11.7109375" customWidth="1"/>
    <col min="19" max="19" width="17.140625" customWidth="1"/>
    <col min="20" max="20" width="9.140625" customWidth="1"/>
    <col min="22" max="25" width="9.140625" style="7"/>
    <col min="26" max="26" width="11.85546875" style="7" customWidth="1"/>
    <col min="27" max="27" width="9.140625" style="7"/>
    <col min="28" max="29" width="9.140625" style="6"/>
    <col min="31" max="31" width="7.140625" customWidth="1"/>
    <col min="32" max="32" width="8.85546875" customWidth="1"/>
    <col min="33" max="33" width="8.7109375" customWidth="1"/>
    <col min="34" max="34" width="7.5703125" customWidth="1"/>
    <col min="35" max="35" width="8.140625" customWidth="1"/>
    <col min="36" max="36" width="7.42578125" customWidth="1"/>
    <col min="37" max="37" width="8.85546875" customWidth="1"/>
    <col min="38" max="39" width="7.85546875" customWidth="1"/>
    <col min="40" max="40" width="10.7109375" customWidth="1"/>
    <col min="41" max="41" width="6.85546875" customWidth="1"/>
    <col min="42" max="42" width="12.28515625" style="4" customWidth="1"/>
    <col min="43" max="43" width="11.28515625" style="8" customWidth="1"/>
    <col min="44" max="44" width="7.28515625" style="4" customWidth="1"/>
    <col min="45" max="45" width="9.7109375" style="4" customWidth="1"/>
    <col min="46" max="46" width="8.42578125" style="4" customWidth="1"/>
    <col min="47" max="47" width="9.140625" style="4"/>
    <col min="48" max="48" width="16.7109375" style="4" customWidth="1"/>
    <col min="49" max="49" width="9.140625" style="1"/>
    <col min="50" max="50" width="18.85546875" style="17" customWidth="1"/>
    <col min="51" max="53" width="9.140625" style="5"/>
  </cols>
  <sheetData>
    <row r="1" spans="1:58" s="54" customFormat="1" x14ac:dyDescent="0.2">
      <c r="A1" s="57"/>
      <c r="B1" s="59" t="s">
        <v>72</v>
      </c>
      <c r="C1" s="60"/>
      <c r="D1" s="73"/>
      <c r="E1" s="72" t="s">
        <v>151</v>
      </c>
      <c r="F1" s="73"/>
      <c r="G1" s="73"/>
      <c r="H1" s="73"/>
      <c r="I1" s="63"/>
      <c r="J1" s="54" t="s">
        <v>161</v>
      </c>
      <c r="M1" s="20"/>
      <c r="V1" s="74"/>
      <c r="W1" s="74"/>
      <c r="X1" s="74"/>
      <c r="Y1" s="74"/>
      <c r="Z1" s="74"/>
      <c r="AA1" s="74"/>
      <c r="AB1" s="63"/>
      <c r="AC1" s="63"/>
      <c r="AE1" s="55" t="s">
        <v>147</v>
      </c>
      <c r="AP1" s="62" t="s">
        <v>144</v>
      </c>
      <c r="AQ1" s="75"/>
      <c r="AR1" s="62"/>
      <c r="AS1" s="62"/>
      <c r="AT1" s="62"/>
      <c r="AU1" s="62"/>
      <c r="AV1" s="62"/>
      <c r="AW1" s="71"/>
      <c r="AX1" s="58" t="s">
        <v>187</v>
      </c>
      <c r="AY1" s="15"/>
      <c r="AZ1" s="15"/>
      <c r="BA1" s="15"/>
      <c r="BB1" s="61"/>
      <c r="BC1" s="61"/>
    </row>
    <row r="2" spans="1:58" x14ac:dyDescent="0.2">
      <c r="A2" s="10"/>
      <c r="B2" s="9"/>
      <c r="H2" s="6"/>
      <c r="J2"/>
      <c r="K2"/>
      <c r="L2" s="6"/>
      <c r="AP2" s="3"/>
      <c r="AX2" s="16"/>
    </row>
    <row r="3" spans="1:58" x14ac:dyDescent="0.2">
      <c r="B3" s="64" t="s">
        <v>126</v>
      </c>
      <c r="C3" s="64"/>
      <c r="D3" s="6"/>
      <c r="E3" s="64" t="s">
        <v>127</v>
      </c>
      <c r="F3" s="64"/>
      <c r="G3" s="6"/>
      <c r="H3" s="64" t="s">
        <v>128</v>
      </c>
      <c r="I3" s="65"/>
      <c r="J3"/>
      <c r="K3"/>
      <c r="L3" s="64" t="s">
        <v>129</v>
      </c>
      <c r="M3" s="66"/>
      <c r="N3" s="5"/>
      <c r="O3" s="5"/>
      <c r="P3" s="67" t="s">
        <v>130</v>
      </c>
      <c r="Q3" s="67"/>
      <c r="R3" s="8"/>
      <c r="S3" s="68" t="s">
        <v>145</v>
      </c>
      <c r="T3" s="55"/>
      <c r="U3" s="68" t="s">
        <v>142</v>
      </c>
      <c r="V3" s="68"/>
      <c r="X3" s="4"/>
      <c r="Y3" s="4"/>
      <c r="Z3" s="68" t="s">
        <v>184</v>
      </c>
      <c r="AA3" s="4"/>
      <c r="AB3" s="68" t="s">
        <v>146</v>
      </c>
      <c r="AC3" s="68"/>
      <c r="AE3" s="69" t="s">
        <v>61</v>
      </c>
      <c r="AF3" s="69"/>
      <c r="AH3" s="69" t="s">
        <v>60</v>
      </c>
      <c r="AI3" s="69"/>
      <c r="AK3" s="13" t="s">
        <v>131</v>
      </c>
      <c r="AL3" s="12"/>
      <c r="AM3" s="13"/>
      <c r="AN3" s="13"/>
      <c r="AO3" s="54" t="s">
        <v>148</v>
      </c>
      <c r="AP3" s="76" t="s">
        <v>132</v>
      </c>
      <c r="AQ3" s="67" t="s">
        <v>50</v>
      </c>
      <c r="AR3" s="68" t="s">
        <v>127</v>
      </c>
      <c r="AS3" s="68"/>
      <c r="AT3" s="68"/>
      <c r="AU3" s="68" t="s">
        <v>130</v>
      </c>
      <c r="AV3" s="68"/>
      <c r="AW3" s="71"/>
      <c r="AX3" s="117" t="s">
        <v>182</v>
      </c>
      <c r="AY3" s="66"/>
    </row>
    <row r="4" spans="1:58" x14ac:dyDescent="0.2">
      <c r="B4" s="6" t="s">
        <v>65</v>
      </c>
      <c r="C4" s="5"/>
      <c r="D4" s="5"/>
      <c r="E4" s="6" t="s">
        <v>66</v>
      </c>
      <c r="F4" s="5"/>
      <c r="G4" s="5"/>
      <c r="H4" s="6" t="s">
        <v>66</v>
      </c>
      <c r="J4" s="4"/>
      <c r="K4" s="4"/>
      <c r="L4" s="6" t="s">
        <v>66</v>
      </c>
      <c r="N4" s="6"/>
      <c r="O4" s="6"/>
      <c r="P4" s="6" t="s">
        <v>66</v>
      </c>
      <c r="Q4" s="6"/>
      <c r="R4" s="6"/>
      <c r="S4" s="4" t="s">
        <v>91</v>
      </c>
      <c r="T4" s="4"/>
      <c r="V4" s="4"/>
      <c r="W4" s="4"/>
      <c r="X4" s="4"/>
      <c r="Z4" s="67" t="s">
        <v>46</v>
      </c>
      <c r="AA4" s="4"/>
      <c r="AB4" s="4"/>
      <c r="AC4" s="4"/>
      <c r="AK4" s="13"/>
      <c r="AL4" s="12"/>
      <c r="AM4" s="13"/>
      <c r="AN4" s="13"/>
      <c r="AO4" s="55" t="s">
        <v>143</v>
      </c>
      <c r="AP4" s="3" t="s">
        <v>77</v>
      </c>
      <c r="AQ4" s="8" t="s">
        <v>69</v>
      </c>
      <c r="AR4" s="4" t="s">
        <v>46</v>
      </c>
      <c r="AS4" s="4" t="s">
        <v>30</v>
      </c>
      <c r="AT4" s="4" t="s">
        <v>31</v>
      </c>
    </row>
    <row r="5" spans="1:58" x14ac:dyDescent="0.2">
      <c r="B5" s="6"/>
      <c r="C5" s="5"/>
      <c r="D5" s="5"/>
      <c r="E5" s="6"/>
      <c r="F5" s="5"/>
      <c r="G5" s="5"/>
      <c r="H5" s="5"/>
      <c r="I5" s="6"/>
      <c r="J5" s="4"/>
      <c r="K5" s="4"/>
      <c r="L5" s="4"/>
      <c r="M5" s="6"/>
      <c r="N5" s="6"/>
      <c r="O5" s="6"/>
      <c r="P5" s="6"/>
      <c r="Q5" s="6"/>
      <c r="R5" s="6"/>
      <c r="T5" s="4"/>
      <c r="U5" s="4" t="s">
        <v>140</v>
      </c>
      <c r="V5" s="4" t="s">
        <v>183</v>
      </c>
      <c r="W5" s="4" t="s">
        <v>141</v>
      </c>
      <c r="X5" s="4" t="s">
        <v>183</v>
      </c>
      <c r="Y5" s="62" t="s">
        <v>163</v>
      </c>
      <c r="Z5" s="62"/>
      <c r="AA5" s="62"/>
      <c r="AB5" s="4"/>
      <c r="AC5" s="4"/>
      <c r="AO5" s="55" t="s">
        <v>143</v>
      </c>
      <c r="AP5" s="3"/>
      <c r="AY5" s="6"/>
    </row>
    <row r="6" spans="1:58" x14ac:dyDescent="0.2">
      <c r="B6" s="6" t="s">
        <v>55</v>
      </c>
      <c r="C6" s="6" t="s">
        <v>55</v>
      </c>
      <c r="D6" s="6"/>
      <c r="E6" s="6" t="s">
        <v>55</v>
      </c>
      <c r="F6" s="6" t="s">
        <v>63</v>
      </c>
      <c r="G6" s="6"/>
      <c r="H6" s="6" t="s">
        <v>55</v>
      </c>
      <c r="J6"/>
      <c r="K6"/>
      <c r="L6" s="6" t="s">
        <v>119</v>
      </c>
      <c r="N6" s="5"/>
      <c r="O6" s="5"/>
      <c r="P6" s="6" t="s">
        <v>56</v>
      </c>
      <c r="Q6" s="6" t="s">
        <v>56</v>
      </c>
      <c r="R6" s="6"/>
      <c r="S6" s="6"/>
      <c r="T6" s="6"/>
      <c r="U6" s="6"/>
      <c r="Y6" s="90" t="s">
        <v>162</v>
      </c>
      <c r="Z6" s="90"/>
      <c r="AA6" s="90"/>
      <c r="AB6" s="58"/>
      <c r="AC6" s="58"/>
      <c r="AK6" t="s">
        <v>16</v>
      </c>
      <c r="AL6" t="s">
        <v>17</v>
      </c>
      <c r="AM6" t="s">
        <v>17</v>
      </c>
      <c r="AO6" s="54"/>
      <c r="AP6" s="3" t="s">
        <v>55</v>
      </c>
      <c r="AQ6" s="8" t="s">
        <v>55</v>
      </c>
      <c r="AR6" s="4" t="s">
        <v>76</v>
      </c>
      <c r="AU6" s="4" t="s">
        <v>78</v>
      </c>
      <c r="AV6" s="4" t="s">
        <v>115</v>
      </c>
    </row>
    <row r="7" spans="1:58" x14ac:dyDescent="0.2">
      <c r="B7" s="6" t="s">
        <v>54</v>
      </c>
      <c r="C7" s="6" t="s">
        <v>64</v>
      </c>
      <c r="D7" s="6"/>
      <c r="E7" s="6" t="s">
        <v>54</v>
      </c>
      <c r="F7" s="6" t="s">
        <v>64</v>
      </c>
      <c r="G7" s="6"/>
      <c r="H7" s="6" t="s">
        <v>54</v>
      </c>
      <c r="J7"/>
      <c r="K7"/>
      <c r="L7" s="6" t="s">
        <v>54</v>
      </c>
      <c r="N7" s="5"/>
      <c r="O7" s="5"/>
      <c r="P7" s="6" t="s">
        <v>54</v>
      </c>
      <c r="Q7" s="6" t="s">
        <v>64</v>
      </c>
      <c r="R7" s="6"/>
      <c r="S7" s="8" t="s">
        <v>73</v>
      </c>
      <c r="T7" s="8"/>
      <c r="U7" s="6" t="s">
        <v>73</v>
      </c>
      <c r="V7" s="6"/>
      <c r="W7" s="6" t="s">
        <v>73</v>
      </c>
      <c r="X7" s="6"/>
      <c r="Y7" s="6"/>
      <c r="Z7" s="6"/>
      <c r="AA7" s="6"/>
      <c r="AB7" s="6" t="s">
        <v>73</v>
      </c>
      <c r="AE7" t="s">
        <v>57</v>
      </c>
      <c r="AF7" t="s">
        <v>58</v>
      </c>
      <c r="AG7" t="s">
        <v>59</v>
      </c>
      <c r="AH7" t="s">
        <v>57</v>
      </c>
      <c r="AI7" t="s">
        <v>58</v>
      </c>
      <c r="AJ7" t="s">
        <v>59</v>
      </c>
      <c r="AK7" t="s">
        <v>18</v>
      </c>
      <c r="AL7" t="s">
        <v>19</v>
      </c>
      <c r="AM7" t="s">
        <v>20</v>
      </c>
      <c r="AO7" s="54"/>
      <c r="AP7" s="3" t="s">
        <v>75</v>
      </c>
      <c r="AQ7" s="8" t="s">
        <v>75</v>
      </c>
      <c r="AR7" s="4" t="s">
        <v>74</v>
      </c>
      <c r="AU7" s="4" t="s">
        <v>79</v>
      </c>
      <c r="AV7" s="4" t="s">
        <v>116</v>
      </c>
    </row>
    <row r="8" spans="1:58" x14ac:dyDescent="0.2">
      <c r="B8" s="6"/>
      <c r="C8" s="6"/>
      <c r="D8" s="6"/>
      <c r="E8" s="6"/>
      <c r="F8" s="6"/>
      <c r="G8" s="6"/>
      <c r="H8" s="6" t="s">
        <v>82</v>
      </c>
      <c r="I8" s="6" t="s">
        <v>80</v>
      </c>
      <c r="J8" s="4" t="s">
        <v>81</v>
      </c>
      <c r="K8" s="4"/>
      <c r="L8" s="4" t="s">
        <v>82</v>
      </c>
      <c r="M8" s="6" t="s">
        <v>80</v>
      </c>
      <c r="N8" s="6" t="s">
        <v>81</v>
      </c>
      <c r="O8" s="6"/>
      <c r="P8" s="6"/>
      <c r="Q8" s="6"/>
      <c r="R8" s="6"/>
      <c r="S8" s="6"/>
      <c r="T8" s="6"/>
      <c r="V8"/>
      <c r="W8"/>
      <c r="X8"/>
      <c r="Y8"/>
      <c r="Z8"/>
      <c r="AA8"/>
      <c r="AB8" s="4"/>
      <c r="AC8" s="4"/>
      <c r="AO8" s="54"/>
      <c r="AP8" s="3"/>
      <c r="AU8" s="4" t="s">
        <v>149</v>
      </c>
      <c r="AY8" s="6" t="s">
        <v>104</v>
      </c>
      <c r="AZ8" s="6" t="s">
        <v>105</v>
      </c>
      <c r="BA8" s="6" t="s">
        <v>111</v>
      </c>
      <c r="BB8" s="4" t="s">
        <v>106</v>
      </c>
      <c r="BC8" s="4" t="s">
        <v>107</v>
      </c>
      <c r="BD8" s="4" t="s">
        <v>108</v>
      </c>
      <c r="BE8" s="4" t="s">
        <v>109</v>
      </c>
      <c r="BF8" s="4" t="s">
        <v>110</v>
      </c>
    </row>
    <row r="9" spans="1:58" x14ac:dyDescent="0.2">
      <c r="A9" s="2" t="s">
        <v>4</v>
      </c>
      <c r="B9" s="5">
        <f t="shared" ref="B9:B44" si="0">(AP9*1000)/AI9</f>
        <v>102.19530658591977</v>
      </c>
      <c r="C9" s="5">
        <f t="shared" ref="C9:C44" si="1">(AP9*10000)/AH9</f>
        <v>92.783505154639172</v>
      </c>
      <c r="D9" s="5"/>
      <c r="E9" s="5">
        <f t="shared" ref="E9:E17" si="2">(AR9*1000)/AF9</f>
        <v>88.0085653104925</v>
      </c>
      <c r="F9" s="5">
        <f t="shared" ref="F9:F17" si="3">(AR9*10000)/AE9</f>
        <v>70.256410256410263</v>
      </c>
      <c r="G9" s="5"/>
      <c r="H9" s="5">
        <f>((J9-I9)*0.3)+I9</f>
        <v>223.5</v>
      </c>
      <c r="I9" s="6">
        <v>45</v>
      </c>
      <c r="J9">
        <v>640</v>
      </c>
      <c r="K9"/>
      <c r="L9" s="5">
        <f>((N9-M9)*0.3)+M9</f>
        <v>655.9</v>
      </c>
      <c r="M9" s="5">
        <v>37</v>
      </c>
      <c r="N9" s="5">
        <v>2100</v>
      </c>
      <c r="O9" s="5"/>
      <c r="P9" s="5">
        <f>(AU9*1000)/AF9</f>
        <v>75968.950749464668</v>
      </c>
      <c r="Q9" s="5">
        <f>(AU9*10000)/AE9</f>
        <v>60645.299145299148</v>
      </c>
      <c r="R9" s="5"/>
      <c r="S9" s="4" t="s">
        <v>27</v>
      </c>
      <c r="T9" s="4"/>
      <c r="U9" s="4" t="s">
        <v>47</v>
      </c>
      <c r="V9" s="4">
        <f>IF(U9="","",IF(U9="Near Zero", 0, IF(U9="Very Low",1,IF(U9="Low",2,IF(U9="Moderate",4,IF(U9="High", 6,8))))))</f>
        <v>4</v>
      </c>
      <c r="W9" s="4" t="s">
        <v>27</v>
      </c>
      <c r="X9" s="4">
        <f>IF(W9="N/A",1,IF(W9="","",IF(W9="Near Zero", 0, IF(W9="Very Low",1,IF(W9="Low",2,IF(W9="Moderate",4,IF(W9="High", 6,8)))))))</f>
        <v>6</v>
      </c>
      <c r="Y9" s="4">
        <f>IF(OR(V9="",X9=""),"",AVERAGE(V9,X9))</f>
        <v>5</v>
      </c>
      <c r="Z9" s="4" t="str">
        <f>IF(Y9="","",IF(Y9&lt;1,"Near Zero",IF(Y9&gt;6,"Very High",IF(OR(Y9=1,AND(Y9&gt;1,Y9&lt;2)),"Very Low",IF(OR(Y9=2, AND(Y9&gt;2,Y9&lt;4)),"Low",IF(Y9=4,"Moderate","High"))))))</f>
        <v>High</v>
      </c>
      <c r="AA9" s="4"/>
      <c r="AB9" s="4" t="s">
        <v>47</v>
      </c>
      <c r="AC9" s="4"/>
      <c r="AD9" s="2" t="s">
        <v>4</v>
      </c>
      <c r="AE9" s="2">
        <v>2340</v>
      </c>
      <c r="AF9" s="2">
        <v>186.8</v>
      </c>
      <c r="AG9" s="2">
        <v>171.5</v>
      </c>
      <c r="AH9" s="2">
        <v>2910</v>
      </c>
      <c r="AI9" s="2">
        <v>264.2</v>
      </c>
      <c r="AJ9" s="2">
        <v>197.1</v>
      </c>
      <c r="AK9">
        <v>1513</v>
      </c>
      <c r="AL9">
        <v>138</v>
      </c>
      <c r="AM9">
        <v>101</v>
      </c>
      <c r="AO9" s="54"/>
      <c r="AP9" s="3">
        <v>27</v>
      </c>
      <c r="AQ9" s="8">
        <f t="shared" ref="AQ9:AQ48" si="4">IF(AP9="","",AP9/1.1)</f>
        <v>24.545454545454543</v>
      </c>
      <c r="AR9" s="4">
        <f>AS9+AT9</f>
        <v>16.440000000000001</v>
      </c>
      <c r="AS9" s="4">
        <v>16.23</v>
      </c>
      <c r="AT9" s="4">
        <v>0.21</v>
      </c>
      <c r="AU9" s="77">
        <f>12933+525+733</f>
        <v>14191</v>
      </c>
      <c r="AV9" s="4">
        <v>15415</v>
      </c>
      <c r="AX9" s="17" t="s">
        <v>4</v>
      </c>
      <c r="AY9" s="5">
        <f t="shared" ref="AY9:AY35" si="5">IF(B9=0,IF(E9=0,H9,E9),B9)</f>
        <v>102.19530658591977</v>
      </c>
      <c r="AZ9" s="5">
        <f>IF(C9=0,F9,C9)</f>
        <v>92.783505154639172</v>
      </c>
      <c r="BA9" s="5">
        <f t="shared" ref="BA9:BA54" si="6">IF(L9="","",L9)</f>
        <v>655.9</v>
      </c>
      <c r="BB9" s="5">
        <f>P9</f>
        <v>75968.950749464668</v>
      </c>
      <c r="BC9" s="5">
        <f>Q9</f>
        <v>60645.299145299148</v>
      </c>
      <c r="BD9" t="str">
        <f>S9</f>
        <v>High</v>
      </c>
      <c r="BE9" s="4" t="str">
        <f>Z9</f>
        <v>High</v>
      </c>
      <c r="BF9" t="str">
        <f t="shared" ref="BF9:BF38" si="7">AB9</f>
        <v>Moderate</v>
      </c>
    </row>
    <row r="10" spans="1:58" x14ac:dyDescent="0.2">
      <c r="A10" s="3" t="s">
        <v>62</v>
      </c>
      <c r="B10" s="5">
        <f t="shared" si="0"/>
        <v>159.8694942903752</v>
      </c>
      <c r="C10" s="5">
        <f t="shared" si="1"/>
        <v>133.33333333333334</v>
      </c>
      <c r="D10" s="5"/>
      <c r="E10" s="5">
        <f t="shared" si="2"/>
        <v>0</v>
      </c>
      <c r="F10" s="5">
        <f t="shared" si="3"/>
        <v>0</v>
      </c>
      <c r="G10" s="5"/>
      <c r="H10" s="5">
        <f t="shared" ref="H10:H48" si="8">((J10-I10)*0.3)+I10</f>
        <v>260.7</v>
      </c>
      <c r="I10" s="6">
        <v>51</v>
      </c>
      <c r="J10">
        <v>750</v>
      </c>
      <c r="K10"/>
      <c r="L10" s="5">
        <f t="shared" ref="L10:L48" si="9">((N10-M10)*0.3)+M10</f>
        <v>119.5</v>
      </c>
      <c r="M10" s="5">
        <v>100</v>
      </c>
      <c r="N10" s="5">
        <v>165</v>
      </c>
      <c r="O10" s="5"/>
      <c r="P10" s="5">
        <f>(AU10*1000)/AF10</f>
        <v>66984.5971563981</v>
      </c>
      <c r="Q10" s="5">
        <f>(AU10*10000)/AE10</f>
        <v>42348.314606741573</v>
      </c>
      <c r="R10" s="5"/>
      <c r="S10" s="4" t="s">
        <v>26</v>
      </c>
      <c r="T10" s="4"/>
      <c r="U10" s="4" t="s">
        <v>26</v>
      </c>
      <c r="V10" s="4">
        <f t="shared" ref="V10:V52" si="10">IF(U10="","",IF(U10="Near Zero", 0, IF(U10="Very Low",1,IF(U10="Low",2,IF(U10="Moderate",4,IF(U10="High", 6,8))))))</f>
        <v>2</v>
      </c>
      <c r="W10" s="4" t="s">
        <v>27</v>
      </c>
      <c r="X10" s="4">
        <f t="shared" ref="X10:X52" si="11">IF(W10="N/A",1,IF(W10="","",IF(W10="Near Zero", 0, IF(W10="Very Low",1,IF(W10="Low",2,IF(W10="Moderate",4,IF(W10="High", 6,8)))))))</f>
        <v>6</v>
      </c>
      <c r="Y10" s="4">
        <f t="shared" ref="Y10:Y52" si="12">IF(OR(V10="",X10=""),"",AVERAGE(V10,X10))</f>
        <v>4</v>
      </c>
      <c r="Z10" s="4" t="str">
        <f t="shared" ref="Z10:Z52" si="13">IF(Y10="","",IF(Y10&lt;1,"Near Zero",IF(Y10&gt;6,"Very High",IF(OR(Y10=1,AND(Y10&gt;1,Y10&lt;2)),"Very Low",IF(OR(Y10=2, AND(Y10&gt;2,Y10&lt;4)),"Low",IF(Y10=4,"Moderate","High"))))))</f>
        <v>Moderate</v>
      </c>
      <c r="AA10" s="4"/>
      <c r="AB10" s="4" t="s">
        <v>26</v>
      </c>
      <c r="AC10" s="4"/>
      <c r="AD10" s="3" t="s">
        <v>62</v>
      </c>
      <c r="AE10" s="3">
        <v>2670</v>
      </c>
      <c r="AF10" s="3">
        <v>168.8</v>
      </c>
      <c r="AG10" s="3">
        <v>215.9</v>
      </c>
      <c r="AH10" s="3">
        <v>2940</v>
      </c>
      <c r="AI10" s="3">
        <v>245.2</v>
      </c>
      <c r="AJ10" s="3">
        <v>209.4</v>
      </c>
      <c r="AK10">
        <v>2059</v>
      </c>
      <c r="AL10">
        <v>139</v>
      </c>
      <c r="AM10">
        <v>163</v>
      </c>
      <c r="AO10" s="54"/>
      <c r="AP10" s="3">
        <v>39.200000000000003</v>
      </c>
      <c r="AQ10" s="8">
        <f>IF(AP10="","",AP10/1.1)</f>
        <v>35.636363636363633</v>
      </c>
      <c r="AU10" s="77">
        <f>10948+315+44</f>
        <v>11307</v>
      </c>
      <c r="AV10" s="4">
        <v>8763</v>
      </c>
      <c r="AX10" s="16" t="s">
        <v>62</v>
      </c>
      <c r="AY10" s="5">
        <f t="shared" si="5"/>
        <v>159.8694942903752</v>
      </c>
      <c r="AZ10" s="5">
        <f>IF(C10=0,F10,C10)</f>
        <v>133.33333333333334</v>
      </c>
      <c r="BA10" s="5">
        <f t="shared" si="6"/>
        <v>119.5</v>
      </c>
      <c r="BB10" s="5">
        <f>P10</f>
        <v>66984.5971563981</v>
      </c>
      <c r="BC10" s="5">
        <f>Q10</f>
        <v>42348.314606741573</v>
      </c>
      <c r="BD10" t="str">
        <f>S10</f>
        <v>Low</v>
      </c>
      <c r="BE10" s="4" t="str">
        <f t="shared" ref="BE10:BE54" si="14">Z10</f>
        <v>Moderate</v>
      </c>
      <c r="BF10" t="str">
        <f t="shared" si="7"/>
        <v>Low</v>
      </c>
    </row>
    <row r="11" spans="1:58" x14ac:dyDescent="0.2">
      <c r="A11" s="2" t="s">
        <v>6</v>
      </c>
      <c r="B11" s="5">
        <f t="shared" si="0"/>
        <v>45.902883156297413</v>
      </c>
      <c r="C11" s="5">
        <f t="shared" si="1"/>
        <v>50.840336134453779</v>
      </c>
      <c r="D11" s="5"/>
      <c r="E11" s="5">
        <f t="shared" si="2"/>
        <v>31.613611416026348</v>
      </c>
      <c r="F11" s="5">
        <f t="shared" si="3"/>
        <v>27.298578199052134</v>
      </c>
      <c r="G11" s="5"/>
      <c r="H11" s="5">
        <f t="shared" si="8"/>
        <v>30.5</v>
      </c>
      <c r="I11" s="6">
        <v>20</v>
      </c>
      <c r="J11">
        <v>55</v>
      </c>
      <c r="K11"/>
      <c r="L11" s="5">
        <f t="shared" si="9"/>
        <v>50.5</v>
      </c>
      <c r="M11" s="5">
        <v>40</v>
      </c>
      <c r="N11" s="5">
        <v>75</v>
      </c>
      <c r="O11" s="5"/>
      <c r="P11" s="5">
        <f>(AU11*1000)/AF11</f>
        <v>30230.515916575194</v>
      </c>
      <c r="Q11" s="5">
        <f>(AU11*10000)/AE11</f>
        <v>26104.265402843601</v>
      </c>
      <c r="R11" s="5"/>
      <c r="S11" s="4" t="s">
        <v>27</v>
      </c>
      <c r="T11" s="4"/>
      <c r="U11" s="4" t="s">
        <v>27</v>
      </c>
      <c r="V11" s="4">
        <f t="shared" si="10"/>
        <v>6</v>
      </c>
      <c r="W11" s="4" t="s">
        <v>123</v>
      </c>
      <c r="X11" s="4">
        <f t="shared" si="11"/>
        <v>8</v>
      </c>
      <c r="Y11" s="4">
        <f t="shared" si="12"/>
        <v>7</v>
      </c>
      <c r="Z11" s="4" t="str">
        <f t="shared" si="13"/>
        <v>Very High</v>
      </c>
      <c r="AA11" s="4"/>
      <c r="AB11" s="4" t="s">
        <v>47</v>
      </c>
      <c r="AC11" s="4"/>
      <c r="AD11" s="2" t="s">
        <v>6</v>
      </c>
      <c r="AE11" s="2">
        <v>2110</v>
      </c>
      <c r="AF11" s="2">
        <v>182.2</v>
      </c>
      <c r="AG11" s="2">
        <v>147.9</v>
      </c>
      <c r="AH11" s="2">
        <v>2380</v>
      </c>
      <c r="AI11" s="2">
        <v>263.60000000000002</v>
      </c>
      <c r="AJ11" s="2">
        <v>138.9</v>
      </c>
      <c r="AK11">
        <v>2786</v>
      </c>
      <c r="AL11">
        <v>105</v>
      </c>
      <c r="AM11">
        <v>259</v>
      </c>
      <c r="AO11" s="54"/>
      <c r="AP11" s="3">
        <v>12.1</v>
      </c>
      <c r="AQ11" s="8">
        <f t="shared" si="4"/>
        <v>10.999999999999998</v>
      </c>
      <c r="AR11" s="4">
        <f>AS11+AT11</f>
        <v>5.76</v>
      </c>
      <c r="AS11" s="4">
        <v>5.55</v>
      </c>
      <c r="AT11" s="4">
        <v>0.21</v>
      </c>
      <c r="AU11" s="77">
        <f>4102+645+761</f>
        <v>5508</v>
      </c>
      <c r="AV11" s="4">
        <v>5988</v>
      </c>
      <c r="AX11" s="17" t="s">
        <v>6</v>
      </c>
      <c r="AY11" s="5">
        <f t="shared" si="5"/>
        <v>45.902883156297413</v>
      </c>
      <c r="AZ11" s="5">
        <f>IF(C11=0,F11,C11)</f>
        <v>50.840336134453779</v>
      </c>
      <c r="BA11" s="5">
        <f t="shared" si="6"/>
        <v>50.5</v>
      </c>
      <c r="BB11" s="5">
        <f>P11</f>
        <v>30230.515916575194</v>
      </c>
      <c r="BC11" s="5">
        <f>Q11</f>
        <v>26104.265402843601</v>
      </c>
      <c r="BD11" t="str">
        <f>S11</f>
        <v>High</v>
      </c>
      <c r="BE11" s="4" t="str">
        <f t="shared" si="14"/>
        <v>Very High</v>
      </c>
      <c r="BF11" t="str">
        <f t="shared" si="7"/>
        <v>Moderate</v>
      </c>
    </row>
    <row r="12" spans="1:58" x14ac:dyDescent="0.2">
      <c r="A12" s="2" t="s">
        <v>5</v>
      </c>
      <c r="B12" s="5">
        <f t="shared" si="0"/>
        <v>25.274725274725274</v>
      </c>
      <c r="C12" s="5">
        <f t="shared" si="1"/>
        <v>28.87029288702929</v>
      </c>
      <c r="D12" s="5"/>
      <c r="E12" s="5">
        <f t="shared" si="2"/>
        <v>21.182795698924732</v>
      </c>
      <c r="F12" s="5">
        <f t="shared" si="3"/>
        <v>18.325581395348838</v>
      </c>
      <c r="G12" s="5"/>
      <c r="H12" s="5">
        <f t="shared" si="8"/>
        <v>16</v>
      </c>
      <c r="I12" s="6">
        <v>10</v>
      </c>
      <c r="J12">
        <v>30</v>
      </c>
      <c r="K12"/>
      <c r="L12" s="5">
        <f t="shared" si="9"/>
        <v>28.1</v>
      </c>
      <c r="M12" s="5">
        <v>23</v>
      </c>
      <c r="N12" s="5">
        <v>40</v>
      </c>
      <c r="O12" s="5"/>
      <c r="P12" s="20">
        <f>(AU12*1000)/AF12</f>
        <v>11924.731182795698</v>
      </c>
      <c r="Q12" s="5">
        <f>(AU12*10000)/AE12</f>
        <v>10316.279069767443</v>
      </c>
      <c r="R12" s="5"/>
      <c r="S12" s="4" t="s">
        <v>27</v>
      </c>
      <c r="T12" s="4"/>
      <c r="U12" s="4" t="s">
        <v>27</v>
      </c>
      <c r="V12" s="4">
        <f t="shared" si="10"/>
        <v>6</v>
      </c>
      <c r="W12" s="4" t="s">
        <v>26</v>
      </c>
      <c r="X12" s="4">
        <f t="shared" si="11"/>
        <v>2</v>
      </c>
      <c r="Y12" s="4">
        <f t="shared" si="12"/>
        <v>4</v>
      </c>
      <c r="Z12" s="4" t="str">
        <f t="shared" si="13"/>
        <v>Moderate</v>
      </c>
      <c r="AA12" s="4"/>
      <c r="AB12" s="4" t="s">
        <v>47</v>
      </c>
      <c r="AC12" s="4"/>
      <c r="AD12" s="2" t="s">
        <v>5</v>
      </c>
      <c r="AE12" s="2">
        <v>2150</v>
      </c>
      <c r="AF12" s="2">
        <v>186</v>
      </c>
      <c r="AG12" s="2">
        <v>150.6</v>
      </c>
      <c r="AH12" s="2">
        <v>2390</v>
      </c>
      <c r="AI12" s="2">
        <v>273</v>
      </c>
      <c r="AJ12" s="2">
        <v>136</v>
      </c>
      <c r="AK12">
        <v>1440</v>
      </c>
      <c r="AL12">
        <v>127</v>
      </c>
      <c r="AM12">
        <v>100</v>
      </c>
      <c r="AO12" s="54"/>
      <c r="AP12" s="3">
        <v>6.9</v>
      </c>
      <c r="AQ12" s="8">
        <f t="shared" si="4"/>
        <v>6.2727272727272725</v>
      </c>
      <c r="AR12" s="4">
        <f>AS12+AT12</f>
        <v>3.94</v>
      </c>
      <c r="AS12" s="4">
        <v>3.73</v>
      </c>
      <c r="AT12" s="4">
        <v>0.21</v>
      </c>
      <c r="AU12" s="77">
        <f>1728+187+303</f>
        <v>2218</v>
      </c>
      <c r="AV12" s="4">
        <v>4325</v>
      </c>
      <c r="AX12" s="17" t="s">
        <v>5</v>
      </c>
      <c r="AY12" s="5">
        <f t="shared" si="5"/>
        <v>25.274725274725274</v>
      </c>
      <c r="AZ12" s="5">
        <f>IF(C12=0,F12,C12)</f>
        <v>28.87029288702929</v>
      </c>
      <c r="BA12" s="5">
        <f t="shared" si="6"/>
        <v>28.1</v>
      </c>
      <c r="BB12" s="5">
        <f>P12</f>
        <v>11924.731182795698</v>
      </c>
      <c r="BC12" s="5">
        <f>Q12</f>
        <v>10316.279069767443</v>
      </c>
      <c r="BD12" t="str">
        <f>S12</f>
        <v>High</v>
      </c>
      <c r="BE12" s="4" t="str">
        <f t="shared" si="14"/>
        <v>Moderate</v>
      </c>
      <c r="BF12" t="str">
        <f t="shared" si="7"/>
        <v>Moderate</v>
      </c>
    </row>
    <row r="13" spans="1:58" x14ac:dyDescent="0.2">
      <c r="A13" s="3" t="s">
        <v>25</v>
      </c>
      <c r="B13" s="5">
        <f>(AP13*1000)/AI13</f>
        <v>53.846153846153847</v>
      </c>
      <c r="C13" s="5">
        <f>(AP13*10000)/AH13</f>
        <v>57.766990291262132</v>
      </c>
      <c r="D13" s="5"/>
      <c r="E13" s="5">
        <f>(AR13*1000)/AF13</f>
        <v>24.852941176470587</v>
      </c>
      <c r="F13" s="5">
        <f>(AR13*10000)/AE13</f>
        <v>24.375</v>
      </c>
      <c r="G13" s="5"/>
      <c r="H13" s="5">
        <f>((J13-I13)*0.3)+I13</f>
        <v>7.3</v>
      </c>
      <c r="I13" s="6">
        <v>4</v>
      </c>
      <c r="J13">
        <v>15</v>
      </c>
      <c r="K13"/>
      <c r="L13" s="5">
        <f>((N13-M13)*0.3)+M13</f>
        <v>7.3</v>
      </c>
      <c r="M13" s="5">
        <v>4</v>
      </c>
      <c r="N13" s="5">
        <v>15</v>
      </c>
      <c r="O13" s="5"/>
      <c r="P13" s="5"/>
      <c r="Q13" s="5"/>
      <c r="R13" s="5"/>
      <c r="S13" s="4" t="s">
        <v>26</v>
      </c>
      <c r="T13" s="4"/>
      <c r="U13" s="4" t="s">
        <v>26</v>
      </c>
      <c r="V13" s="4">
        <f t="shared" si="10"/>
        <v>2</v>
      </c>
      <c r="W13" s="4" t="s">
        <v>48</v>
      </c>
      <c r="X13" s="4">
        <f t="shared" si="11"/>
        <v>1</v>
      </c>
      <c r="Y13" s="4">
        <f t="shared" si="12"/>
        <v>1.5</v>
      </c>
      <c r="Z13" s="4" t="str">
        <f t="shared" si="13"/>
        <v>Very Low</v>
      </c>
      <c r="AA13" s="4"/>
      <c r="AB13" s="4" t="s">
        <v>26</v>
      </c>
      <c r="AC13" s="4"/>
      <c r="AD13" s="3" t="s">
        <v>25</v>
      </c>
      <c r="AE13">
        <v>2080</v>
      </c>
      <c r="AF13">
        <v>204</v>
      </c>
      <c r="AG13">
        <v>134</v>
      </c>
      <c r="AH13" s="3">
        <v>2060</v>
      </c>
      <c r="AI13" s="3">
        <v>221</v>
      </c>
      <c r="AJ13" s="3">
        <v>123.5</v>
      </c>
      <c r="AK13" s="3"/>
      <c r="AL13" s="3"/>
      <c r="AM13" s="3"/>
      <c r="AN13" s="3"/>
      <c r="AO13" s="56"/>
      <c r="AP13" s="3">
        <v>11.9</v>
      </c>
      <c r="AQ13" s="8">
        <f>IF(AP13="","",AP13/1.1)</f>
        <v>10.818181818181818</v>
      </c>
      <c r="AR13" s="4">
        <f>AS13+AT13</f>
        <v>5.07</v>
      </c>
      <c r="AS13" s="4">
        <v>4.8600000000000003</v>
      </c>
      <c r="AT13" s="4">
        <v>0.21</v>
      </c>
      <c r="AX13" s="16" t="s">
        <v>25</v>
      </c>
      <c r="AY13" s="5">
        <f t="shared" si="5"/>
        <v>53.846153846153847</v>
      </c>
      <c r="AZ13" s="5">
        <f>IF(C13=0,F13,C13)</f>
        <v>57.766990291262132</v>
      </c>
      <c r="BA13" s="5">
        <f t="shared" si="6"/>
        <v>7.3</v>
      </c>
      <c r="BB13" s="5"/>
      <c r="BC13" s="5"/>
      <c r="BD13" t="str">
        <f t="shared" ref="BD13:BD39" si="15">S13</f>
        <v>Low</v>
      </c>
      <c r="BE13" s="4" t="str">
        <f t="shared" si="14"/>
        <v>Very Low</v>
      </c>
      <c r="BF13" t="str">
        <f t="shared" si="7"/>
        <v>Low</v>
      </c>
    </row>
    <row r="14" spans="1:58" x14ac:dyDescent="0.2">
      <c r="A14" s="3" t="s">
        <v>24</v>
      </c>
      <c r="B14"/>
      <c r="C14"/>
      <c r="D14"/>
      <c r="E14"/>
      <c r="F14"/>
      <c r="G14"/>
      <c r="H14" s="5">
        <f>((J14-I14)*0.3)+I14</f>
        <v>5.8</v>
      </c>
      <c r="I14" s="5">
        <v>4</v>
      </c>
      <c r="J14">
        <v>10</v>
      </c>
      <c r="K14"/>
      <c r="L14" s="5">
        <f>((N14-M14)*0.3)+M14</f>
        <v>1.5</v>
      </c>
      <c r="M14" s="5">
        <v>0</v>
      </c>
      <c r="N14" s="6">
        <v>5</v>
      </c>
      <c r="O14" s="6"/>
      <c r="P14" s="5"/>
      <c r="Q14" s="5"/>
      <c r="R14" s="5"/>
      <c r="S14" s="4" t="s">
        <v>48</v>
      </c>
      <c r="T14" s="4"/>
      <c r="U14" s="4" t="s">
        <v>48</v>
      </c>
      <c r="V14" s="4">
        <f t="shared" si="10"/>
        <v>1</v>
      </c>
      <c r="W14" s="4" t="s">
        <v>49</v>
      </c>
      <c r="X14" s="4">
        <f t="shared" si="11"/>
        <v>0</v>
      </c>
      <c r="Y14" s="4">
        <f t="shared" si="12"/>
        <v>0.5</v>
      </c>
      <c r="Z14" s="4" t="str">
        <f t="shared" si="13"/>
        <v>Near Zero</v>
      </c>
      <c r="AA14" s="4"/>
      <c r="AB14" s="4" t="s">
        <v>48</v>
      </c>
      <c r="AC14" s="4"/>
      <c r="AD14" s="3" t="s">
        <v>24</v>
      </c>
      <c r="AH14" s="3"/>
      <c r="AI14" s="3"/>
      <c r="AJ14" s="3"/>
      <c r="AK14" s="12">
        <v>860</v>
      </c>
      <c r="AL14" s="12">
        <v>119</v>
      </c>
      <c r="AM14" s="12">
        <v>22.4</v>
      </c>
      <c r="AN14" s="14" t="s">
        <v>71</v>
      </c>
      <c r="AO14" s="57"/>
      <c r="AP14" s="3"/>
      <c r="AQ14" s="8" t="str">
        <f>IF(AP14="","",AP14/1.1)</f>
        <v/>
      </c>
      <c r="AX14" s="16" t="s">
        <v>24</v>
      </c>
      <c r="AY14" s="5">
        <f t="shared" si="5"/>
        <v>5.8</v>
      </c>
      <c r="AZ14" s="5">
        <f>AY14*(0.001*AL14)*(1/AK14)*10000</f>
        <v>8.0255813953488371</v>
      </c>
      <c r="BA14" s="5">
        <f t="shared" si="6"/>
        <v>1.5</v>
      </c>
      <c r="BB14" s="5"/>
      <c r="BC14" s="5"/>
      <c r="BD14" t="str">
        <f t="shared" si="15"/>
        <v>Very Low</v>
      </c>
      <c r="BE14" s="4" t="str">
        <f t="shared" si="14"/>
        <v>Near Zero</v>
      </c>
      <c r="BF14" t="str">
        <f t="shared" si="7"/>
        <v>Very Low</v>
      </c>
    </row>
    <row r="15" spans="1:58" x14ac:dyDescent="0.2">
      <c r="A15" s="2" t="s">
        <v>7</v>
      </c>
      <c r="B15" s="5">
        <f t="shared" si="0"/>
        <v>38.155802861685217</v>
      </c>
      <c r="C15" s="5">
        <f t="shared" si="1"/>
        <v>30.967741935483872</v>
      </c>
      <c r="D15" s="5"/>
      <c r="E15" s="5">
        <f t="shared" si="2"/>
        <v>18.391719745222932</v>
      </c>
      <c r="F15" s="5">
        <f t="shared" si="3"/>
        <v>16.153846153846153</v>
      </c>
      <c r="G15" s="5"/>
      <c r="H15" s="5">
        <f t="shared" si="8"/>
        <v>23.1</v>
      </c>
      <c r="I15" s="5">
        <v>15</v>
      </c>
      <c r="J15">
        <v>42</v>
      </c>
      <c r="K15"/>
      <c r="L15" s="5">
        <f t="shared" si="9"/>
        <v>35.9</v>
      </c>
      <c r="M15" s="5">
        <v>29</v>
      </c>
      <c r="N15" s="5">
        <v>52</v>
      </c>
      <c r="O15" s="5"/>
      <c r="P15" s="5">
        <f t="shared" ref="P15:P38" si="16">(AU15*1000)/AF15</f>
        <v>12468.152866242039</v>
      </c>
      <c r="Q15" s="5">
        <f t="shared" ref="Q15:Q38" si="17">(AU15*10000)/AE15</f>
        <v>10951.048951048951</v>
      </c>
      <c r="R15" s="5"/>
      <c r="S15" s="4" t="s">
        <v>27</v>
      </c>
      <c r="T15" s="4"/>
      <c r="U15" s="4" t="s">
        <v>27</v>
      </c>
      <c r="V15" s="4">
        <f t="shared" si="10"/>
        <v>6</v>
      </c>
      <c r="W15" s="4" t="s">
        <v>26</v>
      </c>
      <c r="X15" s="4">
        <f t="shared" si="11"/>
        <v>2</v>
      </c>
      <c r="Y15" s="4">
        <f t="shared" si="12"/>
        <v>4</v>
      </c>
      <c r="Z15" s="4" t="str">
        <f t="shared" si="13"/>
        <v>Moderate</v>
      </c>
      <c r="AA15" s="4"/>
      <c r="AB15" s="4" t="s">
        <v>26</v>
      </c>
      <c r="AC15" s="4"/>
      <c r="AD15" s="2" t="s">
        <v>7</v>
      </c>
      <c r="AE15" s="2">
        <v>1430</v>
      </c>
      <c r="AF15" s="2">
        <v>125.6</v>
      </c>
      <c r="AG15" s="2">
        <v>95.1</v>
      </c>
      <c r="AH15" s="2">
        <v>1550</v>
      </c>
      <c r="AI15" s="2">
        <v>125.8</v>
      </c>
      <c r="AJ15" s="2">
        <v>106.1</v>
      </c>
      <c r="AK15">
        <v>1425</v>
      </c>
      <c r="AL15">
        <v>111</v>
      </c>
      <c r="AM15">
        <v>100</v>
      </c>
      <c r="AO15" s="54"/>
      <c r="AP15" s="3">
        <v>4.8</v>
      </c>
      <c r="AQ15" s="8">
        <f t="shared" si="4"/>
        <v>4.3636363636363633</v>
      </c>
      <c r="AR15" s="4">
        <f>AS15+AT15</f>
        <v>2.31</v>
      </c>
      <c r="AS15" s="4">
        <v>2.11</v>
      </c>
      <c r="AT15" s="4">
        <v>0.2</v>
      </c>
      <c r="AU15" s="77">
        <f>1206+130+230</f>
        <v>1566</v>
      </c>
      <c r="AV15" s="4">
        <v>3265</v>
      </c>
      <c r="AX15" s="17" t="s">
        <v>7</v>
      </c>
      <c r="AY15" s="5">
        <f t="shared" si="5"/>
        <v>38.155802861685217</v>
      </c>
      <c r="AZ15" s="5">
        <f t="shared" ref="AZ15:AZ35" si="18">IF(C15=0,F15,C15)</f>
        <v>30.967741935483872</v>
      </c>
      <c r="BA15" s="5">
        <f t="shared" si="6"/>
        <v>35.9</v>
      </c>
      <c r="BB15" s="5">
        <f t="shared" ref="BB15:BB38" si="19">P15</f>
        <v>12468.152866242039</v>
      </c>
      <c r="BC15" s="5">
        <f t="shared" ref="BC15:BC38" si="20">Q15</f>
        <v>10951.048951048951</v>
      </c>
      <c r="BD15" t="str">
        <f t="shared" si="15"/>
        <v>High</v>
      </c>
      <c r="BE15" s="4" t="str">
        <f t="shared" si="14"/>
        <v>Moderate</v>
      </c>
      <c r="BF15" t="str">
        <f t="shared" si="7"/>
        <v>Low</v>
      </c>
    </row>
    <row r="16" spans="1:58" ht="15" customHeight="1" x14ac:dyDescent="0.2">
      <c r="A16" s="2" t="s">
        <v>9</v>
      </c>
      <c r="B16" s="5">
        <f t="shared" si="0"/>
        <v>60.317460317460316</v>
      </c>
      <c r="C16" s="5">
        <f t="shared" si="1"/>
        <v>31.147540983606557</v>
      </c>
      <c r="D16" s="5"/>
      <c r="E16" s="5">
        <f t="shared" si="2"/>
        <v>31.428571428571427</v>
      </c>
      <c r="F16" s="5">
        <f t="shared" si="3"/>
        <v>16.229508196721312</v>
      </c>
      <c r="G16" s="5"/>
      <c r="H16" s="5">
        <f t="shared" si="8"/>
        <v>32.5</v>
      </c>
      <c r="I16" s="5">
        <v>28</v>
      </c>
      <c r="J16">
        <v>43</v>
      </c>
      <c r="K16"/>
      <c r="L16" s="5">
        <f t="shared" si="9"/>
        <v>34.4</v>
      </c>
      <c r="M16" s="5">
        <v>26</v>
      </c>
      <c r="N16" s="5">
        <v>54</v>
      </c>
      <c r="O16" s="5"/>
      <c r="P16" s="5">
        <f t="shared" si="16"/>
        <v>25269.841269841269</v>
      </c>
      <c r="Q16" s="5">
        <f t="shared" si="17"/>
        <v>13049.180327868853</v>
      </c>
      <c r="R16" s="5"/>
      <c r="S16" s="4" t="s">
        <v>27</v>
      </c>
      <c r="T16" s="4"/>
      <c r="U16" s="4" t="s">
        <v>27</v>
      </c>
      <c r="V16" s="4">
        <f t="shared" si="10"/>
        <v>6</v>
      </c>
      <c r="W16" s="4" t="s">
        <v>27</v>
      </c>
      <c r="X16" s="4">
        <f t="shared" si="11"/>
        <v>6</v>
      </c>
      <c r="Y16" s="4">
        <f t="shared" si="12"/>
        <v>6</v>
      </c>
      <c r="Z16" s="4" t="str">
        <f t="shared" si="13"/>
        <v>High</v>
      </c>
      <c r="AA16" s="4"/>
      <c r="AB16" s="4" t="s">
        <v>26</v>
      </c>
      <c r="AC16" s="4"/>
      <c r="AD16" s="3" t="s">
        <v>89</v>
      </c>
      <c r="AE16" s="2">
        <v>610</v>
      </c>
      <c r="AF16" s="2">
        <v>31.5</v>
      </c>
      <c r="AG16" s="2">
        <v>32.5</v>
      </c>
      <c r="AH16" s="2">
        <v>610</v>
      </c>
      <c r="AI16" s="2">
        <v>31.5</v>
      </c>
      <c r="AJ16" s="2">
        <v>32.5</v>
      </c>
      <c r="AK16">
        <v>560</v>
      </c>
      <c r="AL16">
        <v>33</v>
      </c>
      <c r="AM16">
        <v>31</v>
      </c>
      <c r="AO16" s="54"/>
      <c r="AP16" s="3">
        <v>1.9</v>
      </c>
      <c r="AQ16" s="8">
        <f t="shared" si="4"/>
        <v>1.7272727272727271</v>
      </c>
      <c r="AR16" s="4">
        <f>AS16+AT16</f>
        <v>0.99</v>
      </c>
      <c r="AS16" s="4">
        <v>0.79</v>
      </c>
      <c r="AT16" s="4">
        <v>0.2</v>
      </c>
      <c r="AU16" s="77">
        <f>647+60+89</f>
        <v>796</v>
      </c>
      <c r="AV16" s="4">
        <v>1020</v>
      </c>
      <c r="AX16" s="17" t="s">
        <v>9</v>
      </c>
      <c r="AY16" s="5">
        <f t="shared" si="5"/>
        <v>60.317460317460316</v>
      </c>
      <c r="AZ16" s="5">
        <f t="shared" si="18"/>
        <v>31.147540983606557</v>
      </c>
      <c r="BA16" s="5">
        <f t="shared" si="6"/>
        <v>34.4</v>
      </c>
      <c r="BB16" s="5">
        <f t="shared" si="19"/>
        <v>25269.841269841269</v>
      </c>
      <c r="BC16" s="5">
        <f t="shared" si="20"/>
        <v>13049.180327868853</v>
      </c>
      <c r="BD16" t="str">
        <f t="shared" si="15"/>
        <v>High</v>
      </c>
      <c r="BE16" s="4" t="str">
        <f t="shared" si="14"/>
        <v>High</v>
      </c>
      <c r="BF16" t="str">
        <f t="shared" si="7"/>
        <v>Low</v>
      </c>
    </row>
    <row r="17" spans="1:58" x14ac:dyDescent="0.2">
      <c r="A17" s="2" t="s">
        <v>10</v>
      </c>
      <c r="B17" s="5">
        <f t="shared" si="0"/>
        <v>54.216867469879517</v>
      </c>
      <c r="C17" s="5">
        <f t="shared" si="1"/>
        <v>33.498759305210918</v>
      </c>
      <c r="D17" s="5"/>
      <c r="E17" s="5">
        <f t="shared" si="2"/>
        <v>40.200803212851405</v>
      </c>
      <c r="F17" s="5">
        <f t="shared" si="3"/>
        <v>24.838709677419356</v>
      </c>
      <c r="G17" s="5"/>
      <c r="H17" s="5">
        <f t="shared" si="8"/>
        <v>40</v>
      </c>
      <c r="I17" s="5">
        <v>28</v>
      </c>
      <c r="J17">
        <v>68</v>
      </c>
      <c r="K17"/>
      <c r="L17" s="5">
        <f t="shared" si="9"/>
        <v>34.4</v>
      </c>
      <c r="M17" s="5">
        <v>26</v>
      </c>
      <c r="N17" s="5">
        <v>54</v>
      </c>
      <c r="O17" s="5"/>
      <c r="P17" s="5">
        <f t="shared" si="16"/>
        <v>15843.373493975903</v>
      </c>
      <c r="Q17" s="5">
        <f t="shared" si="17"/>
        <v>9789.0818858560797</v>
      </c>
      <c r="R17" s="5"/>
      <c r="S17" s="4" t="s">
        <v>27</v>
      </c>
      <c r="T17" s="4"/>
      <c r="U17" s="4" t="s">
        <v>27</v>
      </c>
      <c r="V17" s="4">
        <f t="shared" si="10"/>
        <v>6</v>
      </c>
      <c r="W17" s="4" t="s">
        <v>27</v>
      </c>
      <c r="X17" s="4">
        <f t="shared" si="11"/>
        <v>6</v>
      </c>
      <c r="Y17" s="4">
        <f t="shared" si="12"/>
        <v>6</v>
      </c>
      <c r="Z17" s="4" t="str">
        <f t="shared" si="13"/>
        <v>High</v>
      </c>
      <c r="AA17" s="4"/>
      <c r="AB17" s="4" t="s">
        <v>26</v>
      </c>
      <c r="AC17" s="4"/>
      <c r="AD17" s="3" t="s">
        <v>90</v>
      </c>
      <c r="AE17">
        <v>4030</v>
      </c>
      <c r="AF17">
        <v>249</v>
      </c>
      <c r="AG17">
        <v>331</v>
      </c>
      <c r="AH17" s="2">
        <v>4030</v>
      </c>
      <c r="AI17" s="2">
        <v>249</v>
      </c>
      <c r="AJ17" s="2">
        <v>331</v>
      </c>
      <c r="AK17">
        <v>4030</v>
      </c>
      <c r="AL17">
        <v>249</v>
      </c>
      <c r="AM17">
        <v>331</v>
      </c>
      <c r="AN17" s="10" t="s">
        <v>71</v>
      </c>
      <c r="AO17" s="10"/>
      <c r="AP17" s="3">
        <v>13.5</v>
      </c>
      <c r="AQ17" s="8">
        <f t="shared" si="4"/>
        <v>12.272727272727272</v>
      </c>
      <c r="AR17" s="4">
        <f>AS17+AT17</f>
        <v>10.01</v>
      </c>
      <c r="AS17" s="4">
        <v>9.81</v>
      </c>
      <c r="AT17" s="4">
        <v>0.2</v>
      </c>
      <c r="AU17" s="77">
        <f>3196+310+439</f>
        <v>3945</v>
      </c>
      <c r="AV17" s="4">
        <v>5060</v>
      </c>
      <c r="AX17" s="17" t="s">
        <v>10</v>
      </c>
      <c r="AY17" s="5">
        <f t="shared" si="5"/>
        <v>54.216867469879517</v>
      </c>
      <c r="AZ17" s="5">
        <f t="shared" si="18"/>
        <v>33.498759305210918</v>
      </c>
      <c r="BA17" s="5">
        <f t="shared" si="6"/>
        <v>34.4</v>
      </c>
      <c r="BB17" s="5">
        <f t="shared" si="19"/>
        <v>15843.373493975903</v>
      </c>
      <c r="BC17" s="5">
        <f t="shared" si="20"/>
        <v>9789.0818858560797</v>
      </c>
      <c r="BD17" t="str">
        <f t="shared" si="15"/>
        <v>High</v>
      </c>
      <c r="BE17" s="4" t="str">
        <f t="shared" si="14"/>
        <v>High</v>
      </c>
      <c r="BF17" t="str">
        <f t="shared" si="7"/>
        <v>Low</v>
      </c>
    </row>
    <row r="18" spans="1:58" ht="15" customHeight="1" x14ac:dyDescent="0.2">
      <c r="A18" s="2" t="s">
        <v>8</v>
      </c>
      <c r="B18" s="5"/>
      <c r="C18" s="5"/>
      <c r="D18" s="5"/>
      <c r="E18" s="5">
        <f>(AR18*1000)/AF18</f>
        <v>41.515151515151508</v>
      </c>
      <c r="F18" s="5">
        <f>(AR18*10000)/AE18</f>
        <v>2.7454909819639277</v>
      </c>
      <c r="G18" s="5"/>
      <c r="H18" s="5"/>
      <c r="I18" s="5"/>
      <c r="J18"/>
      <c r="K18"/>
      <c r="L18" s="6"/>
      <c r="N18" s="5"/>
      <c r="O18" s="5"/>
      <c r="P18" s="5">
        <f t="shared" si="16"/>
        <v>131090.90909090909</v>
      </c>
      <c r="Q18" s="5">
        <f t="shared" si="17"/>
        <v>8669.3386773547099</v>
      </c>
      <c r="R18" s="5"/>
      <c r="S18" s="4" t="s">
        <v>27</v>
      </c>
      <c r="T18" s="4"/>
      <c r="U18" s="4" t="s">
        <v>27</v>
      </c>
      <c r="V18" s="4">
        <f t="shared" si="10"/>
        <v>6</v>
      </c>
      <c r="W18" s="4" t="s">
        <v>27</v>
      </c>
      <c r="X18" s="4">
        <f t="shared" si="11"/>
        <v>6</v>
      </c>
      <c r="Y18" s="4">
        <f t="shared" si="12"/>
        <v>6</v>
      </c>
      <c r="Z18" s="4" t="str">
        <f t="shared" si="13"/>
        <v>High</v>
      </c>
      <c r="AA18" s="4"/>
      <c r="AB18" s="4" t="s">
        <v>26</v>
      </c>
      <c r="AC18" s="4"/>
      <c r="AD18" s="2" t="s">
        <v>8</v>
      </c>
      <c r="AE18" s="2">
        <v>4990</v>
      </c>
      <c r="AF18" s="2">
        <v>33</v>
      </c>
      <c r="AG18" s="2">
        <v>551</v>
      </c>
      <c r="AH18" s="2"/>
      <c r="AI18" s="2"/>
      <c r="AJ18" s="2"/>
      <c r="AK18">
        <v>7692</v>
      </c>
      <c r="AL18">
        <v>0</v>
      </c>
      <c r="AM18">
        <v>872</v>
      </c>
      <c r="AP18" s="3"/>
      <c r="AQ18" s="8" t="str">
        <f t="shared" ref="AQ18:AQ38" si="21">IF(AP18="","",AP18/1.1)</f>
        <v/>
      </c>
      <c r="AR18" s="4">
        <f>AS18+AT18</f>
        <v>1.3699999999999999</v>
      </c>
      <c r="AS18" s="4">
        <v>1.17</v>
      </c>
      <c r="AT18" s="4">
        <v>0.2</v>
      </c>
      <c r="AU18" s="77">
        <f>3519+324+483</f>
        <v>4326</v>
      </c>
      <c r="AV18" s="4">
        <v>5553</v>
      </c>
      <c r="AX18" s="17" t="s">
        <v>8</v>
      </c>
      <c r="AY18" s="5">
        <f t="shared" si="5"/>
        <v>41.515151515151508</v>
      </c>
      <c r="AZ18" s="5">
        <f t="shared" si="18"/>
        <v>2.7454909819639277</v>
      </c>
      <c r="BA18" s="5" t="str">
        <f t="shared" si="6"/>
        <v/>
      </c>
      <c r="BB18" s="5">
        <f t="shared" si="19"/>
        <v>131090.90909090909</v>
      </c>
      <c r="BC18" s="5">
        <f t="shared" si="20"/>
        <v>8669.3386773547099</v>
      </c>
      <c r="BD18" t="str">
        <f t="shared" si="15"/>
        <v>High</v>
      </c>
      <c r="BE18" s="4" t="str">
        <f t="shared" si="14"/>
        <v>High</v>
      </c>
      <c r="BF18" t="str">
        <f t="shared" si="7"/>
        <v>Low</v>
      </c>
    </row>
    <row r="19" spans="1:58" x14ac:dyDescent="0.2">
      <c r="A19" s="2" t="s">
        <v>53</v>
      </c>
      <c r="B19" s="5">
        <f t="shared" ref="B19:B24" si="22">(AP19*1000)/AI19</f>
        <v>9.9778270509977816</v>
      </c>
      <c r="C19" s="5">
        <f t="shared" ref="C19:C24" si="23">(AP19*10000)/AH19</f>
        <v>7.7586206896551726</v>
      </c>
      <c r="D19" s="5"/>
      <c r="E19" s="5"/>
      <c r="F19" s="5"/>
      <c r="G19" s="5"/>
      <c r="H19"/>
      <c r="I19"/>
      <c r="J19"/>
      <c r="K19"/>
      <c r="L19" s="5">
        <f>L41</f>
        <v>19.899999999999999</v>
      </c>
      <c r="M19" s="5">
        <f>M41</f>
        <v>10</v>
      </c>
      <c r="N19" s="5">
        <f>N41</f>
        <v>43</v>
      </c>
      <c r="O19" s="5"/>
      <c r="P19" s="5">
        <f t="shared" si="16"/>
        <v>22767.441860465115</v>
      </c>
      <c r="Q19" s="5">
        <f t="shared" si="17"/>
        <v>17125.36443148688</v>
      </c>
      <c r="R19" s="5"/>
      <c r="S19" s="7" t="s">
        <v>26</v>
      </c>
      <c r="T19" s="7"/>
      <c r="U19" s="5" t="s">
        <v>48</v>
      </c>
      <c r="V19" s="4">
        <f t="shared" si="10"/>
        <v>1</v>
      </c>
      <c r="W19" s="4" t="s">
        <v>85</v>
      </c>
      <c r="X19" s="4">
        <f t="shared" si="11"/>
        <v>1</v>
      </c>
      <c r="Y19" s="4">
        <f t="shared" si="12"/>
        <v>1</v>
      </c>
      <c r="Z19" s="4" t="str">
        <f t="shared" si="13"/>
        <v>Very Low</v>
      </c>
      <c r="AA19" s="4"/>
      <c r="AB19" s="4" t="s">
        <v>48</v>
      </c>
      <c r="AC19" s="4"/>
      <c r="AD19" s="3" t="s">
        <v>53</v>
      </c>
      <c r="AE19">
        <v>3430</v>
      </c>
      <c r="AF19">
        <v>258</v>
      </c>
      <c r="AG19">
        <v>10.6</v>
      </c>
      <c r="AH19" s="3">
        <v>1160</v>
      </c>
      <c r="AI19" s="3">
        <v>90.2</v>
      </c>
      <c r="AJ19" s="3">
        <v>3.8</v>
      </c>
      <c r="AK19" s="3"/>
      <c r="AL19" s="3"/>
      <c r="AM19" s="3"/>
      <c r="AN19" s="3"/>
      <c r="AO19" s="3"/>
      <c r="AP19" s="3">
        <v>0.9</v>
      </c>
      <c r="AQ19" s="8">
        <f t="shared" si="21"/>
        <v>0.81818181818181812</v>
      </c>
      <c r="AU19" s="4">
        <v>5874</v>
      </c>
      <c r="AX19" s="17" t="s">
        <v>53</v>
      </c>
      <c r="AY19" s="5">
        <f t="shared" si="5"/>
        <v>9.9778270509977816</v>
      </c>
      <c r="AZ19" s="5">
        <f t="shared" si="18"/>
        <v>7.7586206896551726</v>
      </c>
      <c r="BA19" s="5">
        <f t="shared" si="6"/>
        <v>19.899999999999999</v>
      </c>
      <c r="BB19" s="5">
        <f t="shared" si="19"/>
        <v>22767.441860465115</v>
      </c>
      <c r="BC19" s="5">
        <f t="shared" si="20"/>
        <v>17125.36443148688</v>
      </c>
      <c r="BD19" t="str">
        <f t="shared" si="15"/>
        <v>Low</v>
      </c>
      <c r="BE19" s="4" t="str">
        <f t="shared" si="14"/>
        <v>Very Low</v>
      </c>
      <c r="BF19" t="str">
        <f t="shared" si="7"/>
        <v>Very Low</v>
      </c>
    </row>
    <row r="20" spans="1:58" x14ac:dyDescent="0.2">
      <c r="A20" s="2" t="s">
        <v>52</v>
      </c>
      <c r="B20" s="5">
        <f t="shared" si="22"/>
        <v>22.197558268590456</v>
      </c>
      <c r="C20" s="5">
        <f t="shared" si="23"/>
        <v>13.986013986013987</v>
      </c>
      <c r="D20" s="5"/>
      <c r="E20" s="5"/>
      <c r="F20" s="5"/>
      <c r="G20" s="5"/>
      <c r="H20"/>
      <c r="I20"/>
      <c r="J20"/>
      <c r="K20"/>
      <c r="L20" s="5">
        <f>L41</f>
        <v>19.899999999999999</v>
      </c>
      <c r="M20" s="5">
        <f>M41</f>
        <v>10</v>
      </c>
      <c r="N20" s="5">
        <f>N41</f>
        <v>43</v>
      </c>
      <c r="O20" s="5"/>
      <c r="P20" s="5">
        <f t="shared" si="16"/>
        <v>23590.102707749767</v>
      </c>
      <c r="Q20" s="5">
        <f t="shared" si="17"/>
        <v>14561.959654178674</v>
      </c>
      <c r="R20" s="5"/>
      <c r="S20" s="7" t="s">
        <v>26</v>
      </c>
      <c r="T20" s="7"/>
      <c r="U20" s="5" t="s">
        <v>48</v>
      </c>
      <c r="V20" s="4">
        <f t="shared" si="10"/>
        <v>1</v>
      </c>
      <c r="W20" s="4" t="s">
        <v>85</v>
      </c>
      <c r="X20" s="4">
        <f t="shared" si="11"/>
        <v>1</v>
      </c>
      <c r="Y20" s="4">
        <f t="shared" si="12"/>
        <v>1</v>
      </c>
      <c r="Z20" s="4" t="str">
        <f t="shared" si="13"/>
        <v>Very Low</v>
      </c>
      <c r="AA20" s="4"/>
      <c r="AB20" s="4" t="s">
        <v>48</v>
      </c>
      <c r="AC20" s="4"/>
      <c r="AD20" s="3" t="s">
        <v>70</v>
      </c>
      <c r="AE20">
        <v>3470</v>
      </c>
      <c r="AF20">
        <v>214.2</v>
      </c>
      <c r="AG20">
        <v>12.3</v>
      </c>
      <c r="AH20" s="3">
        <v>1430</v>
      </c>
      <c r="AI20" s="3">
        <v>90.1</v>
      </c>
      <c r="AJ20" s="3">
        <v>6.5</v>
      </c>
      <c r="AK20" s="3"/>
      <c r="AL20" s="3"/>
      <c r="AM20" s="3"/>
      <c r="AN20" s="3"/>
      <c r="AO20" s="3"/>
      <c r="AP20" s="3">
        <v>2</v>
      </c>
      <c r="AQ20" s="8">
        <f t="shared" si="21"/>
        <v>1.8181818181818181</v>
      </c>
      <c r="AU20" s="4">
        <v>5053</v>
      </c>
      <c r="AX20" s="17" t="s">
        <v>52</v>
      </c>
      <c r="AY20" s="5">
        <f t="shared" si="5"/>
        <v>22.197558268590456</v>
      </c>
      <c r="AZ20" s="5">
        <f t="shared" si="18"/>
        <v>13.986013986013987</v>
      </c>
      <c r="BA20" s="5">
        <f t="shared" si="6"/>
        <v>19.899999999999999</v>
      </c>
      <c r="BB20" s="5">
        <f t="shared" si="19"/>
        <v>23590.102707749767</v>
      </c>
      <c r="BC20" s="5">
        <f t="shared" si="20"/>
        <v>14561.959654178674</v>
      </c>
      <c r="BD20" t="str">
        <f t="shared" si="15"/>
        <v>Low</v>
      </c>
      <c r="BE20" s="4" t="str">
        <f t="shared" si="14"/>
        <v>Very Low</v>
      </c>
      <c r="BF20" t="str">
        <f t="shared" si="7"/>
        <v>Very Low</v>
      </c>
    </row>
    <row r="21" spans="1:58" x14ac:dyDescent="0.2">
      <c r="A21" s="3" t="s">
        <v>38</v>
      </c>
      <c r="B21" s="5">
        <f t="shared" si="22"/>
        <v>116.37931034482759</v>
      </c>
      <c r="C21" s="5">
        <f t="shared" si="23"/>
        <v>24.107142857142858</v>
      </c>
      <c r="D21" s="5"/>
      <c r="E21" s="5">
        <f t="shared" ref="E21:E35" si="24">(AR21*1000)/AF21</f>
        <v>37.866666666666674</v>
      </c>
      <c r="F21" s="5">
        <f t="shared" ref="F21:F35" si="25">(AR21*10000)/AE21</f>
        <v>7.8453038674033158</v>
      </c>
      <c r="G21" s="5"/>
      <c r="H21"/>
      <c r="I21"/>
      <c r="J21"/>
      <c r="K21"/>
      <c r="L21"/>
      <c r="M21"/>
      <c r="N21" s="5"/>
      <c r="O21" s="5"/>
      <c r="P21" s="5">
        <f t="shared" si="16"/>
        <v>28960</v>
      </c>
      <c r="Q21" s="5">
        <f t="shared" si="17"/>
        <v>6000</v>
      </c>
      <c r="R21" s="5"/>
      <c r="S21" s="7" t="s">
        <v>26</v>
      </c>
      <c r="T21" s="7"/>
      <c r="U21" s="5" t="s">
        <v>48</v>
      </c>
      <c r="V21" s="4">
        <f t="shared" si="10"/>
        <v>1</v>
      </c>
      <c r="W21" s="4" t="s">
        <v>85</v>
      </c>
      <c r="X21" s="4">
        <f t="shared" si="11"/>
        <v>1</v>
      </c>
      <c r="Y21" s="4">
        <f t="shared" si="12"/>
        <v>1</v>
      </c>
      <c r="Z21" s="4" t="str">
        <f t="shared" si="13"/>
        <v>Very Low</v>
      </c>
      <c r="AA21" s="4"/>
      <c r="AB21" s="4" t="s">
        <v>48</v>
      </c>
      <c r="AC21" s="4"/>
      <c r="AD21" s="3" t="s">
        <v>38</v>
      </c>
      <c r="AE21">
        <v>3620</v>
      </c>
      <c r="AF21">
        <v>75</v>
      </c>
      <c r="AG21">
        <v>26.8</v>
      </c>
      <c r="AH21" s="3">
        <v>1120</v>
      </c>
      <c r="AI21" s="3">
        <v>23.2</v>
      </c>
      <c r="AJ21" s="3">
        <v>8.3000000000000007</v>
      </c>
      <c r="AK21" s="3"/>
      <c r="AL21" s="3"/>
      <c r="AM21" s="3"/>
      <c r="AN21" s="3"/>
      <c r="AO21" s="3"/>
      <c r="AP21" s="3">
        <v>2.7</v>
      </c>
      <c r="AQ21" s="8">
        <f t="shared" si="21"/>
        <v>2.4545454545454546</v>
      </c>
      <c r="AR21" s="4">
        <f>AS21+AT21</f>
        <v>2.8400000000000003</v>
      </c>
      <c r="AS21" s="4">
        <v>2.64</v>
      </c>
      <c r="AT21" s="4">
        <v>0.2</v>
      </c>
      <c r="AU21" s="4">
        <v>2172</v>
      </c>
      <c r="AX21" s="16" t="s">
        <v>38</v>
      </c>
      <c r="AY21" s="5">
        <f t="shared" si="5"/>
        <v>116.37931034482759</v>
      </c>
      <c r="AZ21" s="5">
        <f t="shared" si="18"/>
        <v>24.107142857142858</v>
      </c>
      <c r="BA21" s="5" t="str">
        <f t="shared" si="6"/>
        <v/>
      </c>
      <c r="BB21" s="5">
        <f t="shared" si="19"/>
        <v>28960</v>
      </c>
      <c r="BC21" s="5">
        <f t="shared" si="20"/>
        <v>6000</v>
      </c>
      <c r="BD21" t="str">
        <f t="shared" si="15"/>
        <v>Low</v>
      </c>
      <c r="BE21" s="4" t="str">
        <f t="shared" si="14"/>
        <v>Very Low</v>
      </c>
      <c r="BF21" t="str">
        <f t="shared" si="7"/>
        <v>Very Low</v>
      </c>
    </row>
    <row r="22" spans="1:58" x14ac:dyDescent="0.2">
      <c r="A22" s="3" t="s">
        <v>3</v>
      </c>
      <c r="B22" s="5">
        <f t="shared" si="22"/>
        <v>124.99999999999999</v>
      </c>
      <c r="C22" s="5">
        <f t="shared" si="23"/>
        <v>61.111111111111114</v>
      </c>
      <c r="D22" s="5"/>
      <c r="E22" s="5">
        <f t="shared" si="24"/>
        <v>43.18181818181818</v>
      </c>
      <c r="F22" s="5">
        <f t="shared" si="25"/>
        <v>21.111111111111111</v>
      </c>
      <c r="G22" s="5"/>
      <c r="H22"/>
      <c r="I22"/>
      <c r="J22"/>
      <c r="K22"/>
      <c r="L22"/>
      <c r="M22"/>
      <c r="N22" s="5"/>
      <c r="O22" s="5"/>
      <c r="P22" s="5">
        <f t="shared" si="16"/>
        <v>24318.181818181816</v>
      </c>
      <c r="Q22" s="5">
        <f t="shared" si="17"/>
        <v>11888.888888888889</v>
      </c>
      <c r="R22" s="5"/>
      <c r="S22" s="7" t="s">
        <v>26</v>
      </c>
      <c r="T22" s="7"/>
      <c r="U22" s="5" t="s">
        <v>48</v>
      </c>
      <c r="V22" s="4">
        <f t="shared" si="10"/>
        <v>1</v>
      </c>
      <c r="W22" s="4" t="s">
        <v>85</v>
      </c>
      <c r="X22" s="4">
        <f t="shared" si="11"/>
        <v>1</v>
      </c>
      <c r="Y22" s="4">
        <f t="shared" si="12"/>
        <v>1</v>
      </c>
      <c r="Z22" s="4" t="str">
        <f t="shared" si="13"/>
        <v>Very Low</v>
      </c>
      <c r="AA22" s="4"/>
      <c r="AB22" s="4" t="s">
        <v>47</v>
      </c>
      <c r="AC22" s="4"/>
      <c r="AD22" s="3" t="s">
        <v>87</v>
      </c>
      <c r="AE22">
        <v>180</v>
      </c>
      <c r="AF22">
        <v>8.8000000000000007</v>
      </c>
      <c r="AG22">
        <v>2</v>
      </c>
      <c r="AH22" s="3">
        <v>180</v>
      </c>
      <c r="AI22" s="3">
        <v>8.8000000000000007</v>
      </c>
      <c r="AJ22" s="3">
        <v>2</v>
      </c>
      <c r="AK22" s="3"/>
      <c r="AL22" s="3"/>
      <c r="AM22" s="3"/>
      <c r="AN22" s="3"/>
      <c r="AO22" s="3"/>
      <c r="AP22" s="3">
        <v>1.1000000000000001</v>
      </c>
      <c r="AQ22" s="8">
        <f t="shared" si="21"/>
        <v>1</v>
      </c>
      <c r="AR22" s="4">
        <f>AS22+AT22</f>
        <v>0.38</v>
      </c>
      <c r="AS22" s="4">
        <v>0.18</v>
      </c>
      <c r="AT22" s="4">
        <v>0.2</v>
      </c>
      <c r="AU22" s="4">
        <v>214</v>
      </c>
      <c r="AX22" s="16" t="s">
        <v>3</v>
      </c>
      <c r="AY22" s="5">
        <f t="shared" si="5"/>
        <v>124.99999999999999</v>
      </c>
      <c r="AZ22" s="5">
        <f t="shared" si="18"/>
        <v>61.111111111111114</v>
      </c>
      <c r="BA22" s="5" t="str">
        <f t="shared" si="6"/>
        <v/>
      </c>
      <c r="BB22" s="5">
        <f t="shared" si="19"/>
        <v>24318.181818181816</v>
      </c>
      <c r="BC22" s="5">
        <f t="shared" si="20"/>
        <v>11888.888888888889</v>
      </c>
      <c r="BD22" t="str">
        <f t="shared" si="15"/>
        <v>Low</v>
      </c>
      <c r="BE22" s="4" t="str">
        <f t="shared" si="14"/>
        <v>Very Low</v>
      </c>
      <c r="BF22" t="str">
        <f t="shared" si="7"/>
        <v>Moderate</v>
      </c>
    </row>
    <row r="23" spans="1:58" x14ac:dyDescent="0.2">
      <c r="A23" s="3" t="s">
        <v>2</v>
      </c>
      <c r="B23" s="5">
        <f t="shared" si="22"/>
        <v>155.08021390374333</v>
      </c>
      <c r="C23" s="5">
        <f t="shared" si="23"/>
        <v>33.333333333333336</v>
      </c>
      <c r="D23" s="5"/>
      <c r="E23" s="5">
        <f t="shared" si="24"/>
        <v>22.277227722772277</v>
      </c>
      <c r="F23" s="5">
        <f t="shared" si="25"/>
        <v>5.8441558441558445</v>
      </c>
      <c r="G23" s="5"/>
      <c r="H23"/>
      <c r="I23"/>
      <c r="J23"/>
      <c r="K23"/>
      <c r="L23"/>
      <c r="M23"/>
      <c r="N23" s="5"/>
      <c r="O23" s="5"/>
      <c r="P23" s="5">
        <f t="shared" si="16"/>
        <v>14207.920792079209</v>
      </c>
      <c r="Q23" s="5">
        <f t="shared" si="17"/>
        <v>3727.2727272727275</v>
      </c>
      <c r="R23" s="5"/>
      <c r="S23" s="7" t="s">
        <v>26</v>
      </c>
      <c r="T23" s="7"/>
      <c r="U23" s="5" t="s">
        <v>48</v>
      </c>
      <c r="V23" s="4">
        <f t="shared" si="10"/>
        <v>1</v>
      </c>
      <c r="W23" s="4" t="s">
        <v>85</v>
      </c>
      <c r="X23" s="4">
        <f t="shared" si="11"/>
        <v>1</v>
      </c>
      <c r="Y23" s="4">
        <f t="shared" si="12"/>
        <v>1</v>
      </c>
      <c r="Z23" s="4" t="str">
        <f t="shared" si="13"/>
        <v>Very Low</v>
      </c>
      <c r="AA23" s="4"/>
      <c r="AB23" s="4" t="s">
        <v>48</v>
      </c>
      <c r="AC23" s="4"/>
      <c r="AD23" s="3" t="s">
        <v>2</v>
      </c>
      <c r="AE23">
        <v>770</v>
      </c>
      <c r="AF23">
        <v>20.2</v>
      </c>
      <c r="AG23">
        <v>0.9</v>
      </c>
      <c r="AH23" s="3">
        <v>870</v>
      </c>
      <c r="AI23" s="3">
        <v>18.7</v>
      </c>
      <c r="AJ23" s="3">
        <v>1</v>
      </c>
      <c r="AK23" s="3"/>
      <c r="AL23" s="3"/>
      <c r="AM23" s="3"/>
      <c r="AN23" s="3"/>
      <c r="AO23" s="3"/>
      <c r="AP23" s="3">
        <v>2.9</v>
      </c>
      <c r="AQ23" s="8">
        <f t="shared" si="21"/>
        <v>2.6363636363636362</v>
      </c>
      <c r="AR23" s="4">
        <f>AS23+AT23</f>
        <v>0.45</v>
      </c>
      <c r="AS23" s="4">
        <v>0.25</v>
      </c>
      <c r="AT23" s="4">
        <v>0.2</v>
      </c>
      <c r="AU23" s="4">
        <v>287</v>
      </c>
      <c r="AX23" s="16" t="s">
        <v>2</v>
      </c>
      <c r="AY23" s="5">
        <f t="shared" si="5"/>
        <v>155.08021390374333</v>
      </c>
      <c r="AZ23" s="5">
        <f t="shared" si="18"/>
        <v>33.333333333333336</v>
      </c>
      <c r="BA23" s="5" t="str">
        <f t="shared" si="6"/>
        <v/>
      </c>
      <c r="BB23" s="5">
        <f t="shared" si="19"/>
        <v>14207.920792079209</v>
      </c>
      <c r="BC23" s="5">
        <f t="shared" si="20"/>
        <v>3727.2727272727275</v>
      </c>
      <c r="BD23" t="str">
        <f t="shared" si="15"/>
        <v>Low</v>
      </c>
      <c r="BE23" s="4" t="str">
        <f t="shared" si="14"/>
        <v>Very Low</v>
      </c>
      <c r="BF23" t="str">
        <f t="shared" si="7"/>
        <v>Very Low</v>
      </c>
    </row>
    <row r="24" spans="1:58" x14ac:dyDescent="0.2">
      <c r="A24" s="3" t="s">
        <v>42</v>
      </c>
      <c r="B24" s="5">
        <f t="shared" si="22"/>
        <v>70.921985815602838</v>
      </c>
      <c r="C24" s="5">
        <f t="shared" si="23"/>
        <v>58.823529411764703</v>
      </c>
      <c r="D24" s="5"/>
      <c r="E24" s="5">
        <f t="shared" si="24"/>
        <v>19.858156028368796</v>
      </c>
      <c r="F24" s="5">
        <f t="shared" si="25"/>
        <v>16.47058823529412</v>
      </c>
      <c r="G24" s="5"/>
      <c r="H24"/>
      <c r="I24"/>
      <c r="J24"/>
      <c r="K24"/>
      <c r="L24"/>
      <c r="M24"/>
      <c r="N24" s="5"/>
      <c r="O24" s="5"/>
      <c r="P24" s="5">
        <f t="shared" si="16"/>
        <v>10106.382978723404</v>
      </c>
      <c r="Q24" s="5">
        <f t="shared" si="17"/>
        <v>8382.3529411764703</v>
      </c>
      <c r="R24" s="5"/>
      <c r="S24" s="7" t="s">
        <v>26</v>
      </c>
      <c r="T24" s="7"/>
      <c r="U24" s="5" t="s">
        <v>48</v>
      </c>
      <c r="V24" s="4">
        <f t="shared" si="10"/>
        <v>1</v>
      </c>
      <c r="W24" s="4" t="s">
        <v>85</v>
      </c>
      <c r="X24" s="4">
        <f t="shared" si="11"/>
        <v>1</v>
      </c>
      <c r="Y24" s="4">
        <f t="shared" si="12"/>
        <v>1</v>
      </c>
      <c r="Z24" s="4" t="str">
        <f t="shared" si="13"/>
        <v>Very Low</v>
      </c>
      <c r="AA24" s="4"/>
      <c r="AB24" s="4" t="s">
        <v>47</v>
      </c>
      <c r="AC24" s="4"/>
      <c r="AD24" s="3" t="s">
        <v>88</v>
      </c>
      <c r="AE24">
        <v>340</v>
      </c>
      <c r="AF24">
        <v>28.2</v>
      </c>
      <c r="AG24">
        <v>3.7</v>
      </c>
      <c r="AH24" s="3">
        <v>340</v>
      </c>
      <c r="AI24" s="3">
        <v>28.2</v>
      </c>
      <c r="AJ24" s="3">
        <v>3.7</v>
      </c>
      <c r="AK24" s="3"/>
      <c r="AL24" s="3"/>
      <c r="AM24" s="3"/>
      <c r="AN24" s="3"/>
      <c r="AO24" s="3"/>
      <c r="AP24" s="3">
        <v>2</v>
      </c>
      <c r="AQ24" s="8">
        <f t="shared" si="21"/>
        <v>1.8181818181818181</v>
      </c>
      <c r="AR24" s="4">
        <f>AS24+AT24</f>
        <v>0.56000000000000005</v>
      </c>
      <c r="AS24" s="4">
        <v>0.36</v>
      </c>
      <c r="AT24" s="4">
        <v>0.2</v>
      </c>
      <c r="AU24" s="4">
        <v>285</v>
      </c>
      <c r="AX24" s="16" t="s">
        <v>42</v>
      </c>
      <c r="AY24" s="5">
        <f t="shared" si="5"/>
        <v>70.921985815602838</v>
      </c>
      <c r="AZ24" s="5">
        <f t="shared" si="18"/>
        <v>58.823529411764703</v>
      </c>
      <c r="BA24" s="5" t="str">
        <f t="shared" si="6"/>
        <v/>
      </c>
      <c r="BB24" s="5">
        <f t="shared" si="19"/>
        <v>10106.382978723404</v>
      </c>
      <c r="BC24" s="5">
        <f t="shared" si="20"/>
        <v>8382.3529411764703</v>
      </c>
      <c r="BD24" t="str">
        <f t="shared" si="15"/>
        <v>Low</v>
      </c>
      <c r="BE24" s="4" t="str">
        <f t="shared" si="14"/>
        <v>Very Low</v>
      </c>
      <c r="BF24" t="str">
        <f t="shared" si="7"/>
        <v>Moderate</v>
      </c>
    </row>
    <row r="25" spans="1:58" x14ac:dyDescent="0.2">
      <c r="A25" s="3" t="s">
        <v>43</v>
      </c>
      <c r="B25"/>
      <c r="C25"/>
      <c r="D25"/>
      <c r="E25" s="5">
        <f t="shared" si="24"/>
        <v>33.333333333333329</v>
      </c>
      <c r="F25" s="5">
        <f t="shared" si="25"/>
        <v>7.5609756097560972</v>
      </c>
      <c r="G25" s="5"/>
      <c r="H25"/>
      <c r="I25"/>
      <c r="J25"/>
      <c r="K25"/>
      <c r="L25"/>
      <c r="M25"/>
      <c r="P25" s="5">
        <f t="shared" si="16"/>
        <v>20967.741935483868</v>
      </c>
      <c r="Q25" s="5">
        <f t="shared" si="17"/>
        <v>4756.0975609756097</v>
      </c>
      <c r="R25" s="5"/>
      <c r="S25" s="7" t="s">
        <v>26</v>
      </c>
      <c r="T25" s="7"/>
      <c r="U25" s="5" t="s">
        <v>48</v>
      </c>
      <c r="V25" s="4">
        <f t="shared" si="10"/>
        <v>1</v>
      </c>
      <c r="W25" s="4" t="s">
        <v>85</v>
      </c>
      <c r="X25" s="4">
        <f t="shared" si="11"/>
        <v>1</v>
      </c>
      <c r="Y25" s="4">
        <f t="shared" si="12"/>
        <v>1</v>
      </c>
      <c r="Z25" s="4" t="str">
        <f t="shared" si="13"/>
        <v>Very Low</v>
      </c>
      <c r="AA25" s="4"/>
      <c r="AB25" s="4" t="s">
        <v>48</v>
      </c>
      <c r="AC25" s="4"/>
      <c r="AD25" s="3" t="s">
        <v>43</v>
      </c>
      <c r="AE25">
        <v>410</v>
      </c>
      <c r="AF25">
        <v>9.3000000000000007</v>
      </c>
      <c r="AG25">
        <v>2.4</v>
      </c>
      <c r="AH25" s="3"/>
      <c r="AI25" s="3"/>
      <c r="AJ25" s="3"/>
      <c r="AK25" s="3"/>
      <c r="AL25" s="3"/>
      <c r="AM25" s="3"/>
      <c r="AN25" s="3"/>
      <c r="AO25" s="3"/>
      <c r="AP25" s="3"/>
      <c r="AQ25" s="8" t="str">
        <f t="shared" si="21"/>
        <v/>
      </c>
      <c r="AR25" s="4">
        <f>AS25+AT25</f>
        <v>0.31</v>
      </c>
      <c r="AS25" s="4">
        <v>0.11</v>
      </c>
      <c r="AT25" s="4">
        <v>0.2</v>
      </c>
      <c r="AU25" s="4">
        <v>195</v>
      </c>
      <c r="AX25" s="16" t="s">
        <v>43</v>
      </c>
      <c r="AY25" s="5">
        <f t="shared" si="5"/>
        <v>33.333333333333329</v>
      </c>
      <c r="AZ25" s="5">
        <f t="shared" si="18"/>
        <v>7.5609756097560972</v>
      </c>
      <c r="BA25" s="5" t="str">
        <f t="shared" si="6"/>
        <v/>
      </c>
      <c r="BB25" s="5">
        <f t="shared" si="19"/>
        <v>20967.741935483868</v>
      </c>
      <c r="BC25" s="5">
        <f t="shared" si="20"/>
        <v>4756.0975609756097</v>
      </c>
      <c r="BD25" t="str">
        <f t="shared" si="15"/>
        <v>Low</v>
      </c>
      <c r="BE25" s="4" t="str">
        <f t="shared" si="14"/>
        <v>Very Low</v>
      </c>
      <c r="BF25" t="str">
        <f t="shared" si="7"/>
        <v>Very Low</v>
      </c>
    </row>
    <row r="26" spans="1:58" x14ac:dyDescent="0.2">
      <c r="A26" s="3" t="s">
        <v>32</v>
      </c>
      <c r="B26"/>
      <c r="C26"/>
      <c r="D26"/>
      <c r="E26" s="5">
        <f t="shared" si="24"/>
        <v>51.428571428571431</v>
      </c>
      <c r="F26" s="5">
        <f t="shared" si="25"/>
        <v>7.8260869565217392</v>
      </c>
      <c r="G26" s="5"/>
      <c r="H26" s="5"/>
      <c r="I26" s="5"/>
      <c r="J26"/>
      <c r="K26"/>
      <c r="L26" s="5"/>
      <c r="N26" s="5"/>
      <c r="O26" s="5"/>
      <c r="P26" s="5">
        <f t="shared" si="16"/>
        <v>80000</v>
      </c>
      <c r="Q26" s="5">
        <f t="shared" si="17"/>
        <v>12173.91304347826</v>
      </c>
      <c r="R26" s="5"/>
      <c r="S26" s="7" t="s">
        <v>26</v>
      </c>
      <c r="T26" s="7"/>
      <c r="U26" s="5" t="s">
        <v>48</v>
      </c>
      <c r="V26" s="4">
        <f t="shared" si="10"/>
        <v>1</v>
      </c>
      <c r="W26" s="4" t="s">
        <v>85</v>
      </c>
      <c r="X26" s="4">
        <f t="shared" si="11"/>
        <v>1</v>
      </c>
      <c r="Y26" s="4">
        <f t="shared" si="12"/>
        <v>1</v>
      </c>
      <c r="Z26" s="4" t="str">
        <f t="shared" si="13"/>
        <v>Very Low</v>
      </c>
      <c r="AA26" s="4"/>
      <c r="AB26" s="4" t="s">
        <v>47</v>
      </c>
      <c r="AC26" s="4"/>
      <c r="AD26" s="3" t="s">
        <v>32</v>
      </c>
      <c r="AE26">
        <v>460</v>
      </c>
      <c r="AF26">
        <v>7</v>
      </c>
      <c r="AG26">
        <v>2.1</v>
      </c>
      <c r="AH26" s="3"/>
      <c r="AI26" s="3"/>
      <c r="AJ26" s="3"/>
      <c r="AK26" s="3"/>
      <c r="AL26" s="3"/>
      <c r="AM26" s="3"/>
      <c r="AN26" s="3"/>
      <c r="AO26" s="3"/>
      <c r="AP26" s="3"/>
      <c r="AQ26" s="8" t="str">
        <f t="shared" si="21"/>
        <v/>
      </c>
      <c r="AR26" s="4">
        <f t="shared" ref="AR26:AR33" si="26">AS26+AT26</f>
        <v>0.36</v>
      </c>
      <c r="AS26" s="4">
        <v>0.16</v>
      </c>
      <c r="AT26" s="4">
        <v>0.2</v>
      </c>
      <c r="AU26" s="4">
        <v>560</v>
      </c>
      <c r="AX26" s="16" t="s">
        <v>32</v>
      </c>
      <c r="AY26" s="5">
        <f t="shared" si="5"/>
        <v>51.428571428571431</v>
      </c>
      <c r="AZ26" s="5">
        <f t="shared" si="18"/>
        <v>7.8260869565217392</v>
      </c>
      <c r="BA26" s="5" t="str">
        <f t="shared" si="6"/>
        <v/>
      </c>
      <c r="BB26" s="5">
        <f t="shared" si="19"/>
        <v>80000</v>
      </c>
      <c r="BC26" s="5">
        <f t="shared" si="20"/>
        <v>12173.91304347826</v>
      </c>
      <c r="BD26" t="str">
        <f t="shared" si="15"/>
        <v>Low</v>
      </c>
      <c r="BE26" s="4" t="str">
        <f t="shared" si="14"/>
        <v>Very Low</v>
      </c>
      <c r="BF26" t="str">
        <f t="shared" si="7"/>
        <v>Moderate</v>
      </c>
    </row>
    <row r="27" spans="1:58" x14ac:dyDescent="0.2">
      <c r="A27" s="3" t="s">
        <v>33</v>
      </c>
      <c r="B27"/>
      <c r="C27"/>
      <c r="D27"/>
      <c r="E27" s="5">
        <f t="shared" si="24"/>
        <v>44.954128440366972</v>
      </c>
      <c r="F27" s="5">
        <f t="shared" si="25"/>
        <v>5.5056179775280896</v>
      </c>
      <c r="G27" s="5"/>
      <c r="H27" s="5"/>
      <c r="N27" s="5"/>
      <c r="O27" s="5"/>
      <c r="P27" s="5">
        <f t="shared" si="16"/>
        <v>72477.064220183485</v>
      </c>
      <c r="Q27" s="5">
        <f t="shared" si="17"/>
        <v>8876.4044943820227</v>
      </c>
      <c r="R27" s="5"/>
      <c r="S27" s="7" t="s">
        <v>26</v>
      </c>
      <c r="T27" s="7"/>
      <c r="U27" s="5" t="s">
        <v>48</v>
      </c>
      <c r="V27" s="4">
        <f t="shared" si="10"/>
        <v>1</v>
      </c>
      <c r="W27" s="4" t="s">
        <v>85</v>
      </c>
      <c r="X27" s="4">
        <f t="shared" si="11"/>
        <v>1</v>
      </c>
      <c r="Y27" s="4">
        <f t="shared" si="12"/>
        <v>1</v>
      </c>
      <c r="Z27" s="4" t="str">
        <f t="shared" si="13"/>
        <v>Very Low</v>
      </c>
      <c r="AA27" s="4"/>
      <c r="AB27" s="6" t="s">
        <v>27</v>
      </c>
      <c r="AD27" s="3" t="s">
        <v>33</v>
      </c>
      <c r="AE27">
        <v>890</v>
      </c>
      <c r="AF27">
        <v>10.9</v>
      </c>
      <c r="AG27">
        <v>3.3</v>
      </c>
      <c r="AH27" s="3"/>
      <c r="AI27" s="3"/>
      <c r="AJ27" s="3"/>
      <c r="AK27" s="3"/>
      <c r="AL27" s="3"/>
      <c r="AM27" s="3"/>
      <c r="AN27" s="3"/>
      <c r="AO27" s="3"/>
      <c r="AP27" s="3"/>
      <c r="AQ27" s="8" t="str">
        <f t="shared" si="21"/>
        <v/>
      </c>
      <c r="AR27" s="4">
        <f t="shared" si="26"/>
        <v>0.49</v>
      </c>
      <c r="AS27" s="4">
        <v>0.27</v>
      </c>
      <c r="AT27" s="4">
        <v>0.22</v>
      </c>
      <c r="AU27" s="4">
        <v>790</v>
      </c>
      <c r="AX27" s="16" t="s">
        <v>33</v>
      </c>
      <c r="AY27" s="5">
        <f t="shared" si="5"/>
        <v>44.954128440366972</v>
      </c>
      <c r="AZ27" s="5">
        <f t="shared" si="18"/>
        <v>5.5056179775280896</v>
      </c>
      <c r="BA27" s="5" t="str">
        <f t="shared" si="6"/>
        <v/>
      </c>
      <c r="BB27" s="5">
        <f t="shared" si="19"/>
        <v>72477.064220183485</v>
      </c>
      <c r="BC27" s="5">
        <f t="shared" si="20"/>
        <v>8876.4044943820227</v>
      </c>
      <c r="BD27" t="str">
        <f t="shared" si="15"/>
        <v>Low</v>
      </c>
      <c r="BE27" s="4" t="str">
        <f t="shared" si="14"/>
        <v>Very Low</v>
      </c>
      <c r="BF27" t="str">
        <f t="shared" si="7"/>
        <v>High</v>
      </c>
    </row>
    <row r="28" spans="1:58" x14ac:dyDescent="0.2">
      <c r="A28" s="3" t="s">
        <v>34</v>
      </c>
      <c r="B28"/>
      <c r="C28"/>
      <c r="D28"/>
      <c r="E28" s="5">
        <f t="shared" si="24"/>
        <v>45.054945054945065</v>
      </c>
      <c r="F28" s="5">
        <f t="shared" si="25"/>
        <v>10.512820512820513</v>
      </c>
      <c r="G28" s="5"/>
      <c r="H28" s="5"/>
      <c r="P28" s="5">
        <f t="shared" si="16"/>
        <v>100000</v>
      </c>
      <c r="Q28" s="5">
        <f t="shared" si="17"/>
        <v>23333.333333333332</v>
      </c>
      <c r="R28" s="5"/>
      <c r="S28" s="7" t="s">
        <v>26</v>
      </c>
      <c r="T28" s="7"/>
      <c r="U28" s="5" t="s">
        <v>48</v>
      </c>
      <c r="V28" s="4">
        <f t="shared" si="10"/>
        <v>1</v>
      </c>
      <c r="W28" s="4" t="s">
        <v>85</v>
      </c>
      <c r="X28" s="4">
        <f t="shared" si="11"/>
        <v>1</v>
      </c>
      <c r="Y28" s="4">
        <f t="shared" si="12"/>
        <v>1</v>
      </c>
      <c r="Z28" s="4" t="str">
        <f t="shared" si="13"/>
        <v>Very Low</v>
      </c>
      <c r="AA28" s="4"/>
      <c r="AB28" s="6" t="s">
        <v>47</v>
      </c>
      <c r="AD28" s="3" t="s">
        <v>34</v>
      </c>
      <c r="AE28">
        <v>390</v>
      </c>
      <c r="AF28">
        <v>9.1</v>
      </c>
      <c r="AG28">
        <v>2.5</v>
      </c>
      <c r="AH28" s="3"/>
      <c r="AI28" s="3"/>
      <c r="AJ28" s="3"/>
      <c r="AK28" s="3"/>
      <c r="AL28" s="3"/>
      <c r="AM28" s="3"/>
      <c r="AN28" s="3"/>
      <c r="AO28" s="3"/>
      <c r="AP28" s="3"/>
      <c r="AQ28" s="8" t="str">
        <f t="shared" si="21"/>
        <v/>
      </c>
      <c r="AR28" s="4">
        <f t="shared" si="26"/>
        <v>0.41000000000000003</v>
      </c>
      <c r="AS28" s="4">
        <v>0.21</v>
      </c>
      <c r="AT28" s="4">
        <v>0.2</v>
      </c>
      <c r="AU28" s="4">
        <v>910</v>
      </c>
      <c r="AX28" s="16" t="s">
        <v>34</v>
      </c>
      <c r="AY28" s="5">
        <f t="shared" si="5"/>
        <v>45.054945054945065</v>
      </c>
      <c r="AZ28" s="5">
        <f t="shared" si="18"/>
        <v>10.512820512820513</v>
      </c>
      <c r="BA28" s="5" t="str">
        <f t="shared" si="6"/>
        <v/>
      </c>
      <c r="BB28" s="5">
        <f t="shared" si="19"/>
        <v>100000</v>
      </c>
      <c r="BC28" s="5">
        <f t="shared" si="20"/>
        <v>23333.333333333332</v>
      </c>
      <c r="BD28" t="str">
        <f t="shared" si="15"/>
        <v>Low</v>
      </c>
      <c r="BE28" s="4" t="str">
        <f t="shared" si="14"/>
        <v>Very Low</v>
      </c>
      <c r="BF28" t="str">
        <f t="shared" si="7"/>
        <v>Moderate</v>
      </c>
    </row>
    <row r="29" spans="1:58" x14ac:dyDescent="0.2">
      <c r="A29" s="3" t="s">
        <v>35</v>
      </c>
      <c r="B29"/>
      <c r="C29"/>
      <c r="D29"/>
      <c r="E29" s="5">
        <f t="shared" si="24"/>
        <v>74.626865671641795</v>
      </c>
      <c r="F29" s="5">
        <f t="shared" si="25"/>
        <v>15.625</v>
      </c>
      <c r="G29" s="5"/>
      <c r="H29" s="5"/>
      <c r="P29" s="5">
        <f t="shared" si="16"/>
        <v>51791.044776119401</v>
      </c>
      <c r="Q29" s="5">
        <f t="shared" si="17"/>
        <v>10843.75</v>
      </c>
      <c r="R29" s="5"/>
      <c r="S29" s="7" t="s">
        <v>26</v>
      </c>
      <c r="T29" s="7"/>
      <c r="U29" s="5" t="s">
        <v>48</v>
      </c>
      <c r="V29" s="4">
        <f t="shared" si="10"/>
        <v>1</v>
      </c>
      <c r="W29" s="4" t="s">
        <v>85</v>
      </c>
      <c r="X29" s="4">
        <f t="shared" si="11"/>
        <v>1</v>
      </c>
      <c r="Y29" s="4">
        <f t="shared" si="12"/>
        <v>1</v>
      </c>
      <c r="Z29" s="4" t="str">
        <f t="shared" si="13"/>
        <v>Very Low</v>
      </c>
      <c r="AA29" s="4"/>
      <c r="AB29" s="6" t="s">
        <v>123</v>
      </c>
      <c r="AD29" s="3" t="s">
        <v>35</v>
      </c>
      <c r="AE29">
        <v>320</v>
      </c>
      <c r="AF29">
        <v>6.7</v>
      </c>
      <c r="AG29">
        <v>3</v>
      </c>
      <c r="AH29" s="3"/>
      <c r="AI29" s="3"/>
      <c r="AJ29" s="3"/>
      <c r="AK29" s="3"/>
      <c r="AL29" s="3"/>
      <c r="AM29" s="3"/>
      <c r="AN29" s="3"/>
      <c r="AO29" s="3"/>
      <c r="AP29" s="3"/>
      <c r="AQ29" s="8" t="str">
        <f t="shared" si="21"/>
        <v/>
      </c>
      <c r="AR29" s="4">
        <f t="shared" si="26"/>
        <v>0.5</v>
      </c>
      <c r="AS29" s="4">
        <v>0.3</v>
      </c>
      <c r="AT29" s="4">
        <v>0.2</v>
      </c>
      <c r="AU29" s="4">
        <v>347</v>
      </c>
      <c r="AX29" s="16" t="s">
        <v>35</v>
      </c>
      <c r="AY29" s="5">
        <f t="shared" si="5"/>
        <v>74.626865671641795</v>
      </c>
      <c r="AZ29" s="5">
        <f t="shared" si="18"/>
        <v>15.625</v>
      </c>
      <c r="BA29" s="5" t="str">
        <f t="shared" si="6"/>
        <v/>
      </c>
      <c r="BB29" s="5">
        <f t="shared" si="19"/>
        <v>51791.044776119401</v>
      </c>
      <c r="BC29" s="5">
        <f t="shared" si="20"/>
        <v>10843.75</v>
      </c>
      <c r="BD29" t="str">
        <f t="shared" si="15"/>
        <v>Low</v>
      </c>
      <c r="BE29" s="4" t="str">
        <f t="shared" si="14"/>
        <v>Very Low</v>
      </c>
      <c r="BF29" t="str">
        <f t="shared" si="7"/>
        <v>Very High</v>
      </c>
    </row>
    <row r="30" spans="1:58" x14ac:dyDescent="0.2">
      <c r="A30" s="3" t="s">
        <v>36</v>
      </c>
      <c r="B30"/>
      <c r="C30"/>
      <c r="D30"/>
      <c r="E30" s="5">
        <f t="shared" si="24"/>
        <v>63.492063492063494</v>
      </c>
      <c r="F30" s="5">
        <f t="shared" si="25"/>
        <v>5.9701492537313436</v>
      </c>
      <c r="G30" s="5"/>
      <c r="H30" s="5"/>
      <c r="P30" s="5">
        <f t="shared" si="16"/>
        <v>96507.936507936509</v>
      </c>
      <c r="Q30" s="5">
        <f t="shared" si="17"/>
        <v>9074.626865671642</v>
      </c>
      <c r="R30" s="5"/>
      <c r="S30" s="7" t="s">
        <v>26</v>
      </c>
      <c r="T30" s="7"/>
      <c r="U30" s="5" t="s">
        <v>48</v>
      </c>
      <c r="V30" s="4">
        <f t="shared" si="10"/>
        <v>1</v>
      </c>
      <c r="W30" s="4" t="s">
        <v>85</v>
      </c>
      <c r="X30" s="4">
        <f t="shared" si="11"/>
        <v>1</v>
      </c>
      <c r="Y30" s="4">
        <f t="shared" si="12"/>
        <v>1</v>
      </c>
      <c r="Z30" s="4" t="str">
        <f t="shared" si="13"/>
        <v>Very Low</v>
      </c>
      <c r="AA30" s="4"/>
      <c r="AB30" s="4" t="s">
        <v>27</v>
      </c>
      <c r="AC30" s="4"/>
      <c r="AD30" s="3" t="s">
        <v>36</v>
      </c>
      <c r="AE30">
        <v>670</v>
      </c>
      <c r="AF30">
        <v>6.3</v>
      </c>
      <c r="AG30">
        <v>3.5</v>
      </c>
      <c r="AH30" s="3"/>
      <c r="AI30" s="3"/>
      <c r="AJ30" s="3"/>
      <c r="AK30" s="3"/>
      <c r="AL30" s="3"/>
      <c r="AM30" s="3"/>
      <c r="AN30" s="3"/>
      <c r="AO30" s="3"/>
      <c r="AP30" s="3"/>
      <c r="AQ30" s="8" t="str">
        <f t="shared" si="21"/>
        <v/>
      </c>
      <c r="AR30" s="4">
        <f t="shared" si="26"/>
        <v>0.4</v>
      </c>
      <c r="AS30" s="4">
        <v>0.2</v>
      </c>
      <c r="AT30" s="4">
        <v>0.2</v>
      </c>
      <c r="AU30" s="4">
        <v>608</v>
      </c>
      <c r="AX30" s="16" t="s">
        <v>36</v>
      </c>
      <c r="AY30" s="5">
        <f t="shared" si="5"/>
        <v>63.492063492063494</v>
      </c>
      <c r="AZ30" s="5">
        <f t="shared" si="18"/>
        <v>5.9701492537313436</v>
      </c>
      <c r="BA30" s="5" t="str">
        <f t="shared" si="6"/>
        <v/>
      </c>
      <c r="BB30" s="5">
        <f t="shared" si="19"/>
        <v>96507.936507936509</v>
      </c>
      <c r="BC30" s="5">
        <f t="shared" si="20"/>
        <v>9074.626865671642</v>
      </c>
      <c r="BD30" t="str">
        <f t="shared" si="15"/>
        <v>Low</v>
      </c>
      <c r="BE30" s="4" t="str">
        <f t="shared" si="14"/>
        <v>Very Low</v>
      </c>
      <c r="BF30" t="str">
        <f t="shared" si="7"/>
        <v>High</v>
      </c>
    </row>
    <row r="31" spans="1:58" x14ac:dyDescent="0.2">
      <c r="A31" s="3" t="s">
        <v>37</v>
      </c>
      <c r="B31"/>
      <c r="C31"/>
      <c r="D31"/>
      <c r="E31" s="5">
        <f t="shared" si="24"/>
        <v>134.61538461538461</v>
      </c>
      <c r="F31" s="5">
        <f t="shared" si="25"/>
        <v>6.7307692307692308</v>
      </c>
      <c r="G31" s="5"/>
      <c r="H31" s="5"/>
      <c r="P31" s="5">
        <f t="shared" si="16"/>
        <v>316153.84615384613</v>
      </c>
      <c r="Q31" s="5">
        <f t="shared" si="17"/>
        <v>15807.692307692309</v>
      </c>
      <c r="R31" s="5"/>
      <c r="S31" s="7" t="s">
        <v>26</v>
      </c>
      <c r="T31" s="7"/>
      <c r="U31" s="5" t="s">
        <v>48</v>
      </c>
      <c r="V31" s="4">
        <f t="shared" si="10"/>
        <v>1</v>
      </c>
      <c r="W31" s="4" t="s">
        <v>85</v>
      </c>
      <c r="X31" s="4">
        <f t="shared" si="11"/>
        <v>1</v>
      </c>
      <c r="Y31" s="4">
        <f t="shared" si="12"/>
        <v>1</v>
      </c>
      <c r="Z31" s="4" t="str">
        <f t="shared" si="13"/>
        <v>Very Low</v>
      </c>
      <c r="AA31" s="4"/>
      <c r="AB31" s="4" t="s">
        <v>47</v>
      </c>
      <c r="AC31" s="4"/>
      <c r="AD31" s="3" t="s">
        <v>37</v>
      </c>
      <c r="AE31">
        <v>520</v>
      </c>
      <c r="AF31">
        <v>2.6</v>
      </c>
      <c r="AG31">
        <v>1.7</v>
      </c>
      <c r="AH31" s="3"/>
      <c r="AI31" s="3"/>
      <c r="AJ31" s="3"/>
      <c r="AK31" s="3"/>
      <c r="AL31" s="3"/>
      <c r="AM31" s="3"/>
      <c r="AN31" s="3"/>
      <c r="AO31" s="3"/>
      <c r="AP31" s="3"/>
      <c r="AQ31" s="8" t="str">
        <f t="shared" si="21"/>
        <v/>
      </c>
      <c r="AR31" s="4">
        <f t="shared" si="26"/>
        <v>0.35</v>
      </c>
      <c r="AS31" s="4">
        <v>0.15</v>
      </c>
      <c r="AT31" s="4">
        <v>0.2</v>
      </c>
      <c r="AU31" s="4">
        <v>822</v>
      </c>
      <c r="AX31" s="16" t="s">
        <v>37</v>
      </c>
      <c r="AY31" s="5">
        <f t="shared" si="5"/>
        <v>134.61538461538461</v>
      </c>
      <c r="AZ31" s="5">
        <f t="shared" si="18"/>
        <v>6.7307692307692308</v>
      </c>
      <c r="BA31" s="5" t="str">
        <f t="shared" si="6"/>
        <v/>
      </c>
      <c r="BB31" s="5">
        <f t="shared" si="19"/>
        <v>316153.84615384613</v>
      </c>
      <c r="BC31" s="5">
        <f t="shared" si="20"/>
        <v>15807.692307692309</v>
      </c>
      <c r="BD31" t="str">
        <f t="shared" si="15"/>
        <v>Low</v>
      </c>
      <c r="BE31" s="4" t="str">
        <f t="shared" si="14"/>
        <v>Very Low</v>
      </c>
      <c r="BF31" t="str">
        <f t="shared" si="7"/>
        <v>Moderate</v>
      </c>
    </row>
    <row r="32" spans="1:58" x14ac:dyDescent="0.2">
      <c r="A32" s="3" t="s">
        <v>39</v>
      </c>
      <c r="B32"/>
      <c r="C32"/>
      <c r="D32"/>
      <c r="E32" s="5">
        <f t="shared" si="24"/>
        <v>10.638297872340425</v>
      </c>
      <c r="F32" s="5">
        <f t="shared" si="25"/>
        <v>3.8860103626943006</v>
      </c>
      <c r="G32" s="5"/>
      <c r="H32"/>
      <c r="I32"/>
      <c r="J32"/>
      <c r="K32"/>
      <c r="L32"/>
      <c r="M32"/>
      <c r="P32" s="5">
        <f t="shared" si="16"/>
        <v>76099.290780141848</v>
      </c>
      <c r="Q32" s="5">
        <f t="shared" si="17"/>
        <v>27797.927461139898</v>
      </c>
      <c r="R32" s="5"/>
      <c r="S32" s="7" t="s">
        <v>26</v>
      </c>
      <c r="T32" s="7"/>
      <c r="U32" s="5" t="s">
        <v>48</v>
      </c>
      <c r="V32" s="4">
        <f t="shared" si="10"/>
        <v>1</v>
      </c>
      <c r="W32" s="4" t="s">
        <v>85</v>
      </c>
      <c r="X32" s="4">
        <f t="shared" si="11"/>
        <v>1</v>
      </c>
      <c r="Y32" s="4">
        <f t="shared" si="12"/>
        <v>1</v>
      </c>
      <c r="Z32" s="4" t="str">
        <f t="shared" si="13"/>
        <v>Very Low</v>
      </c>
      <c r="AA32" s="4"/>
      <c r="AB32" s="4" t="s">
        <v>26</v>
      </c>
      <c r="AC32" s="4"/>
      <c r="AD32" s="3" t="s">
        <v>39</v>
      </c>
      <c r="AE32">
        <v>5790</v>
      </c>
      <c r="AF32">
        <v>211.5</v>
      </c>
      <c r="AG32">
        <v>499.3</v>
      </c>
      <c r="AH32" s="3"/>
      <c r="AI32" s="3"/>
      <c r="AJ32" s="3"/>
      <c r="AK32" s="3"/>
      <c r="AL32" s="3"/>
      <c r="AM32" s="3"/>
      <c r="AN32" s="3"/>
      <c r="AO32" s="3"/>
      <c r="AP32" s="3"/>
      <c r="AQ32" s="8" t="str">
        <f t="shared" si="21"/>
        <v/>
      </c>
      <c r="AR32" s="4">
        <f t="shared" si="26"/>
        <v>2.25</v>
      </c>
      <c r="AS32" s="4">
        <v>2.0499999999999998</v>
      </c>
      <c r="AT32" s="4">
        <v>0.2</v>
      </c>
      <c r="AU32" s="4">
        <v>16095</v>
      </c>
      <c r="AX32" s="16" t="s">
        <v>39</v>
      </c>
      <c r="AY32" s="5">
        <f t="shared" si="5"/>
        <v>10.638297872340425</v>
      </c>
      <c r="AZ32" s="5">
        <f t="shared" si="18"/>
        <v>3.8860103626943006</v>
      </c>
      <c r="BA32" s="5" t="str">
        <f t="shared" si="6"/>
        <v/>
      </c>
      <c r="BB32" s="5">
        <f t="shared" si="19"/>
        <v>76099.290780141848</v>
      </c>
      <c r="BC32" s="5">
        <f t="shared" si="20"/>
        <v>27797.927461139898</v>
      </c>
      <c r="BD32" t="str">
        <f t="shared" si="15"/>
        <v>Low</v>
      </c>
      <c r="BE32" s="4" t="str">
        <f t="shared" si="14"/>
        <v>Very Low</v>
      </c>
      <c r="BF32" t="str">
        <f t="shared" si="7"/>
        <v>Low</v>
      </c>
    </row>
    <row r="33" spans="1:58" x14ac:dyDescent="0.2">
      <c r="A33" s="3" t="s">
        <v>40</v>
      </c>
      <c r="B33"/>
      <c r="C33"/>
      <c r="D33"/>
      <c r="E33" s="5">
        <f t="shared" si="24"/>
        <v>4.8062015503875966</v>
      </c>
      <c r="F33" s="5">
        <f t="shared" si="25"/>
        <v>2.1869488536155202</v>
      </c>
      <c r="G33" s="5"/>
      <c r="H33"/>
      <c r="I33"/>
      <c r="J33"/>
      <c r="K33"/>
      <c r="L33"/>
      <c r="M33"/>
      <c r="N33" s="5"/>
      <c r="O33" s="5"/>
      <c r="P33" s="5">
        <f t="shared" si="16"/>
        <v>15403.100775193798</v>
      </c>
      <c r="Q33" s="5">
        <f t="shared" si="17"/>
        <v>7008.8183421516751</v>
      </c>
      <c r="R33" s="5"/>
      <c r="S33" s="7" t="s">
        <v>26</v>
      </c>
      <c r="T33" s="7"/>
      <c r="U33" s="5" t="s">
        <v>48</v>
      </c>
      <c r="V33" s="4">
        <f t="shared" si="10"/>
        <v>1</v>
      </c>
      <c r="W33" s="4" t="s">
        <v>85</v>
      </c>
      <c r="X33" s="4">
        <f t="shared" si="11"/>
        <v>1</v>
      </c>
      <c r="Y33" s="4">
        <f t="shared" si="12"/>
        <v>1</v>
      </c>
      <c r="Z33" s="4" t="str">
        <f t="shared" si="13"/>
        <v>Very Low</v>
      </c>
      <c r="AA33" s="4"/>
      <c r="AB33" s="4" t="s">
        <v>48</v>
      </c>
      <c r="AC33" s="4"/>
      <c r="AD33" s="3" t="s">
        <v>40</v>
      </c>
      <c r="AE33">
        <v>5670</v>
      </c>
      <c r="AF33">
        <v>258</v>
      </c>
      <c r="AG33">
        <v>492.4</v>
      </c>
      <c r="AH33" s="3"/>
      <c r="AI33" s="3"/>
      <c r="AJ33" s="3"/>
      <c r="AK33" s="3"/>
      <c r="AL33" s="3"/>
      <c r="AM33" s="3"/>
      <c r="AN33" s="3"/>
      <c r="AO33" s="3"/>
      <c r="AP33" s="3"/>
      <c r="AQ33" s="8" t="str">
        <f t="shared" si="21"/>
        <v/>
      </c>
      <c r="AR33" s="4">
        <f t="shared" si="26"/>
        <v>1.24</v>
      </c>
      <c r="AS33" s="4">
        <v>1.04</v>
      </c>
      <c r="AT33" s="4">
        <v>0.2</v>
      </c>
      <c r="AU33" s="4">
        <v>3974</v>
      </c>
      <c r="AX33" s="16" t="s">
        <v>40</v>
      </c>
      <c r="AY33" s="5">
        <f t="shared" si="5"/>
        <v>4.8062015503875966</v>
      </c>
      <c r="AZ33" s="5">
        <f t="shared" si="18"/>
        <v>2.1869488536155202</v>
      </c>
      <c r="BA33" s="5" t="str">
        <f t="shared" si="6"/>
        <v/>
      </c>
      <c r="BB33" s="5">
        <f t="shared" si="19"/>
        <v>15403.100775193798</v>
      </c>
      <c r="BC33" s="5">
        <f t="shared" si="20"/>
        <v>7008.8183421516751</v>
      </c>
      <c r="BD33" t="str">
        <f t="shared" si="15"/>
        <v>Low</v>
      </c>
      <c r="BE33" s="4" t="str">
        <f t="shared" si="14"/>
        <v>Very Low</v>
      </c>
      <c r="BF33" t="str">
        <f t="shared" si="7"/>
        <v>Very Low</v>
      </c>
    </row>
    <row r="34" spans="1:58" x14ac:dyDescent="0.2">
      <c r="A34" s="3" t="s">
        <v>41</v>
      </c>
      <c r="B34"/>
      <c r="C34"/>
      <c r="D34"/>
      <c r="E34" s="5">
        <f t="shared" si="24"/>
        <v>25</v>
      </c>
      <c r="F34" s="5">
        <f t="shared" si="25"/>
        <v>12.8</v>
      </c>
      <c r="G34" s="5"/>
      <c r="H34"/>
      <c r="I34"/>
      <c r="J34"/>
      <c r="K34"/>
      <c r="L34"/>
      <c r="M34"/>
      <c r="N34" s="5"/>
      <c r="O34" s="5"/>
      <c r="P34" s="5">
        <f t="shared" si="16"/>
        <v>21875</v>
      </c>
      <c r="Q34" s="5">
        <f t="shared" si="17"/>
        <v>11200</v>
      </c>
      <c r="R34" s="5"/>
      <c r="S34" s="7" t="s">
        <v>26</v>
      </c>
      <c r="T34" s="7"/>
      <c r="U34" s="5" t="s">
        <v>48</v>
      </c>
      <c r="V34" s="4">
        <f t="shared" si="10"/>
        <v>1</v>
      </c>
      <c r="W34" s="4" t="s">
        <v>85</v>
      </c>
      <c r="X34" s="4">
        <f t="shared" si="11"/>
        <v>1</v>
      </c>
      <c r="Y34" s="4">
        <f t="shared" si="12"/>
        <v>1</v>
      </c>
      <c r="Z34" s="4" t="str">
        <f t="shared" si="13"/>
        <v>Very Low</v>
      </c>
      <c r="AA34" s="4"/>
      <c r="AB34" s="4" t="s">
        <v>26</v>
      </c>
      <c r="AC34" s="4"/>
      <c r="AD34" s="3" t="s">
        <v>41</v>
      </c>
      <c r="AE34">
        <v>250</v>
      </c>
      <c r="AF34">
        <v>12.8</v>
      </c>
      <c r="AG34">
        <v>1</v>
      </c>
      <c r="AH34" s="3"/>
      <c r="AI34" s="3"/>
      <c r="AJ34" s="3"/>
      <c r="AK34" s="3"/>
      <c r="AL34" s="3"/>
      <c r="AM34" s="3"/>
      <c r="AN34" s="3"/>
      <c r="AO34" s="3"/>
      <c r="AP34" s="3"/>
      <c r="AQ34" s="8" t="str">
        <f t="shared" si="21"/>
        <v/>
      </c>
      <c r="AR34" s="4">
        <f t="shared" ref="AR34:AR36" si="27">AS34+AT34</f>
        <v>0.32</v>
      </c>
      <c r="AS34" s="4">
        <v>0.12</v>
      </c>
      <c r="AT34" s="4">
        <v>0.2</v>
      </c>
      <c r="AU34" s="4">
        <v>280</v>
      </c>
      <c r="AX34" s="16" t="s">
        <v>41</v>
      </c>
      <c r="AY34" s="5">
        <f t="shared" si="5"/>
        <v>25</v>
      </c>
      <c r="AZ34" s="5">
        <f t="shared" si="18"/>
        <v>12.8</v>
      </c>
      <c r="BA34" s="5" t="str">
        <f t="shared" si="6"/>
        <v/>
      </c>
      <c r="BB34" s="5">
        <f t="shared" si="19"/>
        <v>21875</v>
      </c>
      <c r="BC34" s="5">
        <f t="shared" si="20"/>
        <v>11200</v>
      </c>
      <c r="BD34" t="str">
        <f t="shared" si="15"/>
        <v>Low</v>
      </c>
      <c r="BE34" s="4" t="str">
        <f t="shared" si="14"/>
        <v>Very Low</v>
      </c>
      <c r="BF34" t="str">
        <f t="shared" si="7"/>
        <v>Low</v>
      </c>
    </row>
    <row r="35" spans="1:58" x14ac:dyDescent="0.2">
      <c r="A35" s="3" t="s">
        <v>0</v>
      </c>
      <c r="B35"/>
      <c r="C35"/>
      <c r="D35"/>
      <c r="E35" s="5">
        <f t="shared" si="24"/>
        <v>25</v>
      </c>
      <c r="F35" s="5">
        <f t="shared" si="25"/>
        <v>22.666666666666671</v>
      </c>
      <c r="G35" s="5"/>
      <c r="H35"/>
      <c r="I35"/>
      <c r="J35"/>
      <c r="K35"/>
      <c r="L35"/>
      <c r="M35"/>
      <c r="N35" s="5"/>
      <c r="O35" s="5"/>
      <c r="P35" s="5">
        <f t="shared" si="16"/>
        <v>17426.470588235294</v>
      </c>
      <c r="Q35" s="5">
        <f t="shared" si="17"/>
        <v>15800</v>
      </c>
      <c r="R35" s="5"/>
      <c r="S35" s="7" t="s">
        <v>26</v>
      </c>
      <c r="T35" s="7"/>
      <c r="U35" s="5" t="s">
        <v>48</v>
      </c>
      <c r="V35" s="4">
        <f t="shared" si="10"/>
        <v>1</v>
      </c>
      <c r="W35" s="4" t="s">
        <v>85</v>
      </c>
      <c r="X35" s="4">
        <f t="shared" si="11"/>
        <v>1</v>
      </c>
      <c r="Y35" s="4">
        <f t="shared" si="12"/>
        <v>1</v>
      </c>
      <c r="Z35" s="4" t="str">
        <f t="shared" si="13"/>
        <v>Very Low</v>
      </c>
      <c r="AA35" s="4"/>
      <c r="AB35" s="4" t="s">
        <v>26</v>
      </c>
      <c r="AC35" s="4"/>
      <c r="AD35" s="3" t="s">
        <v>0</v>
      </c>
      <c r="AE35">
        <v>150</v>
      </c>
      <c r="AF35">
        <v>13.6</v>
      </c>
      <c r="AG35">
        <v>1.5</v>
      </c>
      <c r="AH35" s="3"/>
      <c r="AI35" s="3"/>
      <c r="AJ35" s="3"/>
      <c r="AK35" s="3"/>
      <c r="AL35" s="3"/>
      <c r="AM35" s="3"/>
      <c r="AN35" s="3"/>
      <c r="AO35" s="3"/>
      <c r="AP35" s="3"/>
      <c r="AQ35" s="8" t="str">
        <f t="shared" si="21"/>
        <v/>
      </c>
      <c r="AR35" s="4">
        <f t="shared" si="27"/>
        <v>0.34</v>
      </c>
      <c r="AS35" s="4">
        <v>0.14000000000000001</v>
      </c>
      <c r="AT35" s="4">
        <v>0.2</v>
      </c>
      <c r="AU35" s="4">
        <v>237</v>
      </c>
      <c r="AX35" s="16" t="s">
        <v>0</v>
      </c>
      <c r="AY35" s="5">
        <f t="shared" si="5"/>
        <v>25</v>
      </c>
      <c r="AZ35" s="5">
        <f t="shared" si="18"/>
        <v>22.666666666666671</v>
      </c>
      <c r="BA35" s="5" t="str">
        <f t="shared" si="6"/>
        <v/>
      </c>
      <c r="BB35" s="5">
        <f t="shared" si="19"/>
        <v>17426.470588235294</v>
      </c>
      <c r="BC35" s="5">
        <f t="shared" si="20"/>
        <v>15800</v>
      </c>
      <c r="BD35" t="str">
        <f t="shared" si="15"/>
        <v>Low</v>
      </c>
      <c r="BE35" s="4" t="str">
        <f t="shared" si="14"/>
        <v>Very Low</v>
      </c>
      <c r="BF35" t="str">
        <f t="shared" si="7"/>
        <v>Low</v>
      </c>
    </row>
    <row r="36" spans="1:58" x14ac:dyDescent="0.2">
      <c r="A36" s="3" t="s">
        <v>44</v>
      </c>
      <c r="B36"/>
      <c r="C36"/>
      <c r="D36"/>
      <c r="E36" s="5"/>
      <c r="F36" s="5"/>
      <c r="G36" s="5"/>
      <c r="H36"/>
      <c r="I36"/>
      <c r="J36"/>
      <c r="K36"/>
      <c r="L36"/>
      <c r="M36"/>
      <c r="N36" s="5"/>
      <c r="O36" s="5"/>
      <c r="P36" s="5">
        <f t="shared" si="16"/>
        <v>8088.2352941176468</v>
      </c>
      <c r="Q36" s="5">
        <f t="shared" si="17"/>
        <v>7333.333333333333</v>
      </c>
      <c r="R36" s="5"/>
      <c r="S36" s="7" t="s">
        <v>26</v>
      </c>
      <c r="T36" s="7"/>
      <c r="U36" s="5" t="s">
        <v>48</v>
      </c>
      <c r="V36" s="4">
        <f t="shared" si="10"/>
        <v>1</v>
      </c>
      <c r="W36" s="4" t="s">
        <v>85</v>
      </c>
      <c r="X36" s="4">
        <f t="shared" si="11"/>
        <v>1</v>
      </c>
      <c r="Y36" s="4">
        <f t="shared" si="12"/>
        <v>1</v>
      </c>
      <c r="Z36" s="4" t="str">
        <f t="shared" si="13"/>
        <v>Very Low</v>
      </c>
      <c r="AA36" s="4"/>
      <c r="AB36" s="4" t="s">
        <v>26</v>
      </c>
      <c r="AC36" s="4"/>
      <c r="AD36" s="3" t="s">
        <v>44</v>
      </c>
      <c r="AE36">
        <v>150</v>
      </c>
      <c r="AF36">
        <v>13.6</v>
      </c>
      <c r="AG36">
        <v>1.5</v>
      </c>
      <c r="AH36" s="3"/>
      <c r="AI36" s="3"/>
      <c r="AJ36" s="3"/>
      <c r="AK36" s="3"/>
      <c r="AL36" s="3"/>
      <c r="AM36" s="3"/>
      <c r="AN36" s="3"/>
      <c r="AO36" s="3"/>
      <c r="AP36" s="3"/>
      <c r="AQ36" s="8" t="str">
        <f t="shared" si="21"/>
        <v/>
      </c>
      <c r="AR36" s="4">
        <f t="shared" si="27"/>
        <v>0.34</v>
      </c>
      <c r="AS36" s="4">
        <v>0.14000000000000001</v>
      </c>
      <c r="AT36" s="4">
        <v>0.2</v>
      </c>
      <c r="AU36" s="4">
        <v>110</v>
      </c>
      <c r="AX36" s="16" t="s">
        <v>44</v>
      </c>
      <c r="BA36" s="5" t="str">
        <f t="shared" si="6"/>
        <v/>
      </c>
      <c r="BB36" s="5">
        <f t="shared" si="19"/>
        <v>8088.2352941176468</v>
      </c>
      <c r="BC36" s="5">
        <f t="shared" si="20"/>
        <v>7333.333333333333</v>
      </c>
      <c r="BD36" t="str">
        <f t="shared" si="15"/>
        <v>Low</v>
      </c>
      <c r="BE36" s="4" t="str">
        <f t="shared" si="14"/>
        <v>Very Low</v>
      </c>
      <c r="BF36" t="str">
        <f t="shared" si="7"/>
        <v>Low</v>
      </c>
    </row>
    <row r="37" spans="1:58" x14ac:dyDescent="0.2">
      <c r="A37" s="3" t="s">
        <v>1</v>
      </c>
      <c r="B37" s="5"/>
      <c r="C37" s="5"/>
      <c r="D37" s="5"/>
      <c r="E37" s="5"/>
      <c r="F37" s="5"/>
      <c r="G37" s="5"/>
      <c r="H37"/>
      <c r="I37"/>
      <c r="J37"/>
      <c r="K37"/>
      <c r="L37"/>
      <c r="M37"/>
      <c r="N37" s="5"/>
      <c r="O37" s="5"/>
      <c r="P37" s="5">
        <f t="shared" si="16"/>
        <v>37370.030581039755</v>
      </c>
      <c r="Q37" s="5">
        <f t="shared" si="17"/>
        <v>14209.302325581395</v>
      </c>
      <c r="R37" s="5"/>
      <c r="S37" s="7" t="s">
        <v>26</v>
      </c>
      <c r="T37" s="7"/>
      <c r="U37" s="5" t="s">
        <v>48</v>
      </c>
      <c r="V37" s="4">
        <f t="shared" si="10"/>
        <v>1</v>
      </c>
      <c r="W37" s="4" t="s">
        <v>85</v>
      </c>
      <c r="X37" s="4">
        <f t="shared" si="11"/>
        <v>1</v>
      </c>
      <c r="Y37" s="4">
        <f t="shared" si="12"/>
        <v>1</v>
      </c>
      <c r="Z37" s="4" t="str">
        <f t="shared" si="13"/>
        <v>Very Low</v>
      </c>
      <c r="AA37" s="4"/>
      <c r="AB37" s="4" t="s">
        <v>48</v>
      </c>
      <c r="AC37" s="4"/>
      <c r="AD37" s="3" t="s">
        <v>1</v>
      </c>
      <c r="AE37">
        <v>860</v>
      </c>
      <c r="AF37">
        <v>32.700000000000003</v>
      </c>
      <c r="AG37">
        <v>13.5</v>
      </c>
      <c r="AH37" s="3">
        <v>960</v>
      </c>
      <c r="AI37" s="3">
        <v>34.1</v>
      </c>
      <c r="AJ37" s="3">
        <v>15</v>
      </c>
      <c r="AK37" s="3"/>
      <c r="AL37" s="3"/>
      <c r="AM37" s="3"/>
      <c r="AN37" s="3"/>
      <c r="AO37" s="3"/>
      <c r="AP37" s="3"/>
      <c r="AQ37" s="8" t="str">
        <f t="shared" si="21"/>
        <v/>
      </c>
      <c r="AU37" s="4">
        <v>1222</v>
      </c>
      <c r="AX37" s="16" t="s">
        <v>1</v>
      </c>
      <c r="BA37" s="5" t="str">
        <f t="shared" si="6"/>
        <v/>
      </c>
      <c r="BB37" s="5">
        <f t="shared" si="19"/>
        <v>37370.030581039755</v>
      </c>
      <c r="BC37" s="5">
        <f t="shared" si="20"/>
        <v>14209.302325581395</v>
      </c>
      <c r="BD37" t="str">
        <f t="shared" si="15"/>
        <v>Low</v>
      </c>
      <c r="BE37" s="4" t="str">
        <f t="shared" si="14"/>
        <v>Very Low</v>
      </c>
      <c r="BF37" t="str">
        <f t="shared" si="7"/>
        <v>Very Low</v>
      </c>
    </row>
    <row r="38" spans="1:58" x14ac:dyDescent="0.2">
      <c r="A38" s="3" t="s">
        <v>45</v>
      </c>
      <c r="B38" s="5"/>
      <c r="C38" s="5"/>
      <c r="D38" s="5"/>
      <c r="E38" s="5"/>
      <c r="F38" s="5"/>
      <c r="G38" s="5"/>
      <c r="H38"/>
      <c r="I38"/>
      <c r="J38"/>
      <c r="K38"/>
      <c r="L38"/>
      <c r="M38"/>
      <c r="N38" s="5"/>
      <c r="O38" s="5"/>
      <c r="P38" s="5">
        <f t="shared" si="16"/>
        <v>23241.590214067277</v>
      </c>
      <c r="Q38" s="5">
        <f t="shared" si="17"/>
        <v>8837.209302325582</v>
      </c>
      <c r="R38" s="5"/>
      <c r="S38" s="7" t="s">
        <v>26</v>
      </c>
      <c r="T38" s="7"/>
      <c r="U38" s="5" t="s">
        <v>48</v>
      </c>
      <c r="V38" s="4">
        <f t="shared" si="10"/>
        <v>1</v>
      </c>
      <c r="W38" s="4" t="s">
        <v>85</v>
      </c>
      <c r="X38" s="4">
        <f t="shared" si="11"/>
        <v>1</v>
      </c>
      <c r="Y38" s="4">
        <f t="shared" si="12"/>
        <v>1</v>
      </c>
      <c r="Z38" s="4" t="str">
        <f t="shared" si="13"/>
        <v>Very Low</v>
      </c>
      <c r="AA38" s="4"/>
      <c r="AB38" s="4" t="s">
        <v>48</v>
      </c>
      <c r="AC38" s="4"/>
      <c r="AD38" s="3" t="s">
        <v>45</v>
      </c>
      <c r="AE38">
        <v>860</v>
      </c>
      <c r="AF38">
        <v>32.700000000000003</v>
      </c>
      <c r="AG38">
        <v>13.5</v>
      </c>
      <c r="AH38" s="3"/>
      <c r="AI38" s="3"/>
      <c r="AJ38" s="3"/>
      <c r="AK38" s="3"/>
      <c r="AL38" s="3"/>
      <c r="AM38" s="3"/>
      <c r="AN38" s="3"/>
      <c r="AO38" s="3"/>
      <c r="AP38" s="3"/>
      <c r="AQ38" s="8" t="str">
        <f t="shared" si="21"/>
        <v/>
      </c>
      <c r="AU38" s="4">
        <v>760</v>
      </c>
      <c r="AX38" s="16" t="s">
        <v>45</v>
      </c>
      <c r="BA38" s="5" t="str">
        <f t="shared" si="6"/>
        <v/>
      </c>
      <c r="BB38" s="5">
        <f t="shared" si="19"/>
        <v>23241.590214067277</v>
      </c>
      <c r="BC38" s="5">
        <f t="shared" si="20"/>
        <v>8837.209302325582</v>
      </c>
      <c r="BD38" t="str">
        <f t="shared" si="15"/>
        <v>Low</v>
      </c>
      <c r="BE38" s="4" t="str">
        <f t="shared" si="14"/>
        <v>Very Low</v>
      </c>
      <c r="BF38" t="str">
        <f t="shared" si="7"/>
        <v>Very Low</v>
      </c>
    </row>
    <row r="39" spans="1:58" x14ac:dyDescent="0.2">
      <c r="A39" s="2" t="s">
        <v>67</v>
      </c>
      <c r="B39" s="5"/>
      <c r="C39" s="5"/>
      <c r="D39" s="5"/>
      <c r="E39"/>
      <c r="F39"/>
      <c r="G39"/>
      <c r="H39" s="20">
        <f t="shared" si="8"/>
        <v>22.1</v>
      </c>
      <c r="I39" s="20">
        <v>17</v>
      </c>
      <c r="J39" s="54">
        <v>34</v>
      </c>
      <c r="K39" s="54"/>
      <c r="L39" s="20">
        <f t="shared" si="9"/>
        <v>10.7</v>
      </c>
      <c r="M39" s="5">
        <v>8</v>
      </c>
      <c r="N39" s="5">
        <v>17</v>
      </c>
      <c r="O39" s="5"/>
      <c r="P39" s="5"/>
      <c r="Q39" s="5"/>
      <c r="R39" s="5"/>
      <c r="S39" s="7" t="s">
        <v>26</v>
      </c>
      <c r="T39" s="7"/>
      <c r="U39" s="5" t="s">
        <v>48</v>
      </c>
      <c r="V39" s="4">
        <f t="shared" si="10"/>
        <v>1</v>
      </c>
      <c r="W39" s="4" t="s">
        <v>85</v>
      </c>
      <c r="X39" s="4">
        <f t="shared" si="11"/>
        <v>1</v>
      </c>
      <c r="Y39" s="4">
        <f t="shared" si="12"/>
        <v>1</v>
      </c>
      <c r="Z39" s="4" t="str">
        <f t="shared" si="13"/>
        <v>Very Low</v>
      </c>
      <c r="AA39" s="4"/>
      <c r="AB39" s="4"/>
      <c r="AC39" s="4"/>
      <c r="AD39" s="2" t="s">
        <v>67</v>
      </c>
      <c r="AE39" s="2"/>
      <c r="AF39" s="2"/>
      <c r="AG39" s="2"/>
      <c r="AH39" s="2"/>
      <c r="AI39" s="2"/>
      <c r="AJ39" s="2"/>
      <c r="AP39" s="3"/>
      <c r="AQ39" s="8" t="str">
        <f t="shared" si="4"/>
        <v/>
      </c>
      <c r="AX39" s="17" t="s">
        <v>67</v>
      </c>
      <c r="AY39" s="5">
        <f>IF(B39=0,IF(E39=0,H39,E39),B39)</f>
        <v>22.1</v>
      </c>
      <c r="BA39" s="5">
        <f t="shared" si="6"/>
        <v>10.7</v>
      </c>
      <c r="BB39" s="5"/>
      <c r="BC39" s="5"/>
      <c r="BD39" t="str">
        <f t="shared" si="15"/>
        <v>Low</v>
      </c>
      <c r="BE39" s="4" t="str">
        <f t="shared" si="14"/>
        <v>Very Low</v>
      </c>
      <c r="BF39" s="4" t="s">
        <v>26</v>
      </c>
    </row>
    <row r="40" spans="1:58" s="4" customFormat="1" x14ac:dyDescent="0.2">
      <c r="A40" s="3" t="s">
        <v>68</v>
      </c>
      <c r="B40" s="5"/>
      <c r="C40" s="5"/>
      <c r="D40" s="5"/>
      <c r="E40"/>
      <c r="F40"/>
      <c r="G40"/>
      <c r="H40" s="20">
        <f t="shared" si="8"/>
        <v>9.3000000000000007</v>
      </c>
      <c r="I40" s="63">
        <v>6</v>
      </c>
      <c r="J40" s="55">
        <v>17</v>
      </c>
      <c r="K40" s="55"/>
      <c r="L40" s="20">
        <f t="shared" si="9"/>
        <v>10.3</v>
      </c>
      <c r="M40" s="6">
        <v>4</v>
      </c>
      <c r="N40" s="6">
        <v>25</v>
      </c>
      <c r="O40" s="6"/>
      <c r="P40" s="5"/>
      <c r="Q40" s="5"/>
      <c r="R40" s="5"/>
      <c r="V40" s="4" t="str">
        <f t="shared" si="10"/>
        <v/>
      </c>
      <c r="X40" s="4" t="str">
        <f t="shared" si="11"/>
        <v/>
      </c>
      <c r="Y40" s="4" t="str">
        <f t="shared" si="12"/>
        <v/>
      </c>
      <c r="Z40" s="4" t="str">
        <f t="shared" si="13"/>
        <v/>
      </c>
      <c r="AD40" s="3" t="s">
        <v>68</v>
      </c>
      <c r="AE40" s="3"/>
      <c r="AF40" s="3"/>
      <c r="AG40" s="3"/>
      <c r="AH40" s="3"/>
      <c r="AI40" s="3"/>
      <c r="AJ40" s="3"/>
      <c r="AP40" s="3"/>
      <c r="AQ40" s="8" t="str">
        <f t="shared" si="4"/>
        <v/>
      </c>
      <c r="AX40" s="16" t="s">
        <v>68</v>
      </c>
      <c r="AY40" s="5">
        <f>IF(B40=0,IF(E40=0,H40,E40),B40)</f>
        <v>9.3000000000000007</v>
      </c>
      <c r="AZ40" s="5"/>
      <c r="BA40" s="5">
        <f t="shared" si="6"/>
        <v>10.3</v>
      </c>
      <c r="BB40" s="5"/>
      <c r="BC40" s="5"/>
      <c r="BD40" s="4" t="s">
        <v>26</v>
      </c>
      <c r="BE40" s="4" t="str">
        <f t="shared" si="14"/>
        <v/>
      </c>
      <c r="BF40" s="4" t="s">
        <v>48</v>
      </c>
    </row>
    <row r="41" spans="1:58" x14ac:dyDescent="0.2">
      <c r="A41" s="2" t="s">
        <v>12</v>
      </c>
      <c r="B41" s="5"/>
      <c r="C41" s="5"/>
      <c r="D41" s="5"/>
      <c r="E41"/>
      <c r="F41"/>
      <c r="G41"/>
      <c r="H41" s="20">
        <f t="shared" si="8"/>
        <v>5.8</v>
      </c>
      <c r="I41" s="20">
        <v>4</v>
      </c>
      <c r="J41" s="54">
        <v>10</v>
      </c>
      <c r="K41" s="54"/>
      <c r="L41" s="20">
        <f t="shared" si="9"/>
        <v>19.899999999999999</v>
      </c>
      <c r="M41" s="5">
        <v>10</v>
      </c>
      <c r="N41" s="5">
        <v>43</v>
      </c>
      <c r="O41" s="5"/>
      <c r="P41" s="5">
        <f>(AU41*1000)/AL41</f>
        <v>18860.465116279069</v>
      </c>
      <c r="Q41" s="5">
        <f>(AU41*10000)/AK41</f>
        <v>11884.525205158265</v>
      </c>
      <c r="R41" s="5"/>
      <c r="S41" s="4" t="s">
        <v>47</v>
      </c>
      <c r="T41" s="4"/>
      <c r="U41" s="4" t="s">
        <v>48</v>
      </c>
      <c r="V41" s="4">
        <f t="shared" si="10"/>
        <v>1</v>
      </c>
      <c r="W41" s="4" t="s">
        <v>85</v>
      </c>
      <c r="X41" s="4">
        <f t="shared" si="11"/>
        <v>1</v>
      </c>
      <c r="Y41" s="4">
        <f t="shared" si="12"/>
        <v>1</v>
      </c>
      <c r="Z41" s="4" t="str">
        <f t="shared" si="13"/>
        <v>Very Low</v>
      </c>
      <c r="AA41" s="4"/>
      <c r="AB41" s="4"/>
      <c r="AC41" s="4"/>
      <c r="AD41" s="2" t="s">
        <v>12</v>
      </c>
      <c r="AE41" s="2"/>
      <c r="AF41" s="2"/>
      <c r="AG41" s="2"/>
      <c r="AH41" s="2"/>
      <c r="AI41" s="2"/>
      <c r="AJ41" s="2"/>
      <c r="AK41" s="12">
        <v>3412</v>
      </c>
      <c r="AL41" s="12">
        <v>215</v>
      </c>
      <c r="AM41" s="12">
        <v>23</v>
      </c>
      <c r="AN41" s="12"/>
      <c r="AO41" s="12"/>
      <c r="AP41" s="3"/>
      <c r="AQ41" s="8" t="str">
        <f t="shared" si="4"/>
        <v/>
      </c>
      <c r="AR41" s="4">
        <f>AS41+AT41</f>
        <v>1.08</v>
      </c>
      <c r="AS41" s="4">
        <v>0.88</v>
      </c>
      <c r="AT41" s="4">
        <v>0.2</v>
      </c>
      <c r="AU41" s="4">
        <v>4055</v>
      </c>
      <c r="AX41" s="17" t="s">
        <v>12</v>
      </c>
      <c r="AY41" s="5">
        <f>IF(B41=0,IF(E41=0,H41,E41),B41)</f>
        <v>5.8</v>
      </c>
      <c r="BA41" s="5">
        <f t="shared" si="6"/>
        <v>19.899999999999999</v>
      </c>
      <c r="BB41" s="5">
        <f>P41</f>
        <v>18860.465116279069</v>
      </c>
      <c r="BC41" s="5">
        <f>Q41</f>
        <v>11884.525205158265</v>
      </c>
      <c r="BD41" t="str">
        <f t="shared" ref="BD41:BD42" si="28">S41</f>
        <v>Moderate</v>
      </c>
      <c r="BE41" s="4" t="str">
        <f t="shared" si="14"/>
        <v>Very Low</v>
      </c>
      <c r="BF41" s="4" t="s">
        <v>48</v>
      </c>
    </row>
    <row r="42" spans="1:58" x14ac:dyDescent="0.2">
      <c r="A42" s="3" t="s">
        <v>51</v>
      </c>
      <c r="B42" s="5">
        <f>(AP42*1000)/AI42</f>
        <v>12.674271229404308</v>
      </c>
      <c r="C42" s="5">
        <f>(AP42*10000)/AH42</f>
        <v>13.793103448275861</v>
      </c>
      <c r="D42" s="5"/>
      <c r="E42" s="5"/>
      <c r="F42" s="5"/>
      <c r="G42" s="5"/>
      <c r="H42"/>
      <c r="I42"/>
      <c r="J42"/>
      <c r="K42"/>
      <c r="L42"/>
      <c r="M42"/>
      <c r="P42" s="5">
        <f>(AU42*1000)/AF42</f>
        <v>15988.593155893535</v>
      </c>
      <c r="Q42" s="5">
        <f>(AU42*10000)/AE42</f>
        <v>17400</v>
      </c>
      <c r="R42" s="5"/>
      <c r="S42" s="7" t="s">
        <v>26</v>
      </c>
      <c r="T42" s="7"/>
      <c r="U42" s="5" t="s">
        <v>48</v>
      </c>
      <c r="V42" s="4">
        <f t="shared" si="10"/>
        <v>1</v>
      </c>
      <c r="W42" s="4" t="s">
        <v>85</v>
      </c>
      <c r="X42" s="4">
        <f t="shared" si="11"/>
        <v>1</v>
      </c>
      <c r="Y42" s="4">
        <f t="shared" si="12"/>
        <v>1</v>
      </c>
      <c r="Z42" s="4" t="str">
        <f t="shared" si="13"/>
        <v>Very Low</v>
      </c>
      <c r="AA42" s="4"/>
      <c r="AB42" s="4" t="s">
        <v>48</v>
      </c>
      <c r="AC42" s="4"/>
      <c r="AD42" s="3" t="s">
        <v>86</v>
      </c>
      <c r="AE42">
        <v>1450</v>
      </c>
      <c r="AF42">
        <v>157.80000000000001</v>
      </c>
      <c r="AG42">
        <v>87.2</v>
      </c>
      <c r="AH42" s="3">
        <v>1450</v>
      </c>
      <c r="AI42" s="3">
        <v>157.80000000000001</v>
      </c>
      <c r="AJ42" s="3">
        <v>87.2</v>
      </c>
      <c r="AK42" s="3"/>
      <c r="AL42" s="3"/>
      <c r="AM42" s="3"/>
      <c r="AN42" s="3"/>
      <c r="AO42" s="3"/>
      <c r="AP42" s="3">
        <v>2</v>
      </c>
      <c r="AQ42" s="8">
        <f>IF(AP42="","",AP42/1.1)</f>
        <v>1.8181818181818181</v>
      </c>
      <c r="AU42" s="4">
        <v>2523</v>
      </c>
      <c r="AX42" s="16" t="s">
        <v>51</v>
      </c>
      <c r="AY42" s="5">
        <f>IF(B42=0,IF(E42=0,H42,E42),B42)</f>
        <v>12.674271229404308</v>
      </c>
      <c r="AZ42" s="5">
        <f>IF(C42=0,F42,C42)</f>
        <v>13.793103448275861</v>
      </c>
      <c r="BA42" s="5" t="str">
        <f t="shared" si="6"/>
        <v/>
      </c>
      <c r="BB42" s="5">
        <f>P42</f>
        <v>15988.593155893535</v>
      </c>
      <c r="BC42" s="5">
        <f>Q42</f>
        <v>17400</v>
      </c>
      <c r="BD42" t="str">
        <f t="shared" si="28"/>
        <v>Low</v>
      </c>
      <c r="BE42" s="4" t="str">
        <f t="shared" si="14"/>
        <v>Very Low</v>
      </c>
      <c r="BF42" t="str">
        <f>AB42</f>
        <v>Very Low</v>
      </c>
    </row>
    <row r="43" spans="1:58" x14ac:dyDescent="0.2">
      <c r="A43" s="2" t="s">
        <v>13</v>
      </c>
      <c r="B43" s="5"/>
      <c r="C43" s="5"/>
      <c r="D43" s="5"/>
      <c r="E43"/>
      <c r="F43"/>
      <c r="G43"/>
      <c r="H43" s="5"/>
      <c r="I43" s="5"/>
      <c r="J43"/>
      <c r="K43"/>
      <c r="L43" s="5"/>
      <c r="N43" s="5"/>
      <c r="O43" s="5"/>
      <c r="P43" s="5">
        <f>(AU43*1000)/AL43</f>
        <v>20550</v>
      </c>
      <c r="Q43" s="5">
        <f>(AU43*10000)/AK43</f>
        <v>5124.6882793017458</v>
      </c>
      <c r="R43" s="5"/>
      <c r="V43" s="4" t="str">
        <f t="shared" si="10"/>
        <v/>
      </c>
      <c r="W43"/>
      <c r="X43" s="4" t="str">
        <f t="shared" si="11"/>
        <v/>
      </c>
      <c r="Y43" s="4" t="str">
        <f t="shared" si="12"/>
        <v/>
      </c>
      <c r="Z43" s="4" t="str">
        <f t="shared" si="13"/>
        <v/>
      </c>
      <c r="AA43"/>
      <c r="AB43" s="4"/>
      <c r="AC43" s="4"/>
      <c r="AD43" s="2" t="s">
        <v>13</v>
      </c>
      <c r="AE43" s="2"/>
      <c r="AF43" s="2"/>
      <c r="AG43" s="2"/>
      <c r="AH43" s="2"/>
      <c r="AI43" s="2"/>
      <c r="AJ43" s="2"/>
      <c r="AK43" s="12">
        <v>3208</v>
      </c>
      <c r="AL43" s="12">
        <v>80</v>
      </c>
      <c r="AM43" s="12">
        <v>15</v>
      </c>
      <c r="AN43" s="12"/>
      <c r="AO43" s="12"/>
      <c r="AP43" s="3"/>
      <c r="AQ43" s="8" t="str">
        <f t="shared" si="4"/>
        <v/>
      </c>
      <c r="AU43" s="4">
        <v>1644</v>
      </c>
      <c r="AX43" s="17" t="s">
        <v>13</v>
      </c>
      <c r="BA43" s="5" t="str">
        <f t="shared" si="6"/>
        <v/>
      </c>
      <c r="BB43" s="5">
        <f>P43</f>
        <v>20550</v>
      </c>
      <c r="BC43" s="5">
        <f>Q43</f>
        <v>5124.6882793017458</v>
      </c>
      <c r="BD43" s="4" t="s">
        <v>26</v>
      </c>
      <c r="BE43" s="4" t="str">
        <f t="shared" si="14"/>
        <v/>
      </c>
      <c r="BF43" s="4" t="s">
        <v>48</v>
      </c>
    </row>
    <row r="44" spans="1:58" x14ac:dyDescent="0.2">
      <c r="A44" s="2" t="s">
        <v>11</v>
      </c>
      <c r="B44" s="5" t="e">
        <f t="shared" si="0"/>
        <v>#DIV/0!</v>
      </c>
      <c r="C44" s="5" t="e">
        <f t="shared" si="1"/>
        <v>#DIV/0!</v>
      </c>
      <c r="D44" s="5"/>
      <c r="E44"/>
      <c r="F44"/>
      <c r="G44"/>
      <c r="H44" s="5"/>
      <c r="I44" s="5"/>
      <c r="J44"/>
      <c r="K44"/>
      <c r="L44" s="5"/>
      <c r="N44" s="5"/>
      <c r="O44" s="5"/>
      <c r="P44" s="5">
        <f>(AU44*1000)/AL44</f>
        <v>139430.76923076922</v>
      </c>
      <c r="Q44" s="5">
        <f>(AU44*10000)/AK44</f>
        <v>36252</v>
      </c>
      <c r="R44" s="5"/>
      <c r="V44" s="4" t="str">
        <f t="shared" si="10"/>
        <v/>
      </c>
      <c r="W44"/>
      <c r="X44" s="4" t="str">
        <f t="shared" si="11"/>
        <v/>
      </c>
      <c r="Y44" s="4" t="str">
        <f t="shared" si="12"/>
        <v/>
      </c>
      <c r="Z44" s="4" t="str">
        <f t="shared" si="13"/>
        <v/>
      </c>
      <c r="AA44"/>
      <c r="AB44" s="4"/>
      <c r="AC44" s="4"/>
      <c r="AD44" s="2" t="s">
        <v>11</v>
      </c>
      <c r="AE44" s="2"/>
      <c r="AF44" s="2"/>
      <c r="AG44" s="2"/>
      <c r="AH44" s="2"/>
      <c r="AI44" s="2"/>
      <c r="AJ44" s="2"/>
      <c r="AK44" s="12">
        <v>2500</v>
      </c>
      <c r="AL44" s="12">
        <v>65</v>
      </c>
      <c r="AM44" s="12">
        <v>193</v>
      </c>
      <c r="AN44" s="12"/>
      <c r="AO44" s="12"/>
      <c r="AP44" s="3">
        <v>2.2999999999999998</v>
      </c>
      <c r="AQ44" s="8">
        <f t="shared" si="4"/>
        <v>2.0909090909090904</v>
      </c>
      <c r="AU44" s="4">
        <v>9063</v>
      </c>
      <c r="AX44" s="17" t="s">
        <v>11</v>
      </c>
      <c r="AY44" s="5" t="e">
        <f>IF(B44=0,IF(E44=0,H44,E44),B44)</f>
        <v>#DIV/0!</v>
      </c>
      <c r="AZ44" s="5" t="e">
        <f>IF(C44=0,F44,C44)</f>
        <v>#DIV/0!</v>
      </c>
      <c r="BA44" s="5" t="str">
        <f t="shared" si="6"/>
        <v/>
      </c>
      <c r="BB44" s="5">
        <f>P44</f>
        <v>139430.76923076922</v>
      </c>
      <c r="BC44" s="5">
        <f>Q44</f>
        <v>36252</v>
      </c>
      <c r="BD44" s="4" t="s">
        <v>26</v>
      </c>
      <c r="BE44" s="4" t="str">
        <f t="shared" si="14"/>
        <v/>
      </c>
      <c r="BF44" s="4" t="s">
        <v>26</v>
      </c>
    </row>
    <row r="45" spans="1:58" x14ac:dyDescent="0.2">
      <c r="A45" s="2" t="s">
        <v>21</v>
      </c>
      <c r="B45"/>
      <c r="C45"/>
      <c r="D45"/>
      <c r="E45"/>
      <c r="F45"/>
      <c r="G45"/>
      <c r="H45" s="5"/>
      <c r="I45" s="5"/>
      <c r="J45"/>
      <c r="K45"/>
      <c r="L45" s="5"/>
      <c r="N45" s="5"/>
      <c r="O45" s="5"/>
      <c r="P45" s="5">
        <f>(AU45*1000)/AL45</f>
        <v>26833.333333333332</v>
      </c>
      <c r="Q45" s="5">
        <f>(AU45*10000)/AK45</f>
        <v>13416.666666666666</v>
      </c>
      <c r="R45" s="5"/>
      <c r="S45" s="4"/>
      <c r="T45" s="4"/>
      <c r="V45" s="4" t="str">
        <f t="shared" si="10"/>
        <v/>
      </c>
      <c r="W45"/>
      <c r="X45" s="4" t="str">
        <f t="shared" si="11"/>
        <v/>
      </c>
      <c r="Y45" s="4" t="str">
        <f t="shared" si="12"/>
        <v/>
      </c>
      <c r="Z45" s="4" t="str">
        <f t="shared" si="13"/>
        <v/>
      </c>
      <c r="AA45"/>
      <c r="AB45" s="4"/>
      <c r="AC45" s="4"/>
      <c r="AD45" s="2" t="s">
        <v>21</v>
      </c>
      <c r="AE45" s="2"/>
      <c r="AF45" s="2"/>
      <c r="AG45" s="2"/>
      <c r="AH45" s="2"/>
      <c r="AI45" s="2"/>
      <c r="AJ45" s="2"/>
      <c r="AK45" s="12">
        <v>240</v>
      </c>
      <c r="AL45" s="12">
        <v>12</v>
      </c>
      <c r="AM45" s="12">
        <v>2.1</v>
      </c>
      <c r="AN45" s="12"/>
      <c r="AO45" s="12"/>
      <c r="AP45" s="3"/>
      <c r="AQ45" s="8" t="str">
        <f t="shared" si="4"/>
        <v/>
      </c>
      <c r="AU45" s="4">
        <v>322</v>
      </c>
      <c r="AX45" s="17" t="s">
        <v>21</v>
      </c>
      <c r="BA45" s="5" t="str">
        <f t="shared" si="6"/>
        <v/>
      </c>
      <c r="BB45" s="5">
        <f>P45</f>
        <v>26833.333333333332</v>
      </c>
      <c r="BC45" s="5">
        <f>Q45</f>
        <v>13416.666666666666</v>
      </c>
      <c r="BD45" s="4" t="s">
        <v>26</v>
      </c>
      <c r="BE45" s="4" t="str">
        <f t="shared" si="14"/>
        <v/>
      </c>
      <c r="BF45" s="4" t="s">
        <v>26</v>
      </c>
    </row>
    <row r="46" spans="1:58" x14ac:dyDescent="0.2">
      <c r="A46" s="2" t="s">
        <v>14</v>
      </c>
      <c r="B46"/>
      <c r="C46"/>
      <c r="D46"/>
      <c r="E46"/>
      <c r="F46"/>
      <c r="G46"/>
      <c r="H46" s="5"/>
      <c r="I46" s="5"/>
      <c r="J46"/>
      <c r="K46"/>
      <c r="L46" s="5"/>
      <c r="N46" s="5"/>
      <c r="O46" s="5"/>
      <c r="P46" s="5">
        <f>(AU46*1000)/AL46</f>
        <v>181509.43396226416</v>
      </c>
      <c r="Q46" s="5">
        <f>(AU46*10000)/AK46</f>
        <v>20913.043478260868</v>
      </c>
      <c r="R46" s="5"/>
      <c r="V46" s="4" t="str">
        <f t="shared" si="10"/>
        <v/>
      </c>
      <c r="W46"/>
      <c r="X46" s="4" t="str">
        <f t="shared" si="11"/>
        <v/>
      </c>
      <c r="Y46" s="4" t="str">
        <f t="shared" si="12"/>
        <v/>
      </c>
      <c r="Z46" s="4" t="str">
        <f t="shared" si="13"/>
        <v/>
      </c>
      <c r="AA46"/>
      <c r="AB46" s="4"/>
      <c r="AC46" s="4"/>
      <c r="AD46" s="2" t="s">
        <v>14</v>
      </c>
      <c r="AE46" s="2"/>
      <c r="AF46" s="2"/>
      <c r="AG46" s="2"/>
      <c r="AH46" s="2"/>
      <c r="AI46" s="2"/>
      <c r="AJ46" s="2"/>
      <c r="AK46" s="12">
        <v>460</v>
      </c>
      <c r="AL46" s="12">
        <v>5.3</v>
      </c>
      <c r="AM46" s="12">
        <v>2.8</v>
      </c>
      <c r="AN46" s="12"/>
      <c r="AO46" s="12"/>
      <c r="AP46" s="3"/>
      <c r="AQ46" s="8" t="str">
        <f t="shared" si="4"/>
        <v/>
      </c>
      <c r="AU46" s="4">
        <v>962</v>
      </c>
      <c r="AX46" s="17" t="s">
        <v>14</v>
      </c>
      <c r="BA46" s="5" t="str">
        <f t="shared" si="6"/>
        <v/>
      </c>
      <c r="BB46" s="5">
        <f>P46</f>
        <v>181509.43396226416</v>
      </c>
      <c r="BC46" s="5">
        <f>Q46</f>
        <v>20913.043478260868</v>
      </c>
      <c r="BD46" s="4" t="s">
        <v>26</v>
      </c>
      <c r="BE46" s="4" t="str">
        <f t="shared" si="14"/>
        <v/>
      </c>
      <c r="BF46" s="4" t="s">
        <v>47</v>
      </c>
    </row>
    <row r="47" spans="1:58" x14ac:dyDescent="0.2">
      <c r="A47" s="2" t="s">
        <v>15</v>
      </c>
      <c r="B47"/>
      <c r="C47"/>
      <c r="D47"/>
      <c r="E47"/>
      <c r="F47"/>
      <c r="G47"/>
      <c r="H47" s="5"/>
      <c r="I47" s="5"/>
      <c r="J47"/>
      <c r="K47"/>
      <c r="L47" s="5"/>
      <c r="N47" s="5"/>
      <c r="O47" s="5"/>
      <c r="P47" s="5" t="s">
        <v>85</v>
      </c>
      <c r="Q47" s="5">
        <f>(AU47*10000)/AK47</f>
        <v>6912.2807017543855</v>
      </c>
      <c r="R47" s="5"/>
      <c r="V47" s="4" t="str">
        <f t="shared" si="10"/>
        <v/>
      </c>
      <c r="W47"/>
      <c r="X47" s="4" t="str">
        <f t="shared" si="11"/>
        <v/>
      </c>
      <c r="Y47" s="4" t="str">
        <f t="shared" si="12"/>
        <v/>
      </c>
      <c r="Z47" s="4" t="str">
        <f t="shared" si="13"/>
        <v/>
      </c>
      <c r="AA47"/>
      <c r="AB47" s="4"/>
      <c r="AC47" s="4"/>
      <c r="AD47" s="2" t="s">
        <v>15</v>
      </c>
      <c r="AE47" s="2"/>
      <c r="AF47" s="2"/>
      <c r="AG47" s="2"/>
      <c r="AH47" s="2"/>
      <c r="AI47" s="2"/>
      <c r="AJ47" s="2"/>
      <c r="AK47" s="12">
        <v>285</v>
      </c>
      <c r="AL47" s="12">
        <v>0</v>
      </c>
      <c r="AM47" s="12">
        <v>0</v>
      </c>
      <c r="AN47" s="12"/>
      <c r="AO47" s="12"/>
      <c r="AP47" s="3"/>
      <c r="AQ47" s="8" t="str">
        <f t="shared" si="4"/>
        <v/>
      </c>
      <c r="AU47" s="4">
        <v>197</v>
      </c>
      <c r="AX47" s="17" t="s">
        <v>15</v>
      </c>
      <c r="BA47" s="5" t="str">
        <f t="shared" si="6"/>
        <v/>
      </c>
      <c r="BB47" s="5" t="str">
        <f>P47</f>
        <v>N/A</v>
      </c>
      <c r="BC47" s="5">
        <f>Q47</f>
        <v>6912.2807017543855</v>
      </c>
      <c r="BD47" s="4" t="s">
        <v>26</v>
      </c>
      <c r="BE47" s="4" t="str">
        <f t="shared" si="14"/>
        <v/>
      </c>
      <c r="BF47" s="4" t="s">
        <v>26</v>
      </c>
    </row>
    <row r="48" spans="1:58" x14ac:dyDescent="0.2">
      <c r="A48" s="3" t="s">
        <v>28</v>
      </c>
      <c r="B48"/>
      <c r="C48"/>
      <c r="D48"/>
      <c r="E48"/>
      <c r="F48"/>
      <c r="G48"/>
      <c r="H48" s="5">
        <f t="shared" si="8"/>
        <v>25.3</v>
      </c>
      <c r="I48" s="5">
        <v>4</v>
      </c>
      <c r="J48">
        <v>75</v>
      </c>
      <c r="K48"/>
      <c r="L48" s="5">
        <f t="shared" si="9"/>
        <v>18.100000000000001</v>
      </c>
      <c r="M48" s="5">
        <v>13</v>
      </c>
      <c r="N48" s="5">
        <v>30</v>
      </c>
      <c r="O48" s="5"/>
      <c r="P48" s="5"/>
      <c r="Q48" s="5"/>
      <c r="R48" s="5"/>
      <c r="S48" s="4" t="s">
        <v>26</v>
      </c>
      <c r="T48" s="4"/>
      <c r="V48" s="4" t="str">
        <f t="shared" si="10"/>
        <v/>
      </c>
      <c r="W48"/>
      <c r="X48" s="4" t="str">
        <f t="shared" si="11"/>
        <v/>
      </c>
      <c r="Y48" s="4" t="str">
        <f t="shared" si="12"/>
        <v/>
      </c>
      <c r="Z48" s="4" t="str">
        <f t="shared" si="13"/>
        <v/>
      </c>
      <c r="AA48"/>
      <c r="AB48" s="4"/>
      <c r="AC48" s="4"/>
      <c r="AD48" s="3" t="s">
        <v>28</v>
      </c>
      <c r="AE48" s="3"/>
      <c r="AF48" s="3"/>
      <c r="AG48" s="3"/>
      <c r="AH48" s="3"/>
      <c r="AI48" s="3"/>
      <c r="AJ48" s="3"/>
      <c r="AK48" s="12"/>
      <c r="AL48" s="12"/>
      <c r="AM48" s="12"/>
      <c r="AN48" s="12"/>
      <c r="AO48" s="12"/>
      <c r="AP48" s="3"/>
      <c r="AQ48" s="8" t="str">
        <f t="shared" si="4"/>
        <v/>
      </c>
      <c r="AX48" s="16" t="s">
        <v>28</v>
      </c>
      <c r="AY48" s="5">
        <f>IF(B48=0,IF(E48=0,H48,E48),B48)</f>
        <v>25.3</v>
      </c>
      <c r="BA48" s="5">
        <f t="shared" si="6"/>
        <v>18.100000000000001</v>
      </c>
      <c r="BB48" s="5"/>
      <c r="BC48" s="5"/>
      <c r="BD48" t="str">
        <f>S48</f>
        <v>Low</v>
      </c>
      <c r="BE48" s="4" t="str">
        <f t="shared" si="14"/>
        <v/>
      </c>
      <c r="BF48" s="4" t="s">
        <v>26</v>
      </c>
    </row>
    <row r="49" spans="1:58" x14ac:dyDescent="0.2">
      <c r="A49" s="3" t="s">
        <v>29</v>
      </c>
      <c r="B49" s="5"/>
      <c r="C49" s="5"/>
      <c r="D49" s="5"/>
      <c r="E49" s="5"/>
      <c r="F49" s="5"/>
      <c r="G49" s="5"/>
      <c r="H49" s="83">
        <f>((J49-I49)*0.3)+I49</f>
        <v>233.5</v>
      </c>
      <c r="I49" s="6">
        <v>58</v>
      </c>
      <c r="J49">
        <v>643</v>
      </c>
      <c r="K49"/>
      <c r="L49" s="83">
        <f>((N49-M49)*0.3)+M49</f>
        <v>744.8</v>
      </c>
      <c r="M49" s="5">
        <v>164</v>
      </c>
      <c r="N49" s="5">
        <v>2100</v>
      </c>
      <c r="O49" s="5"/>
      <c r="P49" s="83">
        <f>(AU49*1000)/AF49</f>
        <v>108228.05139186294</v>
      </c>
      <c r="Q49" s="5">
        <f>(AU49*10000)/AE49</f>
        <v>105778.94048397646</v>
      </c>
      <c r="R49" s="5"/>
      <c r="S49" s="4" t="s">
        <v>26</v>
      </c>
      <c r="T49" s="4"/>
      <c r="U49" s="4" t="s">
        <v>26</v>
      </c>
      <c r="V49" s="4">
        <f t="shared" si="10"/>
        <v>2</v>
      </c>
      <c r="W49" s="4" t="s">
        <v>47</v>
      </c>
      <c r="X49" s="4">
        <f t="shared" si="11"/>
        <v>4</v>
      </c>
      <c r="Y49" s="4">
        <f t="shared" si="12"/>
        <v>3</v>
      </c>
      <c r="Z49" s="4" t="str">
        <f t="shared" si="13"/>
        <v>Low</v>
      </c>
      <c r="AA49" s="4"/>
      <c r="AB49" s="4" t="s">
        <v>26</v>
      </c>
      <c r="AC49" s="4"/>
      <c r="AD49" s="3" t="s">
        <v>29</v>
      </c>
      <c r="AE49" s="3">
        <f>(AE9-((0.5*AG9)*9))+((0.5*AG9)*4)</f>
        <v>1911.25</v>
      </c>
      <c r="AF49" s="3">
        <f>AF9</f>
        <v>186.8</v>
      </c>
      <c r="AG49" s="3">
        <f>0.5*AG9</f>
        <v>85.75</v>
      </c>
      <c r="AH49" s="3"/>
      <c r="AI49" s="3"/>
      <c r="AJ49" s="3"/>
      <c r="AK49">
        <f>(AK9-((0.5*AM9)*9))+((0.5*AM9)*4)</f>
        <v>1260.5</v>
      </c>
      <c r="AL49">
        <f>AL9</f>
        <v>138</v>
      </c>
      <c r="AM49">
        <f>0.5*AM9</f>
        <v>50.5</v>
      </c>
      <c r="AN49" s="4" t="s">
        <v>83</v>
      </c>
      <c r="AO49" s="4"/>
      <c r="AP49" s="3"/>
      <c r="AQ49" s="8" t="str">
        <f>IF(AP49="","",AP49/1.1)</f>
        <v/>
      </c>
      <c r="AU49" s="4">
        <v>20217</v>
      </c>
      <c r="AX49" s="16" t="s">
        <v>29</v>
      </c>
      <c r="AY49" s="5">
        <f>IF(B49=0,IF(E49=0,H49,E49),B49)</f>
        <v>233.5</v>
      </c>
      <c r="BA49" s="5">
        <f t="shared" si="6"/>
        <v>744.8</v>
      </c>
      <c r="BB49" s="5">
        <f>P49</f>
        <v>108228.05139186294</v>
      </c>
      <c r="BC49" s="5">
        <f>Q49</f>
        <v>105778.94048397646</v>
      </c>
      <c r="BD49" t="str">
        <f>S49</f>
        <v>Low</v>
      </c>
      <c r="BE49" s="4" t="str">
        <f t="shared" si="14"/>
        <v>Low</v>
      </c>
      <c r="BF49" t="str">
        <f>AB49</f>
        <v>Low</v>
      </c>
    </row>
    <row r="50" spans="1:58" x14ac:dyDescent="0.2">
      <c r="A50" s="2" t="s">
        <v>22</v>
      </c>
      <c r="B50" s="5"/>
      <c r="C50" s="5"/>
      <c r="D50" s="5"/>
      <c r="E50" s="5"/>
      <c r="F50" s="5"/>
      <c r="G50" s="5"/>
      <c r="H50" s="83">
        <f>((J50-I50)*0.3)+I50</f>
        <v>94.5</v>
      </c>
      <c r="I50" s="6">
        <v>45</v>
      </c>
      <c r="J50">
        <v>210</v>
      </c>
      <c r="K50"/>
      <c r="L50" s="83">
        <f>((N50-M50)*0.3)+M50</f>
        <v>95.4</v>
      </c>
      <c r="M50" s="5">
        <v>75</v>
      </c>
      <c r="N50" s="5">
        <v>143</v>
      </c>
      <c r="O50" s="5"/>
      <c r="P50" s="83">
        <f>(AU50*1000)/AF50</f>
        <v>20642.3982869379</v>
      </c>
      <c r="Q50" s="5">
        <f>(AU50*10000)/AE50</f>
        <v>16478.63247863248</v>
      </c>
      <c r="R50" s="5"/>
      <c r="S50" s="4" t="s">
        <v>27</v>
      </c>
      <c r="T50" s="4"/>
      <c r="U50" s="4" t="s">
        <v>47</v>
      </c>
      <c r="V50" s="4">
        <f t="shared" si="10"/>
        <v>4</v>
      </c>
      <c r="W50" s="4" t="s">
        <v>47</v>
      </c>
      <c r="X50" s="4">
        <f t="shared" si="11"/>
        <v>4</v>
      </c>
      <c r="Y50" s="4">
        <f t="shared" si="12"/>
        <v>4</v>
      </c>
      <c r="Z50" s="4" t="str">
        <f t="shared" si="13"/>
        <v>Moderate</v>
      </c>
      <c r="AA50" s="4"/>
      <c r="AB50" s="4" t="s">
        <v>47</v>
      </c>
      <c r="AC50" s="4"/>
      <c r="AD50" s="2" t="s">
        <v>22</v>
      </c>
      <c r="AE50" s="2">
        <v>2340</v>
      </c>
      <c r="AF50" s="2">
        <v>186.8</v>
      </c>
      <c r="AG50" s="2">
        <v>171.5</v>
      </c>
      <c r="AH50" s="2">
        <v>2910</v>
      </c>
      <c r="AI50" s="2">
        <v>264.2</v>
      </c>
      <c r="AJ50" s="2">
        <v>197.1</v>
      </c>
      <c r="AK50">
        <v>1513</v>
      </c>
      <c r="AL50">
        <v>138</v>
      </c>
      <c r="AM50">
        <v>101</v>
      </c>
      <c r="AP50" s="3"/>
      <c r="AQ50" s="8" t="str">
        <f>IF(AP50="","",AP50/1.1)</f>
        <v/>
      </c>
      <c r="AU50" s="4">
        <v>3856</v>
      </c>
      <c r="AX50" s="17" t="s">
        <v>22</v>
      </c>
      <c r="AY50" s="5">
        <f>IF(B50=0,IF(E50=0,H50,E50),B50)</f>
        <v>94.5</v>
      </c>
      <c r="BA50" s="5">
        <f t="shared" si="6"/>
        <v>95.4</v>
      </c>
      <c r="BB50" s="5">
        <f>P50</f>
        <v>20642.3982869379</v>
      </c>
      <c r="BC50" s="5">
        <f>Q50</f>
        <v>16478.63247863248</v>
      </c>
      <c r="BD50" t="str">
        <f>S50</f>
        <v>High</v>
      </c>
      <c r="BE50" s="4" t="str">
        <f t="shared" si="14"/>
        <v>Moderate</v>
      </c>
      <c r="BF50" t="str">
        <f>AB50</f>
        <v>Moderate</v>
      </c>
    </row>
    <row r="51" spans="1:58" x14ac:dyDescent="0.2">
      <c r="A51" s="3" t="s">
        <v>117</v>
      </c>
      <c r="B51" s="5">
        <f t="shared" ref="B51" si="29">(AP51*1000)/AI51</f>
        <v>25.274725274725274</v>
      </c>
      <c r="C51" s="5">
        <f t="shared" ref="C51" si="30">(AP51*10000)/AH51</f>
        <v>28.87029288702929</v>
      </c>
      <c r="D51" s="5"/>
      <c r="E51" s="5">
        <f t="shared" ref="E51" si="31">(AR51*1000)/AF51</f>
        <v>21.182795698924732</v>
      </c>
      <c r="F51" s="5">
        <f t="shared" ref="F51" si="32">(AR51*10000)/AE51</f>
        <v>18.325581395348838</v>
      </c>
      <c r="G51" s="5"/>
      <c r="H51" s="5">
        <f t="shared" ref="H51" si="33">((J51-I51)*0.3)+I51</f>
        <v>16</v>
      </c>
      <c r="I51" s="6">
        <v>10</v>
      </c>
      <c r="J51">
        <v>30</v>
      </c>
      <c r="K51"/>
      <c r="L51" s="5">
        <f t="shared" ref="L51" si="34">((N51-M51)*0.3)+M51</f>
        <v>28.1</v>
      </c>
      <c r="M51" s="5">
        <v>23</v>
      </c>
      <c r="N51" s="5">
        <v>40</v>
      </c>
      <c r="O51" s="5"/>
      <c r="P51" s="83">
        <f>(AU51*1000)/AF51</f>
        <v>23252.68817204301</v>
      </c>
      <c r="Q51" s="5">
        <f>(AU51*10000)/AE51</f>
        <v>20116.279069767443</v>
      </c>
      <c r="R51" s="5"/>
      <c r="S51" s="4" t="s">
        <v>47</v>
      </c>
      <c r="T51" s="4"/>
      <c r="U51" s="4" t="s">
        <v>27</v>
      </c>
      <c r="V51" s="4">
        <f t="shared" si="10"/>
        <v>6</v>
      </c>
      <c r="W51" s="4" t="s">
        <v>26</v>
      </c>
      <c r="X51" s="4">
        <f t="shared" si="11"/>
        <v>2</v>
      </c>
      <c r="Y51" s="4">
        <f t="shared" si="12"/>
        <v>4</v>
      </c>
      <c r="Z51" s="4" t="str">
        <f t="shared" si="13"/>
        <v>Moderate</v>
      </c>
      <c r="AA51" s="4"/>
      <c r="AB51" s="4" t="s">
        <v>26</v>
      </c>
      <c r="AC51" s="4"/>
      <c r="AD51" s="3" t="s">
        <v>118</v>
      </c>
      <c r="AE51" s="2">
        <v>2150</v>
      </c>
      <c r="AF51" s="2">
        <v>186</v>
      </c>
      <c r="AG51" s="2">
        <v>150.6</v>
      </c>
      <c r="AH51" s="2">
        <v>2390</v>
      </c>
      <c r="AI51" s="2">
        <v>273</v>
      </c>
      <c r="AJ51" s="2">
        <v>136</v>
      </c>
      <c r="AK51">
        <v>1440</v>
      </c>
      <c r="AL51">
        <v>127</v>
      </c>
      <c r="AM51">
        <v>100</v>
      </c>
      <c r="AP51" s="3">
        <v>6.9</v>
      </c>
      <c r="AQ51" s="8">
        <f t="shared" ref="AQ51:AQ52" si="35">IF(AP51="","",AP51/1.1)</f>
        <v>6.2727272727272725</v>
      </c>
      <c r="AR51" s="4">
        <f>AS51+AT51</f>
        <v>3.94</v>
      </c>
      <c r="AS51" s="4">
        <v>3.73</v>
      </c>
      <c r="AT51" s="4">
        <v>0.21</v>
      </c>
      <c r="AU51" s="4">
        <v>4325</v>
      </c>
      <c r="AX51" s="16" t="s">
        <v>117</v>
      </c>
      <c r="AY51" s="5">
        <f>IF(B51=0,IF(E51=0,H51,E51),B51)</f>
        <v>25.274725274725274</v>
      </c>
      <c r="AZ51" s="5">
        <f>IF(C51=0,F51,C51)</f>
        <v>28.87029288702929</v>
      </c>
      <c r="BA51" s="5">
        <f t="shared" si="6"/>
        <v>28.1</v>
      </c>
      <c r="BB51" s="5">
        <f>P51</f>
        <v>23252.68817204301</v>
      </c>
      <c r="BC51" s="5">
        <f>Q51</f>
        <v>20116.279069767443</v>
      </c>
      <c r="BD51" t="str">
        <f>S51</f>
        <v>Moderate</v>
      </c>
      <c r="BE51" s="4" t="str">
        <f t="shared" si="14"/>
        <v>Moderate</v>
      </c>
      <c r="BF51" t="str">
        <f>AB51</f>
        <v>Low</v>
      </c>
    </row>
    <row r="52" spans="1:58" x14ac:dyDescent="0.2">
      <c r="A52" s="2" t="s">
        <v>23</v>
      </c>
      <c r="B52" s="5"/>
      <c r="C52" s="5"/>
      <c r="D52" s="5"/>
      <c r="E52" s="5"/>
      <c r="F52" s="5"/>
      <c r="G52" s="5"/>
      <c r="H52" s="5"/>
      <c r="I52" s="5"/>
      <c r="J52"/>
      <c r="K52"/>
      <c r="L52" s="6"/>
      <c r="N52" s="5"/>
      <c r="O52" s="5"/>
      <c r="P52" s="83">
        <f>(AU52*1000)/AF52</f>
        <v>11924.731182795698</v>
      </c>
      <c r="Q52" s="5">
        <f>(AU52*10000)/AE52</f>
        <v>10316.279069767443</v>
      </c>
      <c r="R52" s="5"/>
      <c r="S52" s="4" t="s">
        <v>47</v>
      </c>
      <c r="T52" s="4"/>
      <c r="U52" s="4" t="s">
        <v>27</v>
      </c>
      <c r="V52" s="4">
        <f t="shared" si="10"/>
        <v>6</v>
      </c>
      <c r="W52" s="4" t="s">
        <v>26</v>
      </c>
      <c r="X52" s="4">
        <f t="shared" si="11"/>
        <v>2</v>
      </c>
      <c r="Y52" s="4">
        <f t="shared" si="12"/>
        <v>4</v>
      </c>
      <c r="Z52" s="4" t="str">
        <f t="shared" si="13"/>
        <v>Moderate</v>
      </c>
      <c r="AA52" s="4"/>
      <c r="AB52" s="4" t="s">
        <v>26</v>
      </c>
      <c r="AC52" s="4"/>
      <c r="AD52" s="2" t="s">
        <v>23</v>
      </c>
      <c r="AE52" s="2">
        <v>2150</v>
      </c>
      <c r="AF52" s="2">
        <v>186</v>
      </c>
      <c r="AG52" s="2">
        <v>150.6</v>
      </c>
      <c r="AH52" s="2">
        <v>2390</v>
      </c>
      <c r="AI52" s="2">
        <v>273</v>
      </c>
      <c r="AJ52" s="2">
        <v>136</v>
      </c>
      <c r="AK52">
        <v>1440</v>
      </c>
      <c r="AL52">
        <v>127</v>
      </c>
      <c r="AM52">
        <v>100</v>
      </c>
      <c r="AP52" s="3"/>
      <c r="AQ52" s="8" t="str">
        <f t="shared" si="35"/>
        <v/>
      </c>
      <c r="AU52" s="4">
        <v>2218</v>
      </c>
      <c r="AX52" s="17" t="s">
        <v>23</v>
      </c>
      <c r="BA52" s="5" t="str">
        <f t="shared" si="6"/>
        <v/>
      </c>
      <c r="BB52" s="5">
        <f>P52</f>
        <v>11924.731182795698</v>
      </c>
      <c r="BC52" s="5">
        <f>Q52</f>
        <v>10316.279069767443</v>
      </c>
      <c r="BD52" t="str">
        <f>S52</f>
        <v>Moderate</v>
      </c>
      <c r="BE52" s="4" t="str">
        <f t="shared" si="14"/>
        <v>Moderate</v>
      </c>
      <c r="BF52" t="str">
        <f>AB52</f>
        <v>Low</v>
      </c>
    </row>
    <row r="53" spans="1:58" x14ac:dyDescent="0.2">
      <c r="A53" s="3"/>
      <c r="B53"/>
      <c r="C53"/>
      <c r="D53"/>
      <c r="E53"/>
      <c r="F53"/>
      <c r="G53"/>
      <c r="H53" s="5"/>
      <c r="I53" s="5"/>
      <c r="J53"/>
      <c r="K53"/>
      <c r="L53" s="5"/>
      <c r="N53" s="5"/>
      <c r="O53" s="5"/>
      <c r="P53" s="5"/>
      <c r="Q53" s="5"/>
      <c r="R53" s="5"/>
      <c r="S53" s="4"/>
      <c r="T53" s="4"/>
      <c r="V53"/>
      <c r="W53"/>
      <c r="X53"/>
      <c r="Y53"/>
      <c r="Z53"/>
      <c r="AA53"/>
      <c r="AB53" s="4"/>
      <c r="AC53" s="4"/>
      <c r="AD53" s="3"/>
      <c r="AE53" s="3"/>
      <c r="AF53" s="3"/>
      <c r="AG53" s="3"/>
      <c r="AH53" s="3"/>
      <c r="AI53" s="3"/>
      <c r="AJ53" s="3"/>
      <c r="AK53" s="12"/>
      <c r="AL53" s="12"/>
      <c r="AM53" s="12"/>
      <c r="AN53" s="12"/>
      <c r="AO53" s="12"/>
      <c r="AP53" s="3"/>
      <c r="AU53" s="4">
        <v>2150</v>
      </c>
      <c r="AX53" s="21" t="s">
        <v>113</v>
      </c>
      <c r="BA53" s="5" t="str">
        <f t="shared" si="6"/>
        <v/>
      </c>
      <c r="BB53" s="5"/>
      <c r="BC53" s="5"/>
      <c r="BE53" s="4"/>
    </row>
    <row r="54" spans="1:58" x14ac:dyDescent="0.2">
      <c r="AU54" s="4">
        <v>1981</v>
      </c>
      <c r="AX54" s="21" t="s">
        <v>114</v>
      </c>
      <c r="BA54" s="5" t="str">
        <f t="shared" si="6"/>
        <v/>
      </c>
      <c r="BE54" s="4"/>
    </row>
    <row r="55" spans="1:58" x14ac:dyDescent="0.2">
      <c r="B55" s="5"/>
      <c r="C55" s="5"/>
      <c r="D55" s="5"/>
      <c r="E55" s="5"/>
      <c r="F55" s="5"/>
      <c r="G55" s="5"/>
      <c r="H55" s="5"/>
      <c r="I55" s="5"/>
      <c r="J55"/>
      <c r="K55"/>
      <c r="L55" s="5"/>
      <c r="P55" s="5"/>
      <c r="Q55" s="5"/>
      <c r="R55" s="5"/>
      <c r="S55" s="7"/>
      <c r="T55" s="7"/>
      <c r="U55" s="5"/>
      <c r="V55"/>
      <c r="W55"/>
      <c r="X55"/>
      <c r="Y55"/>
      <c r="Z55"/>
      <c r="AA55"/>
      <c r="AB55" s="4"/>
      <c r="AC55" s="4"/>
      <c r="AD55" s="3"/>
      <c r="AH55" s="3"/>
      <c r="AI55" s="3"/>
      <c r="AJ55" s="3"/>
      <c r="AK55" s="3"/>
      <c r="AL55" s="3"/>
      <c r="AM55" s="3"/>
      <c r="AN55" s="3"/>
      <c r="AO55" s="3"/>
      <c r="AP55" s="3"/>
    </row>
    <row r="56" spans="1:58" x14ac:dyDescent="0.2">
      <c r="A56" s="78" t="s">
        <v>150</v>
      </c>
      <c r="B56" s="60"/>
      <c r="I56" s="5"/>
      <c r="J56"/>
      <c r="K56"/>
      <c r="L56"/>
      <c r="P56" s="5"/>
      <c r="S56" s="7"/>
      <c r="T56" s="7"/>
      <c r="U56" s="5"/>
      <c r="V56"/>
      <c r="W56"/>
      <c r="X56"/>
      <c r="Y56"/>
      <c r="Z56"/>
      <c r="AA56"/>
      <c r="AB56" s="4"/>
      <c r="AC56" s="4"/>
      <c r="AP56" s="3"/>
    </row>
    <row r="57" spans="1:58" x14ac:dyDescent="0.2">
      <c r="I57" s="5"/>
      <c r="J57"/>
      <c r="K57"/>
      <c r="L57"/>
      <c r="P57" s="5"/>
      <c r="S57" s="7"/>
      <c r="T57" s="7"/>
      <c r="U57" s="5"/>
      <c r="V57"/>
      <c r="W57"/>
      <c r="X57"/>
      <c r="Y57"/>
      <c r="Z57"/>
      <c r="AA57"/>
      <c r="AB57" s="4"/>
      <c r="AC57" s="4"/>
      <c r="AP57" s="3"/>
    </row>
    <row r="58" spans="1:58" s="69" customFormat="1" x14ac:dyDescent="0.2">
      <c r="A58" s="76" t="s">
        <v>133</v>
      </c>
      <c r="B58" s="79"/>
      <c r="C58" s="79"/>
      <c r="D58" s="79"/>
      <c r="E58" s="79"/>
      <c r="F58" s="79"/>
      <c r="G58" s="79"/>
      <c r="H58" s="79"/>
      <c r="I58" s="66"/>
      <c r="M58" s="66"/>
      <c r="S58" s="80"/>
      <c r="T58" s="80"/>
      <c r="U58" s="66"/>
      <c r="AB58" s="68"/>
      <c r="AC58" s="68"/>
      <c r="AP58" s="81"/>
      <c r="AQ58" s="67"/>
      <c r="AR58" s="68"/>
      <c r="AS58" s="68"/>
      <c r="AT58" s="68"/>
      <c r="AU58" s="68"/>
      <c r="AV58" s="68"/>
      <c r="AW58" s="70"/>
      <c r="AY58" s="66"/>
      <c r="AZ58" s="66"/>
      <c r="BA58" s="66"/>
    </row>
    <row r="59" spans="1:58" s="69" customFormat="1" x14ac:dyDescent="0.2">
      <c r="A59" s="65"/>
      <c r="B59" s="79"/>
      <c r="C59" s="79"/>
      <c r="D59" s="79"/>
      <c r="E59" s="79"/>
      <c r="F59" s="79"/>
      <c r="G59" s="79"/>
      <c r="H59" s="79"/>
      <c r="I59" s="65"/>
      <c r="J59" s="65"/>
      <c r="K59" s="65"/>
      <c r="L59" s="65"/>
      <c r="M59" s="66"/>
      <c r="V59" s="80"/>
      <c r="W59" s="80"/>
      <c r="X59" s="80"/>
      <c r="Y59" s="80"/>
      <c r="Z59" s="80"/>
      <c r="AA59" s="80"/>
      <c r="AB59" s="64"/>
      <c r="AC59" s="64"/>
      <c r="AP59" s="68"/>
      <c r="AQ59" s="67"/>
      <c r="AR59" s="68"/>
      <c r="AS59" s="68"/>
      <c r="AT59" s="68"/>
      <c r="AU59" s="68"/>
      <c r="AV59" s="68"/>
      <c r="AW59" s="70"/>
      <c r="AY59" s="66"/>
      <c r="AZ59" s="66"/>
      <c r="BA59" s="66"/>
    </row>
    <row r="60" spans="1:58" s="69" customFormat="1" x14ac:dyDescent="0.2">
      <c r="A60" s="82" t="s">
        <v>134</v>
      </c>
      <c r="B60" s="79"/>
      <c r="C60" s="79"/>
      <c r="D60" s="79"/>
      <c r="E60" s="79"/>
      <c r="F60" s="79"/>
      <c r="G60" s="79"/>
      <c r="H60" s="79"/>
      <c r="I60" s="65"/>
      <c r="J60" s="65"/>
      <c r="K60" s="65"/>
      <c r="L60" s="65"/>
      <c r="M60" s="66"/>
      <c r="V60" s="80"/>
      <c r="W60" s="80"/>
      <c r="X60" s="80"/>
      <c r="Y60" s="80"/>
      <c r="Z60" s="80"/>
      <c r="AA60" s="80"/>
      <c r="AB60" s="64"/>
      <c r="AC60" s="64"/>
      <c r="AP60" s="68"/>
      <c r="AQ60" s="67"/>
      <c r="AR60" s="68"/>
      <c r="AS60" s="68"/>
      <c r="AT60" s="68"/>
      <c r="AU60" s="68"/>
      <c r="AV60" s="68"/>
      <c r="AW60" s="70"/>
      <c r="AY60" s="66"/>
      <c r="AZ60" s="66"/>
      <c r="BA60" s="66"/>
    </row>
    <row r="61" spans="1:58" s="69" customFormat="1" x14ac:dyDescent="0.2">
      <c r="A61" s="82" t="s">
        <v>135</v>
      </c>
      <c r="B61" s="79"/>
      <c r="C61" s="79"/>
      <c r="D61" s="79"/>
      <c r="E61" s="79"/>
      <c r="F61" s="79"/>
      <c r="G61" s="79"/>
      <c r="H61" s="79"/>
      <c r="I61" s="65"/>
      <c r="J61" s="65"/>
      <c r="K61" s="65"/>
      <c r="L61" s="65"/>
      <c r="M61" s="66"/>
      <c r="V61" s="80"/>
      <c r="W61" s="80"/>
      <c r="X61" s="80"/>
      <c r="Y61" s="80"/>
      <c r="Z61" s="80"/>
      <c r="AA61" s="80"/>
      <c r="AB61" s="64"/>
      <c r="AC61" s="64"/>
      <c r="AP61" s="68"/>
      <c r="AQ61" s="67"/>
      <c r="AR61" s="68"/>
      <c r="AS61" s="68"/>
      <c r="AT61" s="68"/>
      <c r="AU61" s="68"/>
      <c r="AV61" s="68"/>
      <c r="AW61" s="70"/>
      <c r="AY61" s="66"/>
      <c r="AZ61" s="66"/>
      <c r="BA61" s="66"/>
    </row>
    <row r="62" spans="1:58" s="69" customFormat="1" x14ac:dyDescent="0.2">
      <c r="A62" s="82"/>
      <c r="B62" s="79"/>
      <c r="C62" s="79"/>
      <c r="D62" s="79"/>
      <c r="E62" s="79"/>
      <c r="F62" s="79"/>
      <c r="G62" s="79"/>
      <c r="H62" s="79"/>
      <c r="I62" s="65"/>
      <c r="J62" s="65"/>
      <c r="K62" s="65"/>
      <c r="L62" s="65"/>
      <c r="M62" s="66"/>
      <c r="V62" s="80"/>
      <c r="W62" s="80"/>
      <c r="X62" s="80"/>
      <c r="Y62" s="80"/>
      <c r="Z62" s="80"/>
      <c r="AA62" s="80"/>
      <c r="AB62" s="64"/>
      <c r="AC62" s="64"/>
      <c r="AP62" s="68"/>
      <c r="AQ62" s="67"/>
      <c r="AR62" s="68"/>
      <c r="AS62" s="68"/>
      <c r="AT62" s="68"/>
      <c r="AU62" s="68"/>
      <c r="AV62" s="68"/>
      <c r="AW62" s="70"/>
      <c r="AY62" s="66"/>
      <c r="AZ62" s="66"/>
      <c r="BA62" s="66"/>
    </row>
    <row r="63" spans="1:58" s="69" customFormat="1" x14ac:dyDescent="0.2">
      <c r="A63" s="82" t="s">
        <v>84</v>
      </c>
      <c r="B63" s="79"/>
      <c r="C63" s="79"/>
      <c r="D63" s="79"/>
      <c r="E63" s="79"/>
      <c r="F63" s="79"/>
      <c r="G63" s="79"/>
      <c r="H63" s="79"/>
      <c r="I63" s="65"/>
      <c r="J63" s="65"/>
      <c r="K63" s="65"/>
      <c r="L63" s="65"/>
      <c r="M63" s="66"/>
      <c r="V63" s="80"/>
      <c r="W63" s="80"/>
      <c r="X63" s="80"/>
      <c r="Y63" s="80"/>
      <c r="Z63" s="80"/>
      <c r="AA63" s="80"/>
      <c r="AB63" s="64"/>
      <c r="AC63" s="64"/>
      <c r="AP63" s="68"/>
      <c r="AQ63" s="67"/>
      <c r="AR63" s="68"/>
      <c r="AS63" s="68"/>
      <c r="AT63" s="68"/>
      <c r="AU63" s="68"/>
      <c r="AV63" s="68"/>
      <c r="AW63" s="70"/>
      <c r="AY63" s="66"/>
      <c r="AZ63" s="66"/>
      <c r="BA63" s="66"/>
    </row>
    <row r="64" spans="1:58" s="69" customFormat="1" x14ac:dyDescent="0.2">
      <c r="A64" s="82"/>
      <c r="B64" s="79"/>
      <c r="C64" s="79"/>
      <c r="D64" s="79"/>
      <c r="E64" s="79"/>
      <c r="F64" s="79"/>
      <c r="G64" s="79"/>
      <c r="H64" s="79"/>
      <c r="I64" s="65"/>
      <c r="J64" s="65"/>
      <c r="K64" s="65"/>
      <c r="L64" s="65"/>
      <c r="M64" s="66"/>
      <c r="V64" s="80"/>
      <c r="W64" s="80"/>
      <c r="X64" s="80"/>
      <c r="Y64" s="80"/>
      <c r="Z64" s="80"/>
      <c r="AA64" s="80"/>
      <c r="AB64" s="64"/>
      <c r="AC64" s="64"/>
      <c r="AP64" s="68"/>
      <c r="AQ64" s="67"/>
      <c r="AR64" s="68"/>
      <c r="AS64" s="68"/>
      <c r="AT64" s="68"/>
      <c r="AU64" s="68"/>
      <c r="AV64" s="68"/>
      <c r="AW64" s="70"/>
      <c r="AY64" s="66"/>
      <c r="AZ64" s="66"/>
      <c r="BA64" s="66"/>
    </row>
    <row r="65" spans="1:53" s="69" customFormat="1" x14ac:dyDescent="0.2">
      <c r="A65" s="64" t="s">
        <v>136</v>
      </c>
      <c r="B65" s="79"/>
      <c r="C65" s="79"/>
      <c r="D65" s="79"/>
      <c r="E65" s="79"/>
      <c r="F65" s="79"/>
      <c r="G65" s="79"/>
      <c r="H65" s="79"/>
      <c r="I65" s="65"/>
      <c r="J65" s="65"/>
      <c r="K65" s="65"/>
      <c r="L65" s="65"/>
      <c r="M65" s="66"/>
      <c r="V65" s="80"/>
      <c r="W65" s="80"/>
      <c r="X65" s="80"/>
      <c r="Y65" s="80"/>
      <c r="Z65" s="80"/>
      <c r="AA65" s="80"/>
      <c r="AB65" s="64"/>
      <c r="AC65" s="64"/>
      <c r="AP65" s="68"/>
      <c r="AQ65" s="67"/>
      <c r="AR65" s="68"/>
      <c r="AS65" s="68"/>
      <c r="AT65" s="68"/>
      <c r="AU65" s="68"/>
      <c r="AV65" s="68"/>
      <c r="AW65" s="70"/>
      <c r="AY65" s="66"/>
      <c r="AZ65" s="66"/>
      <c r="BA65" s="66"/>
    </row>
    <row r="66" spans="1:53" s="69" customFormat="1" x14ac:dyDescent="0.2">
      <c r="A66" s="64" t="s">
        <v>137</v>
      </c>
      <c r="B66" s="79"/>
      <c r="C66" s="79"/>
      <c r="D66" s="79"/>
      <c r="E66" s="79"/>
      <c r="F66" s="79"/>
      <c r="G66" s="79"/>
      <c r="H66" s="79"/>
      <c r="I66" s="65"/>
      <c r="J66" s="65"/>
      <c r="K66" s="65"/>
      <c r="L66" s="65"/>
      <c r="M66" s="66"/>
      <c r="V66" s="80"/>
      <c r="W66" s="80"/>
      <c r="X66" s="80"/>
      <c r="Y66" s="80"/>
      <c r="Z66" s="80"/>
      <c r="AA66" s="80"/>
      <c r="AB66" s="64"/>
      <c r="AC66" s="64"/>
      <c r="AP66" s="68"/>
      <c r="AQ66" s="67"/>
      <c r="AR66" s="68"/>
      <c r="AS66" s="68"/>
      <c r="AT66" s="68"/>
      <c r="AU66" s="68"/>
      <c r="AV66" s="68"/>
      <c r="AW66" s="70"/>
      <c r="AY66" s="66"/>
      <c r="AZ66" s="66"/>
      <c r="BA66" s="66"/>
    </row>
    <row r="67" spans="1:53" x14ac:dyDescent="0.2">
      <c r="A67" s="5"/>
      <c r="AX67" s="19"/>
    </row>
    <row r="68" spans="1:53" x14ac:dyDescent="0.2">
      <c r="A68" s="82" t="s">
        <v>154</v>
      </c>
      <c r="B68" s="79"/>
      <c r="C68" s="79"/>
      <c r="D68" s="79"/>
      <c r="E68" s="79"/>
      <c r="F68" s="79"/>
      <c r="G68" s="79"/>
      <c r="H68" s="79"/>
      <c r="I68" s="65"/>
      <c r="J68" s="65"/>
      <c r="K68" s="65"/>
      <c r="L68" s="65"/>
      <c r="M68" s="66"/>
      <c r="AX68" s="18"/>
    </row>
    <row r="69" spans="1:53" x14ac:dyDescent="0.2">
      <c r="A69" s="76" t="s">
        <v>158</v>
      </c>
      <c r="B69" s="79"/>
      <c r="C69" s="79"/>
      <c r="D69" s="79"/>
      <c r="E69" s="79"/>
      <c r="F69" s="79"/>
      <c r="G69" s="79"/>
      <c r="H69" s="79"/>
      <c r="I69" s="65"/>
      <c r="J69" s="65"/>
      <c r="K69" s="65"/>
      <c r="L69" s="65"/>
      <c r="M69" s="66"/>
    </row>
    <row r="70" spans="1:53" x14ac:dyDescent="0.2">
      <c r="A70" s="76" t="s">
        <v>155</v>
      </c>
      <c r="B70" s="79"/>
      <c r="C70" s="79"/>
      <c r="D70" s="79"/>
      <c r="E70" s="79"/>
      <c r="F70" s="79"/>
      <c r="G70" s="79"/>
      <c r="H70" s="79"/>
      <c r="I70" s="65"/>
      <c r="J70" s="65"/>
      <c r="K70" s="65"/>
      <c r="L70" s="65"/>
      <c r="M70" s="66"/>
    </row>
    <row r="71" spans="1:53" x14ac:dyDescent="0.2">
      <c r="A71" s="76" t="s">
        <v>156</v>
      </c>
      <c r="B71" s="79"/>
      <c r="C71" s="79"/>
      <c r="D71" s="79"/>
      <c r="E71" s="79"/>
      <c r="F71" s="79"/>
      <c r="G71" s="79"/>
      <c r="H71" s="79"/>
      <c r="I71" s="65"/>
      <c r="J71" s="65"/>
      <c r="K71" s="65"/>
      <c r="L71" s="65"/>
      <c r="M71" s="66"/>
    </row>
    <row r="72" spans="1:53" x14ac:dyDescent="0.2">
      <c r="A72" s="87" t="s">
        <v>157</v>
      </c>
      <c r="B72" s="79"/>
      <c r="C72" s="79"/>
      <c r="D72" s="79"/>
      <c r="E72" s="79"/>
      <c r="F72" s="79"/>
      <c r="G72" s="79"/>
      <c r="H72" s="79"/>
      <c r="I72" s="65"/>
      <c r="J72" s="65"/>
      <c r="K72" s="65"/>
      <c r="L72" s="65"/>
      <c r="M72" s="66"/>
    </row>
    <row r="73" spans="1:53" x14ac:dyDescent="0.2">
      <c r="A73" s="86"/>
    </row>
    <row r="74" spans="1:53" x14ac:dyDescent="0.2">
      <c r="A74" s="8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Methodology</vt:lpstr>
      <vt:lpstr>Calculations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markair</dc:creator>
  <cp:lastModifiedBy>markair</cp:lastModifiedBy>
  <cp:lastPrinted>2015-03-08T20:28:08Z</cp:lastPrinted>
  <dcterms:created xsi:type="dcterms:W3CDTF">2007-04-02T22:24:49Z</dcterms:created>
  <dcterms:modified xsi:type="dcterms:W3CDTF">2015-03-08T20:28:56Z</dcterms:modified>
</cp:coreProperties>
</file>